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malindah\Desktop\MISO 12_2017\2016 True up\"/>
    </mc:Choice>
  </mc:AlternateContent>
  <bookViews>
    <workbookView xWindow="0" yWindow="0" windowWidth="28800" windowHeight="14175"/>
  </bookViews>
  <sheets>
    <sheet name="Coversheet" sheetId="2" r:id="rId1"/>
    <sheet name="2016ActualNonlevelized-IOU12.38" sheetId="24" r:id="rId2"/>
    <sheet name="Revenues" sheetId="23" r:id="rId3"/>
    <sheet name="2016 CMMPA Attach MM ER12-427" sheetId="18" r:id="rId4"/>
    <sheet name="Interest Rates" sheetId="26" r:id="rId5"/>
    <sheet name="AccountingItems" sheetId="22" r:id="rId6"/>
    <sheet name="Plant" sheetId="4" r:id="rId7"/>
    <sheet name="2016 CMMPA AFUDC Workpaper " sheetId="21" r:id="rId8"/>
    <sheet name="Divisor" sheetId="1" r:id="rId9"/>
    <sheet name="CWIP" sheetId="5" r:id="rId10"/>
    <sheet name="Adj to Rate Base" sheetId="3" r:id="rId11"/>
    <sheet name="Abandoned Plant" sheetId="6" r:id="rId12"/>
    <sheet name="Land Held for Future Use" sheetId="7" r:id="rId13"/>
    <sheet name="Materials and Prepayments" sheetId="8" r:id="rId14"/>
    <sheet name="Capital Structure" sheetId="9" r:id="rId15"/>
    <sheet name="PY Ending" sheetId="25" r:id="rId16"/>
    <sheet name="Trans_OM" sheetId="14" r:id="rId17"/>
    <sheet name="A&amp;G" sheetId="13" r:id="rId18"/>
    <sheet name="Other_Exp_Inc" sheetId="15" r:id="rId19"/>
    <sheet name="Regulatory Asset" sheetId="16" r:id="rId20"/>
  </sheets>
  <externalReferences>
    <externalReference r:id="rId21"/>
    <externalReference r:id="rId22"/>
    <externalReference r:id="rId23"/>
    <externalReference r:id="rId24"/>
    <externalReference r:id="rId25"/>
    <externalReference r:id="rId26"/>
  </externalReferences>
  <definedNames>
    <definedName name="_Fill" localSheetId="4" hidden="1">#REF!</definedName>
    <definedName name="_Fill" localSheetId="15" hidden="1">#REF!</definedName>
    <definedName name="_Fill" hidden="1">#REF!</definedName>
    <definedName name="_Key1" localSheetId="4" hidden="1">#REF!</definedName>
    <definedName name="_Key1" localSheetId="15" hidden="1">#REF!</definedName>
    <definedName name="_Key1" hidden="1">#REF!</definedName>
    <definedName name="_Key2" localSheetId="4" hidden="1">#REF!</definedName>
    <definedName name="_Key2" localSheetId="15" hidden="1">#REF!</definedName>
    <definedName name="_Key2" hidden="1">#REF!</definedName>
    <definedName name="_Order1" hidden="1">255</definedName>
    <definedName name="_Order2" hidden="1">255</definedName>
    <definedName name="_Parse_Out" localSheetId="4" hidden="1">#REF!</definedName>
    <definedName name="_Parse_Out" localSheetId="15" hidden="1">#REF!</definedName>
    <definedName name="_Parse_Out" hidden="1">#REF!</definedName>
    <definedName name="_Regression_Out" localSheetId="4" hidden="1">#REF!</definedName>
    <definedName name="_Regression_Out" localSheetId="15" hidden="1">#REF!</definedName>
    <definedName name="_Regression_Out" hidden="1">#REF!</definedName>
    <definedName name="_Regression_X" localSheetId="4" hidden="1">#REF!</definedName>
    <definedName name="_Regression_X" localSheetId="15" hidden="1">#REF!</definedName>
    <definedName name="_Regression_X" hidden="1">#REF!</definedName>
    <definedName name="_Regression_Y" localSheetId="4" hidden="1">#REF!</definedName>
    <definedName name="_Regression_Y" localSheetId="15" hidden="1">#REF!</definedName>
    <definedName name="_Regression_Y" hidden="1">#REF!</definedName>
    <definedName name="_Sort" localSheetId="4" hidden="1">#REF!</definedName>
    <definedName name="_Sort" localSheetId="15" hidden="1">#REF!</definedName>
    <definedName name="_Sort" hidden="1">#REF!</definedName>
    <definedName name="ACwvu.DATABASE." localSheetId="4" hidden="1">[1]DATABASE!#REF!</definedName>
    <definedName name="ACwvu.DATABASE." localSheetId="15" hidden="1">[1]DATABASE!#REF!</definedName>
    <definedName name="ACwvu.DATABASE." hidden="1">[1]DATABASE!#REF!</definedName>
    <definedName name="ACwvu.OP." localSheetId="4" hidden="1">#REF!</definedName>
    <definedName name="ACwvu.OP." localSheetId="15" hidden="1">#REF!</definedName>
    <definedName name="ACwvu.OP." hidden="1">#REF!</definedName>
    <definedName name="AS2DocOpenMode" hidden="1">"AS2DocumentEdit"</definedName>
    <definedName name="BLPH2" localSheetId="4" hidden="1">'[2]Commercial Paper'!#REF!</definedName>
    <definedName name="BLPH2" localSheetId="15" hidden="1">'[2]Commercial Paper'!#REF!</definedName>
    <definedName name="BLPH2" hidden="1">'[2]Commercial Paper'!#REF!</definedName>
    <definedName name="BLPH3" localSheetId="4" hidden="1">'[2]Commercial Paper'!#REF!</definedName>
    <definedName name="BLPH3" localSheetId="15" hidden="1">'[2]Commercial Paper'!#REF!</definedName>
    <definedName name="BLPH3" hidden="1">'[2]Commercial Paper'!#REF!</definedName>
    <definedName name="BLPH4" localSheetId="4" hidden="1">'[2]Commercial Paper'!#REF!</definedName>
    <definedName name="BLPH4" localSheetId="15" hidden="1">'[2]Commercial Paper'!#REF!</definedName>
    <definedName name="BLPH4" hidden="1">'[2]Commercial Paper'!#REF!</definedName>
    <definedName name="BLPH5" localSheetId="4" hidden="1">'[2]Commercial Paper'!#REF!</definedName>
    <definedName name="BLPH5" localSheetId="15" hidden="1">'[2]Commercial Paper'!#REF!</definedName>
    <definedName name="BLPH5" hidden="1">'[2]Commercial Paper'!#REF!</definedName>
    <definedName name="BLPH6" localSheetId="4" hidden="1">'[2]Commercial Paper'!#REF!</definedName>
    <definedName name="BLPH6" localSheetId="15" hidden="1">'[2]Commercial Paper'!#REF!</definedName>
    <definedName name="BLPH6" hidden="1">'[2]Commercial Paper'!#REF!</definedName>
    <definedName name="CH_COS" localSheetId="3">#REF!</definedName>
    <definedName name="CH_COS" localSheetId="4">#REF!</definedName>
    <definedName name="CH_COS" localSheetId="15">#REF!</definedName>
    <definedName name="CH_COS">#REF!</definedName>
    <definedName name="ComboList" localSheetId="4">[3]Coversheet!$A$15:$A$16</definedName>
    <definedName name="ComboList">Coversheet!$A$15:$A$16</definedName>
    <definedName name="CurrentYear" localSheetId="4">[3]Coversheet!$E$4</definedName>
    <definedName name="CurrentYear">Coversheet!$E$4</definedName>
    <definedName name="dsfds" localSheetId="4" hidden="1">#REF!</definedName>
    <definedName name="dsfds" localSheetId="15" hidden="1">#REF!</definedName>
    <definedName name="dsfds" hidden="1">#REF!</definedName>
    <definedName name="er" localSheetId="4"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NSP_COS" localSheetId="3">#REF!</definedName>
    <definedName name="NSP_COS" localSheetId="4">#REF!</definedName>
    <definedName name="NSP_COS" localSheetId="15">#REF!</definedName>
    <definedName name="NSP_COS">#REF!</definedName>
    <definedName name="_xlnm.Print_Area" localSheetId="3">'2016 CMMPA Attach MM ER12-427'!$A$1:$S$113</definedName>
    <definedName name="_xlnm.Print_Area" localSheetId="1">'2016ActualNonlevelized-IOU12.38'!$A$1:$K$381</definedName>
    <definedName name="_xlnm.Print_Area" localSheetId="17">'A&amp;G'!$D$2:$J$32</definedName>
    <definedName name="_xlnm.Print_Area" localSheetId="11">'Abandoned Plant'!$D$5:$L$26</definedName>
    <definedName name="_xlnm.Print_Area" localSheetId="10">'Adj to Rate Base'!$D$4:$H$18</definedName>
    <definedName name="_xlnm.Print_Area" localSheetId="14">'Capital Structure'!$D$4:$K$27</definedName>
    <definedName name="_xlnm.Print_Area" localSheetId="9">CWIP!$D$4:$L$28</definedName>
    <definedName name="_xlnm.Print_Area" localSheetId="8">Divisor!$D$4:$K$26</definedName>
    <definedName name="_xlnm.Print_Area" localSheetId="4">'Interest Rates'!$A$1:$G$55</definedName>
    <definedName name="_xlnm.Print_Area" localSheetId="12">'Land Held for Future Use'!$D$4:$K$25</definedName>
    <definedName name="_xlnm.Print_Area" localSheetId="13">'Materials and Prepayments'!$B$4:$I$27</definedName>
    <definedName name="_xlnm.Print_Area" localSheetId="18">Other_Exp_Inc!$C$4:$I$44</definedName>
    <definedName name="_xlnm.Print_Area" localSheetId="6">Plant!$B$4:$O$71</definedName>
    <definedName name="_xlnm.Print_Area" localSheetId="15">'PY Ending'!#REF!</definedName>
    <definedName name="_xlnm.Print_Area" localSheetId="19">'Regulatory Asset'!$D$5:$K$26</definedName>
    <definedName name="_xlnm.Print_Area" localSheetId="16">Trans_OM!$D$1:$I$42</definedName>
    <definedName name="Print1" localSheetId="3">#REF!</definedName>
    <definedName name="Print1" localSheetId="4">#REF!</definedName>
    <definedName name="Print1" localSheetId="15">#REF!</definedName>
    <definedName name="Print1">#REF!</definedName>
    <definedName name="Print3" localSheetId="3">#REF!</definedName>
    <definedName name="Print3" localSheetId="4">#REF!</definedName>
    <definedName name="Print3" localSheetId="15">#REF!</definedName>
    <definedName name="Print3">#REF!</definedName>
    <definedName name="Print4" localSheetId="3">#REF!</definedName>
    <definedName name="Print4" localSheetId="4">#REF!</definedName>
    <definedName name="Print4" localSheetId="15">#REF!</definedName>
    <definedName name="Print4">#REF!</definedName>
    <definedName name="Print5" localSheetId="3">#REF!</definedName>
    <definedName name="Print5" localSheetId="4">#REF!</definedName>
    <definedName name="Print5" localSheetId="15">#REF!</definedName>
    <definedName name="Print5">#REF!</definedName>
    <definedName name="ProjIDList" localSheetId="3">#REF!</definedName>
    <definedName name="ProjIDList" localSheetId="4">#REF!</definedName>
    <definedName name="ProjIDList" localSheetId="15">#REF!</definedName>
    <definedName name="ProjIDList">#REF!</definedName>
    <definedName name="PSCo_COS" localSheetId="3">#REF!</definedName>
    <definedName name="PSCo_COS" localSheetId="4">#REF!</definedName>
    <definedName name="PSCo_COS" localSheetId="15">#REF!</definedName>
    <definedName name="PSCo_COS">#REF!</definedName>
    <definedName name="q" localSheetId="4" hidden="1">{"MATALL",#N/A,FALSE,"Sheet4";"matclass",#N/A,FALSE,"Sheet4"}</definedName>
    <definedName name="q" hidden="1">{"MATALL",#N/A,FALSE,"Sheet4";"matclass",#N/A,FALSE,"Sheet4"}</definedName>
    <definedName name="q_MTEP06_App_AB_Facility" localSheetId="3">#REF!</definedName>
    <definedName name="q_MTEP06_App_AB_Facility" localSheetId="4">#REF!</definedName>
    <definedName name="q_MTEP06_App_AB_Facility" localSheetId="15">#REF!</definedName>
    <definedName name="q_MTEP06_App_AB_Facility">#REF!</definedName>
    <definedName name="q_MTEP06_App_AB_Projects" localSheetId="3">#REF!</definedName>
    <definedName name="q_MTEP06_App_AB_Projects" localSheetId="4">#REF!</definedName>
    <definedName name="q_MTEP06_App_AB_Projects" localSheetId="15">#REF!</definedName>
    <definedName name="q_MTEP06_App_AB_Projects">#REF!</definedName>
    <definedName name="revreq" localSheetId="3">#REF!</definedName>
    <definedName name="revreq" localSheetId="4">#REF!</definedName>
    <definedName name="revreq" localSheetId="15">#REF!</definedName>
    <definedName name="revreq">#REF!</definedName>
    <definedName name="SPS_COS" localSheetId="3">#REF!</definedName>
    <definedName name="SPS_COS" localSheetId="4">#REF!</definedName>
    <definedName name="SPS_COS" localSheetId="15">#REF!</definedName>
    <definedName name="SPS_COS">#REF!</definedName>
    <definedName name="SubmissionType" localSheetId="4">[3]Coversheet!$D$5</definedName>
    <definedName name="SubmissionType">Coversheet!$D$5</definedName>
    <definedName name="Swvu.DATABASE." localSheetId="4" hidden="1">[1]DATABASE!#REF!</definedName>
    <definedName name="Swvu.DATABASE." localSheetId="15" hidden="1">[1]DATABASE!#REF!</definedName>
    <definedName name="Swvu.DATABASE." hidden="1">[1]DATABASE!#REF!</definedName>
    <definedName name="Swvu.OP." localSheetId="4" hidden="1">#REF!</definedName>
    <definedName name="Swvu.OP." localSheetId="15" hidden="1">#REF!</definedName>
    <definedName name="Swvu.OP." hidden="1">#REF!</definedName>
    <definedName name="TEST" localSheetId="4"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4" hidden="1">{"MATALL",#N/A,FALSE,"Sheet4";"matclass",#N/A,FALSE,"Sheet4"}</definedName>
    <definedName name="w" hidden="1">{"MATALL",#N/A,FALSE,"Sheet4";"matclass",#N/A,FALSE,"Sheet4"}</definedName>
    <definedName name="WORKCAPa" localSheetId="4" hidden="1">{"WCCWCLL",#N/A,FALSE,"Sheet3";"PP",#N/A,FALSE,"Sheet3";"MAT1",#N/A,FALSE,"Sheet3";"MAT2",#N/A,FALSE,"Sheet3"}</definedName>
    <definedName name="WORKCAPa" hidden="1">{"WCCWCLL",#N/A,FALSE,"Sheet3";"PP",#N/A,FALSE,"Sheet3";"MAT1",#N/A,FALSE,"Sheet3";"MAT2",#N/A,FALSE,"Sheet3"}</definedName>
    <definedName name="wrn.cwip." localSheetId="4" hidden="1">{"CWIP2",#N/A,FALSE,"CWIP";"CWIP3",#N/A,FALSE,"CWIP"}</definedName>
    <definedName name="wrn.cwip." hidden="1">{"CWIP2",#N/A,FALSE,"CWIP";"CWIP3",#N/A,FALSE,"CWIP"}</definedName>
    <definedName name="wrn.cwipa" localSheetId="4" hidden="1">{"CWIP2",#N/A,FALSE,"CWIP";"CWIP3",#N/A,FALSE,"CWIP"}</definedName>
    <definedName name="wrn.cwipa" hidden="1">{"CWIP2",#N/A,FALSE,"CWIP";"CWIP3",#N/A,FALSE,"CWIP"}</definedName>
    <definedName name="wrn.Earnings._.Test." localSheetId="4"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4"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4" hidden="1">{"MATALL",#N/A,FALSE,"Sheet4";"matclass",#N/A,FALSE,"Sheet4"}</definedName>
    <definedName name="wrn.matdtl." hidden="1">{"MATALL",#N/A,FALSE,"Sheet4";"matclass",#N/A,FALSE,"Sheet4"}</definedName>
    <definedName name="wrn.matdtla" localSheetId="4" hidden="1">{"MATALL",#N/A,FALSE,"Sheet4";"matclass",#N/A,FALSE,"Sheet4"}</definedName>
    <definedName name="wrn.matdtla" hidden="1">{"MATALL",#N/A,FALSE,"Sheet4";"matclass",#N/A,FALSE,"Sheet4"}</definedName>
    <definedName name="wrn.PPJOURNAL._.ENTRY." localSheetId="4"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4" hidden="1">{#N/A,#N/A,FALSE,"PRIOR PERIOD ADJMT"}</definedName>
    <definedName name="wrn.PRIOR._.PERIOD._.ADJMT." hidden="1">{#N/A,#N/A,FALSE,"PRIOR PERIOD ADJMT"}</definedName>
    <definedName name="wrn.Production." localSheetId="4" hidden="1">{"Production",#N/A,FALSE,"Electric O&amp;M Functionalization"}</definedName>
    <definedName name="wrn.Production." hidden="1">{"Production",#N/A,FALSE,"Electric O&amp;M Functionalization"}</definedName>
    <definedName name="wrn.Transmission." localSheetId="4" hidden="1">{"Transmission",#N/A,FALSE,"Electric O&amp;M Functionalization"}</definedName>
    <definedName name="wrn.Transmission." hidden="1">{"Transmission",#N/A,FALSE,"Electric O&amp;M Functionalization"}</definedName>
    <definedName name="wrn.WORKCAP." localSheetId="4" hidden="1">{"WCCWCLL",#N/A,FALSE,"Sheet3";"PP",#N/A,FALSE,"Sheet3";"MAT1",#N/A,FALSE,"Sheet3";"MAT2",#N/A,FALSE,"Sheet3"}</definedName>
    <definedName name="wrn.WORKCAP." hidden="1">{"WCCWCLL",#N/A,FALSE,"Sheet3";"PP",#N/A,FALSE,"Sheet3";"MAT1",#N/A,FALSE,"Sheet3";"MAT2",#N/A,FALSE,"Sheet3"}</definedName>
    <definedName name="wvu.DATABASE." localSheetId="4"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4"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4"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4">'[4]Data Entry and Forecaster'!#REF!</definedName>
    <definedName name="Xcel" localSheetId="15">'[4]Data Entry and Forecaster'!#REF!</definedName>
    <definedName name="Xcel">'[4]Data Entry and Forecaster'!#REF!</definedName>
    <definedName name="Xcel_COS" localSheetId="3">#REF!</definedName>
    <definedName name="Xcel_COS" localSheetId="4">#REF!</definedName>
    <definedName name="Xcel_COS" localSheetId="15">#REF!</definedName>
    <definedName name="Xcel_COS">#REF!</definedName>
    <definedName name="Z_10ECDAE2_78D3_411F_BF10_ED21E4CABCD5_.wvu.PrintArea" localSheetId="3" hidden="1">'2016 CMMPA Attach MM ER12-427'!$A$1:$S$113</definedName>
    <definedName name="Z_C007997B_793A_4496_8294_D86CE7EA8D2A_.wvu.PrintArea" localSheetId="3" hidden="1">'2016 CMMPA Attach MM ER12-427'!$A$1:$S$113</definedName>
  </definedNames>
  <calcPr calcId="171027"/>
</workbook>
</file>

<file path=xl/calcChain.xml><?xml version="1.0" encoding="utf-8"?>
<calcChain xmlns="http://schemas.openxmlformats.org/spreadsheetml/2006/main">
  <c r="F52" i="26" l="1"/>
  <c r="G52" i="26" s="1"/>
  <c r="D52" i="26"/>
  <c r="E52" i="26" s="1"/>
  <c r="A33" i="26"/>
  <c r="A34" i="26" s="1"/>
  <c r="A35" i="26" s="1"/>
  <c r="A36" i="26" s="1"/>
  <c r="A37" i="26" s="1"/>
  <c r="A38" i="26" s="1"/>
  <c r="A39" i="26" s="1"/>
  <c r="A40" i="26" s="1"/>
  <c r="A41" i="26" s="1"/>
  <c r="A42" i="26" s="1"/>
  <c r="A43" i="26" s="1"/>
  <c r="A44" i="26" s="1"/>
  <c r="A45" i="26" s="1"/>
  <c r="A46" i="26" s="1"/>
  <c r="A47" i="26" s="1"/>
  <c r="A48" i="26" s="1"/>
  <c r="A49" i="26" s="1"/>
  <c r="A50" i="26" s="1"/>
  <c r="A29" i="26"/>
  <c r="I18" i="26"/>
  <c r="H16" i="26"/>
  <c r="G16" i="26"/>
  <c r="I16" i="26" s="1"/>
  <c r="I20" i="26" s="1"/>
  <c r="I23" i="26" l="1"/>
  <c r="I25" i="26"/>
  <c r="J10" i="9" l="1"/>
  <c r="D1" i="23" l="1"/>
  <c r="D29" i="23"/>
  <c r="E13" i="23"/>
  <c r="D7" i="23"/>
  <c r="D11" i="23" s="1"/>
  <c r="F2" i="14"/>
  <c r="B3" i="25" l="1"/>
  <c r="E13" i="25"/>
  <c r="C13" i="25"/>
  <c r="D8" i="25"/>
  <c r="B20" i="23"/>
  <c r="D6" i="23" s="1"/>
  <c r="D13" i="23" l="1"/>
  <c r="D14" i="23" s="1"/>
  <c r="D8" i="23"/>
  <c r="D22" i="23" s="1"/>
  <c r="D25" i="23" s="1"/>
  <c r="D31" i="23" s="1"/>
  <c r="I310" i="24"/>
  <c r="H11" i="9"/>
  <c r="H14" i="13" l="1"/>
  <c r="D264" i="24" l="1"/>
  <c r="D265" i="24"/>
  <c r="D263" i="24"/>
  <c r="D195" i="24" l="1"/>
  <c r="D186" i="24"/>
  <c r="D183" i="24"/>
  <c r="K18" i="5" l="1"/>
  <c r="K17" i="5"/>
  <c r="G23" i="15" l="1"/>
  <c r="H12" i="16"/>
  <c r="H13" i="16" s="1"/>
  <c r="H14" i="16" s="1"/>
  <c r="H15" i="16" s="1"/>
  <c r="H16" i="16" s="1"/>
  <c r="H17" i="16" s="1"/>
  <c r="H18" i="16" s="1"/>
  <c r="H19" i="16" s="1"/>
  <c r="H20" i="16" s="1"/>
  <c r="H21" i="16" s="1"/>
  <c r="H22" i="16" s="1"/>
  <c r="H23" i="16" s="1"/>
  <c r="I11" i="9" l="1"/>
  <c r="I12" i="9" s="1"/>
  <c r="I13" i="9" s="1"/>
  <c r="I14" i="9" s="1"/>
  <c r="I15" i="9" s="1"/>
  <c r="I16" i="9" s="1"/>
  <c r="I17" i="9" s="1"/>
  <c r="I18" i="9" s="1"/>
  <c r="I19" i="9" s="1"/>
  <c r="I20" i="9" s="1"/>
  <c r="I21" i="9" s="1"/>
  <c r="J14" i="4" l="1"/>
  <c r="J15" i="4" s="1"/>
  <c r="J16" i="4" s="1"/>
  <c r="G11" i="4"/>
  <c r="G12" i="4" s="1"/>
  <c r="G13" i="4" s="1"/>
  <c r="G14" i="4" s="1"/>
  <c r="G15" i="4" s="1"/>
  <c r="G16" i="4" s="1"/>
  <c r="G17" i="4" s="1"/>
  <c r="G18" i="4" s="1"/>
  <c r="G19" i="4" s="1"/>
  <c r="G20" i="4" s="1"/>
  <c r="G21" i="4" s="1"/>
  <c r="H11" i="4"/>
  <c r="H12" i="4" s="1"/>
  <c r="H13" i="4" s="1"/>
  <c r="H14" i="4" s="1"/>
  <c r="H15" i="4" s="1"/>
  <c r="H16" i="4" s="1"/>
  <c r="H17" i="4" s="1"/>
  <c r="H18" i="4" s="1"/>
  <c r="H19" i="4" s="1"/>
  <c r="H20" i="4" s="1"/>
  <c r="H21" i="4" s="1"/>
  <c r="D328" i="24" l="1"/>
  <c r="K325" i="24"/>
  <c r="H322" i="24"/>
  <c r="I305" i="24"/>
  <c r="E296" i="24"/>
  <c r="G295" i="24"/>
  <c r="I295" i="24" s="1"/>
  <c r="G287" i="24"/>
  <c r="I281" i="24"/>
  <c r="I268" i="24"/>
  <c r="D266" i="24"/>
  <c r="G265" i="24"/>
  <c r="G264" i="24"/>
  <c r="G262" i="24"/>
  <c r="D240" i="24"/>
  <c r="H237" i="24"/>
  <c r="H235" i="24"/>
  <c r="D202" i="24"/>
  <c r="D206" i="24" s="1"/>
  <c r="D210" i="24" s="1"/>
  <c r="D199" i="24"/>
  <c r="F197" i="24"/>
  <c r="C197" i="24"/>
  <c r="F193" i="24"/>
  <c r="C193" i="24"/>
  <c r="D188" i="24"/>
  <c r="B187" i="24"/>
  <c r="I185" i="24"/>
  <c r="I184" i="24"/>
  <c r="I179" i="24"/>
  <c r="C178" i="24"/>
  <c r="F177" i="24"/>
  <c r="F175" i="24"/>
  <c r="F176" i="24" s="1"/>
  <c r="I172" i="24"/>
  <c r="J25" i="18" s="1"/>
  <c r="D166" i="24"/>
  <c r="K163" i="24"/>
  <c r="H160" i="24"/>
  <c r="I125" i="24"/>
  <c r="I124" i="24"/>
  <c r="F122" i="24"/>
  <c r="D113" i="24"/>
  <c r="D111" i="24"/>
  <c r="D109" i="24"/>
  <c r="F104" i="24"/>
  <c r="B104" i="24"/>
  <c r="B113" i="24" s="1"/>
  <c r="F103" i="24"/>
  <c r="B103" i="24"/>
  <c r="B112" i="24" s="1"/>
  <c r="F102" i="24"/>
  <c r="B102" i="24"/>
  <c r="B111" i="24" s="1"/>
  <c r="F100" i="24"/>
  <c r="F129" i="24" s="1"/>
  <c r="B100" i="24"/>
  <c r="B109" i="24" s="1"/>
  <c r="F99" i="24"/>
  <c r="F119" i="24" s="1"/>
  <c r="F196" i="24" s="1"/>
  <c r="B99" i="24"/>
  <c r="B108" i="24" s="1"/>
  <c r="D84" i="24"/>
  <c r="K81" i="24"/>
  <c r="H78" i="24"/>
  <c r="I53" i="24"/>
  <c r="I52" i="24"/>
  <c r="I41" i="24"/>
  <c r="D43" i="24" s="1"/>
  <c r="I27" i="24"/>
  <c r="F18" i="24"/>
  <c r="F19" i="24" s="1"/>
  <c r="F20" i="24" s="1"/>
  <c r="D17" i="24"/>
  <c r="D49" i="24" l="1"/>
  <c r="D47" i="24"/>
  <c r="D44" i="24"/>
  <c r="I48" i="24"/>
  <c r="D48" i="24"/>
  <c r="I49" i="24"/>
  <c r="I47" i="24"/>
  <c r="J24" i="9" l="1"/>
  <c r="I280" i="24" s="1"/>
  <c r="I313" i="24" l="1"/>
  <c r="I314" i="24" s="1"/>
  <c r="D18" i="24" s="1"/>
  <c r="H22" i="13"/>
  <c r="D174" i="24" s="1"/>
  <c r="J20" i="21" l="1"/>
  <c r="L20" i="21" s="1"/>
  <c r="J19" i="21"/>
  <c r="J113" i="21" s="1"/>
  <c r="J18" i="21"/>
  <c r="J112" i="21" s="1"/>
  <c r="J17" i="21"/>
  <c r="J111" i="21" s="1"/>
  <c r="J16" i="21"/>
  <c r="J110" i="21" s="1"/>
  <c r="J15" i="21"/>
  <c r="J109" i="21" s="1"/>
  <c r="J14" i="21"/>
  <c r="J108" i="21" s="1"/>
  <c r="J13" i="21"/>
  <c r="L13" i="21" s="1"/>
  <c r="J12" i="21"/>
  <c r="J11" i="21"/>
  <c r="J105" i="21" s="1"/>
  <c r="J10" i="21"/>
  <c r="J104" i="21" s="1"/>
  <c r="J9" i="21"/>
  <c r="J103" i="21" s="1"/>
  <c r="J8" i="21"/>
  <c r="L8" i="21" s="1"/>
  <c r="F20" i="21"/>
  <c r="H20" i="21" s="1"/>
  <c r="F19" i="21"/>
  <c r="F113" i="21" s="1"/>
  <c r="F18" i="21"/>
  <c r="H18" i="21" s="1"/>
  <c r="F17" i="21"/>
  <c r="H17" i="21" s="1"/>
  <c r="F16" i="21"/>
  <c r="H16" i="21" s="1"/>
  <c r="F15" i="21"/>
  <c r="H15" i="21" s="1"/>
  <c r="F14" i="21"/>
  <c r="F108" i="21" s="1"/>
  <c r="F13" i="21"/>
  <c r="F107" i="21" s="1"/>
  <c r="F12" i="21"/>
  <c r="H12" i="21" s="1"/>
  <c r="F11" i="21"/>
  <c r="H11" i="21" s="1"/>
  <c r="F10" i="21"/>
  <c r="F104" i="21" s="1"/>
  <c r="F9" i="21"/>
  <c r="F103" i="21" s="1"/>
  <c r="F8" i="21"/>
  <c r="F102" i="21" s="1"/>
  <c r="B20" i="21"/>
  <c r="B114" i="21" s="1"/>
  <c r="B19" i="21"/>
  <c r="B113" i="21" s="1"/>
  <c r="B18" i="21"/>
  <c r="D18" i="21" s="1"/>
  <c r="B17" i="21"/>
  <c r="B111" i="21" s="1"/>
  <c r="B16" i="21"/>
  <c r="D16" i="21" s="1"/>
  <c r="B15" i="21"/>
  <c r="B109" i="21" s="1"/>
  <c r="B14" i="21"/>
  <c r="B108" i="21" s="1"/>
  <c r="B13" i="21"/>
  <c r="D13" i="21" s="1"/>
  <c r="B12" i="21"/>
  <c r="D12" i="21" s="1"/>
  <c r="B11" i="21"/>
  <c r="B105" i="21" s="1"/>
  <c r="B10" i="21"/>
  <c r="B104" i="21" s="1"/>
  <c r="B9" i="21"/>
  <c r="B103" i="21" s="1"/>
  <c r="B8" i="21"/>
  <c r="D8" i="21" s="1"/>
  <c r="K114" i="21"/>
  <c r="G114" i="21"/>
  <c r="C114" i="21"/>
  <c r="K113" i="21"/>
  <c r="G113" i="21"/>
  <c r="C113" i="21"/>
  <c r="K112" i="21"/>
  <c r="G112" i="21"/>
  <c r="C112" i="21"/>
  <c r="K111" i="21"/>
  <c r="G111" i="21"/>
  <c r="C111" i="21"/>
  <c r="K110" i="21"/>
  <c r="G110" i="21"/>
  <c r="C110" i="21"/>
  <c r="B110" i="21"/>
  <c r="D110" i="21" s="1"/>
  <c r="K109" i="21"/>
  <c r="G109" i="21"/>
  <c r="C109" i="21"/>
  <c r="K108" i="21"/>
  <c r="G108" i="21"/>
  <c r="C108" i="21"/>
  <c r="K107" i="21"/>
  <c r="G107" i="21"/>
  <c r="C107" i="21"/>
  <c r="K106" i="21"/>
  <c r="G106" i="21"/>
  <c r="C106" i="21"/>
  <c r="K105" i="21"/>
  <c r="G105" i="21"/>
  <c r="C105" i="21"/>
  <c r="K104" i="21"/>
  <c r="G104" i="21"/>
  <c r="C104" i="21"/>
  <c r="K103" i="21"/>
  <c r="G103" i="21"/>
  <c r="C103" i="21"/>
  <c r="K102" i="21"/>
  <c r="G102" i="21"/>
  <c r="C102" i="21"/>
  <c r="K93" i="21"/>
  <c r="J93" i="21"/>
  <c r="G93" i="21"/>
  <c r="F93" i="21"/>
  <c r="C93" i="21"/>
  <c r="B93" i="21"/>
  <c r="N91" i="21"/>
  <c r="L91" i="21"/>
  <c r="H91" i="21"/>
  <c r="D91" i="21"/>
  <c r="N90" i="21"/>
  <c r="L90" i="21"/>
  <c r="H90" i="21"/>
  <c r="D90" i="21"/>
  <c r="N89" i="21"/>
  <c r="L89" i="21"/>
  <c r="H89" i="21"/>
  <c r="D89" i="21"/>
  <c r="N88" i="21"/>
  <c r="L88" i="21"/>
  <c r="H88" i="21"/>
  <c r="D88" i="21"/>
  <c r="N87" i="21"/>
  <c r="L87" i="21"/>
  <c r="H87" i="21"/>
  <c r="D87" i="21"/>
  <c r="N86" i="21"/>
  <c r="L86" i="21"/>
  <c r="H86" i="21"/>
  <c r="D86" i="21"/>
  <c r="N85" i="21"/>
  <c r="L85" i="21"/>
  <c r="H85" i="21"/>
  <c r="D85" i="21"/>
  <c r="N84" i="21"/>
  <c r="L84" i="21"/>
  <c r="H84" i="21"/>
  <c r="D84" i="21"/>
  <c r="N83" i="21"/>
  <c r="L83" i="21"/>
  <c r="H83" i="21"/>
  <c r="D83" i="21"/>
  <c r="N82" i="21"/>
  <c r="L82" i="21"/>
  <c r="H82" i="21"/>
  <c r="D82" i="21"/>
  <c r="N81" i="21"/>
  <c r="L81" i="21"/>
  <c r="H81" i="21"/>
  <c r="D81" i="21"/>
  <c r="N80" i="21"/>
  <c r="L80" i="21"/>
  <c r="H80" i="21"/>
  <c r="D80" i="21"/>
  <c r="N79" i="21"/>
  <c r="N93" i="21" s="1"/>
  <c r="L79" i="21"/>
  <c r="L93" i="21" s="1"/>
  <c r="H79" i="21"/>
  <c r="H93" i="21" s="1"/>
  <c r="D79" i="21"/>
  <c r="D93" i="21" s="1"/>
  <c r="K70" i="21"/>
  <c r="J70" i="21"/>
  <c r="G70" i="21"/>
  <c r="F70" i="21"/>
  <c r="C70" i="21"/>
  <c r="B70" i="21"/>
  <c r="N68" i="21"/>
  <c r="L68" i="21"/>
  <c r="H68" i="21"/>
  <c r="D68" i="21"/>
  <c r="N67" i="21"/>
  <c r="L67" i="21"/>
  <c r="H67" i="21"/>
  <c r="D67" i="21"/>
  <c r="N66" i="21"/>
  <c r="L66" i="21"/>
  <c r="H66" i="21"/>
  <c r="D66" i="21"/>
  <c r="N65" i="21"/>
  <c r="L65" i="21"/>
  <c r="H65" i="21"/>
  <c r="D65" i="21"/>
  <c r="N64" i="21"/>
  <c r="L64" i="21"/>
  <c r="H64" i="21"/>
  <c r="D64" i="21"/>
  <c r="N63" i="21"/>
  <c r="L63" i="21"/>
  <c r="H63" i="21"/>
  <c r="D63" i="21"/>
  <c r="N62" i="21"/>
  <c r="L62" i="21"/>
  <c r="H62" i="21"/>
  <c r="D62" i="21"/>
  <c r="N61" i="21"/>
  <c r="L61" i="21"/>
  <c r="H61" i="21"/>
  <c r="D61" i="21"/>
  <c r="N60" i="21"/>
  <c r="L60" i="21"/>
  <c r="H60" i="21"/>
  <c r="D60" i="21"/>
  <c r="N59" i="21"/>
  <c r="L59" i="21"/>
  <c r="H59" i="21"/>
  <c r="D59" i="21"/>
  <c r="N58" i="21"/>
  <c r="L58" i="21"/>
  <c r="H58" i="21"/>
  <c r="D58" i="21"/>
  <c r="N57" i="21"/>
  <c r="L57" i="21"/>
  <c r="H57" i="21"/>
  <c r="D57" i="21"/>
  <c r="N56" i="21"/>
  <c r="N70" i="21" s="1"/>
  <c r="L56" i="21"/>
  <c r="L70" i="21" s="1"/>
  <c r="H56" i="21"/>
  <c r="H70" i="21" s="1"/>
  <c r="D56" i="21"/>
  <c r="D70" i="21" s="1"/>
  <c r="K46" i="21"/>
  <c r="J46" i="21"/>
  <c r="G46" i="21"/>
  <c r="F46" i="21"/>
  <c r="C46" i="21"/>
  <c r="B46" i="21"/>
  <c r="N44" i="21"/>
  <c r="L44" i="21"/>
  <c r="H44" i="21"/>
  <c r="D44" i="21"/>
  <c r="N43" i="21"/>
  <c r="L43" i="21"/>
  <c r="H43" i="21"/>
  <c r="D43" i="21"/>
  <c r="N42" i="21"/>
  <c r="L42" i="21"/>
  <c r="H42" i="21"/>
  <c r="D42" i="21"/>
  <c r="N41" i="21"/>
  <c r="L41" i="21"/>
  <c r="H41" i="21"/>
  <c r="D41" i="21"/>
  <c r="N40" i="21"/>
  <c r="L40" i="21"/>
  <c r="H40" i="21"/>
  <c r="D40" i="21"/>
  <c r="N39" i="21"/>
  <c r="L39" i="21"/>
  <c r="H39" i="21"/>
  <c r="D39" i="21"/>
  <c r="N38" i="21"/>
  <c r="L38" i="21"/>
  <c r="H38" i="21"/>
  <c r="D38" i="21"/>
  <c r="N37" i="21"/>
  <c r="L37" i="21"/>
  <c r="H37" i="21"/>
  <c r="D37" i="21"/>
  <c r="N36" i="21"/>
  <c r="L36" i="21"/>
  <c r="H36" i="21"/>
  <c r="D36" i="21"/>
  <c r="N35" i="21"/>
  <c r="L35" i="21"/>
  <c r="H35" i="21"/>
  <c r="D35" i="21"/>
  <c r="N34" i="21"/>
  <c r="L34" i="21"/>
  <c r="H34" i="21"/>
  <c r="D34" i="21"/>
  <c r="N33" i="21"/>
  <c r="L33" i="21"/>
  <c r="H33" i="21"/>
  <c r="D33" i="21"/>
  <c r="N32" i="21"/>
  <c r="N46" i="21" s="1"/>
  <c r="L32" i="21"/>
  <c r="H32" i="21"/>
  <c r="H46" i="21" s="1"/>
  <c r="D32" i="21"/>
  <c r="D46" i="21" s="1"/>
  <c r="K22" i="21"/>
  <c r="G22" i="21"/>
  <c r="C22" i="21"/>
  <c r="N20" i="21"/>
  <c r="J114" i="21"/>
  <c r="L114" i="21" s="1"/>
  <c r="N19" i="21"/>
  <c r="N18" i="21"/>
  <c r="N17" i="21"/>
  <c r="N16" i="21"/>
  <c r="L16" i="21"/>
  <c r="N15" i="21"/>
  <c r="F109" i="21"/>
  <c r="H109" i="21" s="1"/>
  <c r="N14" i="21"/>
  <c r="N13" i="21"/>
  <c r="N12" i="21"/>
  <c r="L12" i="21"/>
  <c r="J106" i="21"/>
  <c r="N11" i="21"/>
  <c r="N10" i="21"/>
  <c r="H10" i="21"/>
  <c r="N9" i="21"/>
  <c r="N8" i="21"/>
  <c r="J102" i="21"/>
  <c r="B106" i="21" l="1"/>
  <c r="N112" i="21"/>
  <c r="K128" i="21"/>
  <c r="F106" i="21"/>
  <c r="D104" i="21"/>
  <c r="D108" i="21"/>
  <c r="H107" i="21"/>
  <c r="N22" i="21"/>
  <c r="C116" i="21"/>
  <c r="N109" i="21"/>
  <c r="N114" i="21"/>
  <c r="D105" i="21"/>
  <c r="D109" i="21"/>
  <c r="D113" i="21"/>
  <c r="H108" i="21"/>
  <c r="L103" i="21"/>
  <c r="L111" i="21"/>
  <c r="B107" i="21"/>
  <c r="D107" i="21" s="1"/>
  <c r="D17" i="21"/>
  <c r="N102" i="21"/>
  <c r="D106" i="21"/>
  <c r="N113" i="21"/>
  <c r="F114" i="21"/>
  <c r="H114" i="21" s="1"/>
  <c r="D114" i="21"/>
  <c r="L104" i="21"/>
  <c r="L108" i="21"/>
  <c r="L112" i="21"/>
  <c r="H19" i="21"/>
  <c r="J107" i="21"/>
  <c r="L107" i="21" s="1"/>
  <c r="F110" i="21"/>
  <c r="H110" i="21" s="1"/>
  <c r="B102" i="21"/>
  <c r="D102" i="21" s="1"/>
  <c r="H104" i="21"/>
  <c r="N111" i="21"/>
  <c r="L106" i="21"/>
  <c r="H14" i="21"/>
  <c r="L110" i="21"/>
  <c r="L17" i="21"/>
  <c r="D20" i="21"/>
  <c r="G116" i="21"/>
  <c r="N105" i="21"/>
  <c r="N106" i="21"/>
  <c r="N107" i="21"/>
  <c r="N108" i="21"/>
  <c r="D103" i="21"/>
  <c r="D111" i="21"/>
  <c r="L105" i="21"/>
  <c r="L109" i="21"/>
  <c r="L113" i="21"/>
  <c r="L9" i="21"/>
  <c r="N110" i="21"/>
  <c r="H113" i="21"/>
  <c r="K116" i="21"/>
  <c r="K126" i="21" s="1"/>
  <c r="N104" i="21"/>
  <c r="H106" i="21"/>
  <c r="H103" i="21"/>
  <c r="F112" i="21"/>
  <c r="H112" i="21" s="1"/>
  <c r="F22" i="21"/>
  <c r="B22" i="21"/>
  <c r="L102" i="21"/>
  <c r="J22" i="21"/>
  <c r="H9" i="21"/>
  <c r="H13" i="21"/>
  <c r="L19" i="21"/>
  <c r="B112" i="21"/>
  <c r="D112" i="21" s="1"/>
  <c r="H8" i="21"/>
  <c r="D10" i="21"/>
  <c r="L10" i="21"/>
  <c r="D14" i="21"/>
  <c r="L14" i="21"/>
  <c r="L18" i="21"/>
  <c r="H102" i="21"/>
  <c r="F105" i="21"/>
  <c r="H105" i="21" s="1"/>
  <c r="F111" i="21"/>
  <c r="H111" i="21" s="1"/>
  <c r="N103" i="21"/>
  <c r="D11" i="21"/>
  <c r="L11" i="21"/>
  <c r="D15" i="21"/>
  <c r="L15" i="21"/>
  <c r="D19" i="21"/>
  <c r="D9" i="21"/>
  <c r="J116" i="21" l="1"/>
  <c r="K120" i="21" s="1"/>
  <c r="D116" i="21"/>
  <c r="L116" i="21"/>
  <c r="N116" i="21"/>
  <c r="K123" i="21" s="1"/>
  <c r="L22" i="21"/>
  <c r="H22" i="21"/>
  <c r="D22" i="21"/>
  <c r="H116" i="21"/>
  <c r="B116" i="21"/>
  <c r="F116" i="21"/>
  <c r="G37" i="15" l="1"/>
  <c r="L76" i="18" l="1"/>
  <c r="L75" i="18"/>
  <c r="J66" i="18"/>
  <c r="J64" i="18"/>
  <c r="S63" i="18"/>
  <c r="J63" i="18"/>
  <c r="C63" i="18"/>
  <c r="S62" i="18"/>
  <c r="G23" i="16" l="1"/>
  <c r="G22" i="16"/>
  <c r="G21" i="16"/>
  <c r="G20" i="16"/>
  <c r="G19" i="16"/>
  <c r="G18" i="16"/>
  <c r="G17" i="16"/>
  <c r="G16" i="16"/>
  <c r="G15" i="16"/>
  <c r="G14" i="16"/>
  <c r="G13" i="16"/>
  <c r="G12" i="16"/>
  <c r="G11" i="16"/>
  <c r="F43" i="15"/>
  <c r="F42" i="15"/>
  <c r="F41" i="15"/>
  <c r="F40" i="15"/>
  <c r="F37" i="15"/>
  <c r="F36" i="15"/>
  <c r="F35" i="15"/>
  <c r="F34" i="15"/>
  <c r="F32" i="15"/>
  <c r="F29" i="15"/>
  <c r="F28" i="15"/>
  <c r="F27" i="15"/>
  <c r="F26" i="15"/>
  <c r="F25" i="15"/>
  <c r="F24" i="15"/>
  <c r="F23" i="15"/>
  <c r="F21" i="15"/>
  <c r="F20" i="15"/>
  <c r="F19" i="15"/>
  <c r="F18" i="15"/>
  <c r="F17" i="15"/>
  <c r="F16" i="15"/>
  <c r="F15" i="15"/>
  <c r="F14" i="15"/>
  <c r="F13" i="15"/>
  <c r="F12" i="15"/>
  <c r="F11" i="15"/>
  <c r="F10" i="15"/>
  <c r="G22" i="9"/>
  <c r="G21" i="9"/>
  <c r="G20" i="9"/>
  <c r="G19" i="9"/>
  <c r="G18" i="9"/>
  <c r="G17" i="9"/>
  <c r="G16" i="9"/>
  <c r="G15" i="9"/>
  <c r="G14" i="9"/>
  <c r="G13" i="9"/>
  <c r="G12" i="9"/>
  <c r="G11" i="9"/>
  <c r="G10" i="9"/>
  <c r="F22" i="8"/>
  <c r="F21" i="8"/>
  <c r="F20" i="8"/>
  <c r="F19" i="8"/>
  <c r="F18" i="8"/>
  <c r="F17" i="8"/>
  <c r="F16" i="8"/>
  <c r="F15" i="8"/>
  <c r="F14" i="8"/>
  <c r="F13" i="8"/>
  <c r="F12" i="8"/>
  <c r="F11" i="8"/>
  <c r="F10" i="8"/>
  <c r="G22" i="7"/>
  <c r="G21" i="7"/>
  <c r="G20" i="7"/>
  <c r="G19" i="7"/>
  <c r="G18" i="7"/>
  <c r="G17" i="7"/>
  <c r="G16" i="7"/>
  <c r="G15" i="7"/>
  <c r="G14" i="7"/>
  <c r="G13" i="7"/>
  <c r="G12" i="7"/>
  <c r="G11" i="7"/>
  <c r="G10" i="7"/>
  <c r="G23" i="6"/>
  <c r="G22" i="6"/>
  <c r="G21" i="6"/>
  <c r="G20" i="6"/>
  <c r="G19" i="6"/>
  <c r="G18" i="6"/>
  <c r="G17" i="6"/>
  <c r="G16" i="6"/>
  <c r="G15" i="6"/>
  <c r="G14" i="6"/>
  <c r="G13" i="6"/>
  <c r="G12" i="6"/>
  <c r="G11" i="6"/>
  <c r="G22" i="5"/>
  <c r="G21" i="5"/>
  <c r="G20" i="5"/>
  <c r="G19" i="5"/>
  <c r="G18" i="5"/>
  <c r="G17" i="5"/>
  <c r="G16" i="5"/>
  <c r="G15" i="5"/>
  <c r="G14" i="5"/>
  <c r="G13" i="5"/>
  <c r="G12" i="5"/>
  <c r="G11" i="5"/>
  <c r="G10" i="5"/>
  <c r="D5" i="2"/>
  <c r="G21" i="1"/>
  <c r="G20" i="1"/>
  <c r="G19" i="1"/>
  <c r="G18" i="1"/>
  <c r="G17" i="1"/>
  <c r="G16" i="1"/>
  <c r="G15" i="1"/>
  <c r="G14" i="1"/>
  <c r="G13" i="1"/>
  <c r="G12" i="1"/>
  <c r="G11" i="1"/>
  <c r="G10" i="1"/>
  <c r="F57" i="4"/>
  <c r="F56" i="4"/>
  <c r="F55" i="4"/>
  <c r="F54" i="4"/>
  <c r="F53" i="4"/>
  <c r="F52" i="4"/>
  <c r="F51" i="4"/>
  <c r="F50" i="4"/>
  <c r="F49" i="4"/>
  <c r="F48" i="4"/>
  <c r="F47" i="4"/>
  <c r="F46" i="4"/>
  <c r="F45" i="4"/>
  <c r="F40" i="4"/>
  <c r="F39" i="4"/>
  <c r="F38" i="4"/>
  <c r="F37" i="4"/>
  <c r="F36" i="4"/>
  <c r="F35" i="4"/>
  <c r="F34" i="4"/>
  <c r="F33" i="4"/>
  <c r="F32" i="4"/>
  <c r="F31" i="4"/>
  <c r="F30" i="4"/>
  <c r="F29" i="4"/>
  <c r="F28" i="4"/>
  <c r="F22" i="4"/>
  <c r="F21" i="4"/>
  <c r="F20" i="4"/>
  <c r="F19" i="4"/>
  <c r="F18" i="4"/>
  <c r="F17" i="4"/>
  <c r="F16" i="4"/>
  <c r="F15" i="4"/>
  <c r="F14" i="4"/>
  <c r="F13" i="4"/>
  <c r="F12" i="4"/>
  <c r="F11" i="4"/>
  <c r="F10" i="4"/>
  <c r="F4" i="14" l="1"/>
  <c r="D20" i="23"/>
  <c r="E5" i="13"/>
  <c r="B5" i="25"/>
  <c r="D4" i="23"/>
  <c r="D7" i="8"/>
  <c r="E8" i="6"/>
  <c r="D7" i="15"/>
  <c r="D7" i="4"/>
  <c r="E7" i="3"/>
  <c r="E7" i="9"/>
  <c r="E7" i="1"/>
  <c r="E7" i="7"/>
  <c r="E8" i="16"/>
  <c r="E7" i="5"/>
  <c r="G26" i="15"/>
  <c r="K10" i="5" l="1"/>
  <c r="H30" i="13" l="1"/>
  <c r="D176" i="24" s="1"/>
  <c r="H31" i="13"/>
  <c r="I24" i="9"/>
  <c r="I282" i="24" s="1"/>
  <c r="I283" i="24" s="1"/>
  <c r="D288" i="24" s="1"/>
  <c r="J11" i="16" l="1"/>
  <c r="I25" i="16"/>
  <c r="E6" i="16"/>
  <c r="L42" i="4"/>
  <c r="K42" i="4"/>
  <c r="I42" i="4"/>
  <c r="H12" i="9" l="1"/>
  <c r="H13" i="9" s="1"/>
  <c r="H14" i="9" s="1"/>
  <c r="H15" i="9" s="1"/>
  <c r="H16" i="9" s="1"/>
  <c r="H17" i="9" s="1"/>
  <c r="H18" i="9" s="1"/>
  <c r="H19" i="9" s="1"/>
  <c r="H20" i="9" s="1"/>
  <c r="H21" i="9" s="1"/>
  <c r="H22" i="9" s="1"/>
  <c r="H42" i="4"/>
  <c r="D101" i="24" l="1"/>
  <c r="D5" i="15"/>
  <c r="E3" i="13"/>
  <c r="E5" i="9"/>
  <c r="D5" i="8"/>
  <c r="E5" i="7"/>
  <c r="E6" i="6"/>
  <c r="E5" i="3"/>
  <c r="E5" i="5"/>
  <c r="D5" i="4"/>
  <c r="E5" i="1"/>
  <c r="G30" i="15"/>
  <c r="I275" i="24" s="1"/>
  <c r="E9" i="13"/>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8" i="14"/>
  <c r="E9" i="14" s="1"/>
  <c r="E10" i="14" s="1"/>
  <c r="E11" i="14" s="1"/>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E34" i="14" s="1"/>
  <c r="E35" i="14" s="1"/>
  <c r="E36" i="14" s="1"/>
  <c r="E37" i="14" s="1"/>
  <c r="E38" i="14" s="1"/>
  <c r="E39" i="14" s="1"/>
  <c r="E40" i="14" s="1"/>
  <c r="E41" i="14" s="1"/>
  <c r="D11" i="15"/>
  <c r="D12" i="15" s="1"/>
  <c r="D13" i="15" s="1"/>
  <c r="D14" i="15" s="1"/>
  <c r="D15" i="15" s="1"/>
  <c r="D16" i="15" s="1"/>
  <c r="D17" i="15" s="1"/>
  <c r="D18" i="15" s="1"/>
  <c r="D19" i="15" s="1"/>
  <c r="D20" i="15" s="1"/>
  <c r="D21" i="15" s="1"/>
  <c r="D23" i="15" s="1"/>
  <c r="D24" i="15" s="1"/>
  <c r="D25" i="15" s="1"/>
  <c r="J19" i="18" l="1"/>
  <c r="F74" i="18"/>
  <c r="I101" i="24"/>
  <c r="G42" i="4"/>
  <c r="M32" i="4"/>
  <c r="M36" i="4"/>
  <c r="M33" i="4"/>
  <c r="M37" i="4"/>
  <c r="M30" i="4"/>
  <c r="M34" i="4"/>
  <c r="M38" i="4"/>
  <c r="M31" i="4"/>
  <c r="M35" i="4"/>
  <c r="M39" i="4"/>
  <c r="J42" i="4"/>
  <c r="D103" i="24" s="1"/>
  <c r="D22" i="15"/>
  <c r="D26" i="15"/>
  <c r="D27" i="15" s="1"/>
  <c r="D28" i="15" s="1"/>
  <c r="D29" i="15" s="1"/>
  <c r="D99" i="24" l="1"/>
  <c r="M42" i="4"/>
  <c r="D32" i="15"/>
  <c r="D33" i="15" s="1"/>
  <c r="D34" i="15" s="1"/>
  <c r="D35" i="15" s="1"/>
  <c r="D36" i="15" s="1"/>
  <c r="D37" i="15" s="1"/>
  <c r="D30" i="15"/>
  <c r="D31" i="15" s="1"/>
  <c r="I23" i="1"/>
  <c r="H23" i="1"/>
  <c r="J21" i="1"/>
  <c r="J20" i="1"/>
  <c r="J19" i="1"/>
  <c r="J18" i="1"/>
  <c r="J17" i="1"/>
  <c r="J16" i="1"/>
  <c r="J15" i="1"/>
  <c r="J14" i="1"/>
  <c r="J13" i="1"/>
  <c r="J12" i="1"/>
  <c r="J11" i="1"/>
  <c r="J10" i="1"/>
  <c r="D105" i="24" l="1"/>
  <c r="J23" i="1"/>
  <c r="D38" i="15"/>
  <c r="D39" i="15" s="1"/>
  <c r="D40" i="15" s="1"/>
  <c r="D41" i="15" s="1"/>
  <c r="D42" i="15" s="1"/>
  <c r="D43" i="15" s="1"/>
  <c r="H26" i="13" l="1"/>
  <c r="K27" i="4" l="1"/>
  <c r="K44" i="4" s="1"/>
  <c r="J27" i="4"/>
  <c r="J44" i="4" s="1"/>
  <c r="K11" i="4"/>
  <c r="K45" i="4"/>
  <c r="K46" i="4" l="1"/>
  <c r="K12" i="4"/>
  <c r="K13" i="4" l="1"/>
  <c r="K47" i="4"/>
  <c r="K48" i="4" l="1"/>
  <c r="K14" i="4"/>
  <c r="K15" i="4" l="1"/>
  <c r="K49" i="4"/>
  <c r="K50" i="4" l="1"/>
  <c r="K16" i="4"/>
  <c r="K17" i="4" l="1"/>
  <c r="K51" i="4"/>
  <c r="K52" i="4" l="1"/>
  <c r="K18" i="4"/>
  <c r="K19" i="4" l="1"/>
  <c r="K53" i="4"/>
  <c r="K54" i="4" l="1"/>
  <c r="K20" i="4"/>
  <c r="K21" i="4" l="1"/>
  <c r="K55" i="4"/>
  <c r="K56" i="4" l="1"/>
  <c r="K22" i="4"/>
  <c r="K57" i="4" l="1"/>
  <c r="K24" i="4"/>
  <c r="K59" i="4" s="1"/>
  <c r="M28" i="4" l="1"/>
  <c r="G11" i="8"/>
  <c r="G12" i="8" s="1"/>
  <c r="G13" i="8" s="1"/>
  <c r="G14" i="8" s="1"/>
  <c r="G15" i="8" s="1"/>
  <c r="G16" i="8" s="1"/>
  <c r="G17" i="8" s="1"/>
  <c r="G18" i="8" s="1"/>
  <c r="G19" i="8" s="1"/>
  <c r="G20" i="8" s="1"/>
  <c r="G21" i="8" s="1"/>
  <c r="G22" i="8" s="1"/>
  <c r="H24" i="8" l="1"/>
  <c r="D134" i="24" s="1"/>
  <c r="G24" i="8"/>
  <c r="H24" i="7"/>
  <c r="H24" i="9" l="1"/>
  <c r="D286" i="24" s="1"/>
  <c r="J25" i="6"/>
  <c r="I25" i="6"/>
  <c r="H25" i="6"/>
  <c r="K23" i="6"/>
  <c r="K22" i="6"/>
  <c r="K21" i="6"/>
  <c r="K20" i="6"/>
  <c r="K19" i="6"/>
  <c r="K18" i="6"/>
  <c r="K17" i="6"/>
  <c r="K16" i="6"/>
  <c r="K15" i="6"/>
  <c r="K14" i="6"/>
  <c r="K13" i="6"/>
  <c r="K12" i="6"/>
  <c r="K11" i="6"/>
  <c r="G17" i="3"/>
  <c r="G286" i="24" l="1"/>
  <c r="G294" i="24" s="1"/>
  <c r="I294" i="24" s="1"/>
  <c r="I296" i="24" s="1"/>
  <c r="D289" i="24"/>
  <c r="K25" i="6"/>
  <c r="E286" i="24" l="1"/>
  <c r="I286" i="24" s="1"/>
  <c r="E287" i="24"/>
  <c r="I287" i="24" s="1"/>
  <c r="E288" i="24"/>
  <c r="I288" i="24" s="1"/>
  <c r="K22" i="5"/>
  <c r="K21" i="5"/>
  <c r="K20" i="5"/>
  <c r="K19" i="5"/>
  <c r="K16" i="5"/>
  <c r="K15" i="5"/>
  <c r="K14" i="5"/>
  <c r="K13" i="5"/>
  <c r="K12" i="5"/>
  <c r="K11" i="5"/>
  <c r="J24" i="5"/>
  <c r="I24" i="5"/>
  <c r="H24" i="5"/>
  <c r="L57" i="4"/>
  <c r="J57" i="4"/>
  <c r="I57" i="4"/>
  <c r="L56" i="4"/>
  <c r="J56" i="4"/>
  <c r="I56" i="4"/>
  <c r="L55" i="4"/>
  <c r="J55" i="4"/>
  <c r="I55" i="4"/>
  <c r="L54" i="4"/>
  <c r="J54" i="4"/>
  <c r="I54" i="4"/>
  <c r="L53" i="4"/>
  <c r="J53" i="4"/>
  <c r="I53" i="4"/>
  <c r="L52" i="4"/>
  <c r="J52" i="4"/>
  <c r="I52" i="4"/>
  <c r="H52" i="4"/>
  <c r="L51" i="4"/>
  <c r="J51" i="4"/>
  <c r="I51" i="4"/>
  <c r="H51" i="4"/>
  <c r="L50" i="4"/>
  <c r="J50" i="4"/>
  <c r="I50" i="4"/>
  <c r="H50" i="4"/>
  <c r="L49" i="4"/>
  <c r="J49" i="4"/>
  <c r="I49" i="4"/>
  <c r="H49" i="4"/>
  <c r="L48" i="4"/>
  <c r="J48" i="4"/>
  <c r="I48" i="4"/>
  <c r="H48" i="4"/>
  <c r="L47" i="4"/>
  <c r="J47" i="4"/>
  <c r="I47" i="4"/>
  <c r="H47" i="4"/>
  <c r="L46" i="4"/>
  <c r="J46" i="4"/>
  <c r="I46" i="4"/>
  <c r="H46" i="4"/>
  <c r="L45" i="4"/>
  <c r="J45" i="4"/>
  <c r="I45" i="4"/>
  <c r="H45" i="4"/>
  <c r="G57" i="4"/>
  <c r="G56" i="4"/>
  <c r="G55" i="4"/>
  <c r="G54" i="4"/>
  <c r="G53" i="4"/>
  <c r="G52" i="4"/>
  <c r="G51" i="4"/>
  <c r="G50" i="4"/>
  <c r="G49" i="4"/>
  <c r="G48" i="4"/>
  <c r="G47" i="4"/>
  <c r="G46" i="4"/>
  <c r="G45" i="4"/>
  <c r="M29" i="4"/>
  <c r="M17" i="4"/>
  <c r="M16" i="4"/>
  <c r="M15" i="4"/>
  <c r="M14" i="4"/>
  <c r="M13" i="4"/>
  <c r="M12" i="4"/>
  <c r="M11" i="4"/>
  <c r="M10" i="4"/>
  <c r="L24" i="4"/>
  <c r="L59" i="4" s="1"/>
  <c r="J24" i="4"/>
  <c r="D94" i="24" s="1"/>
  <c r="D112" i="24" s="1"/>
  <c r="I24" i="4"/>
  <c r="G24" i="4"/>
  <c r="D90" i="24" s="1"/>
  <c r="D108" i="24" l="1"/>
  <c r="I289" i="24"/>
  <c r="I59" i="4"/>
  <c r="G59" i="4"/>
  <c r="J59" i="4"/>
  <c r="M46" i="4"/>
  <c r="M48" i="4"/>
  <c r="M50" i="4"/>
  <c r="M52" i="4"/>
  <c r="M51" i="4"/>
  <c r="M49" i="4"/>
  <c r="M47" i="4"/>
  <c r="M45" i="4"/>
  <c r="K24" i="5"/>
  <c r="D116" i="24" s="1"/>
  <c r="I116" i="24" s="1"/>
  <c r="M289" i="24" l="1"/>
  <c r="D203" i="24"/>
  <c r="I298" i="24"/>
  <c r="H53" i="4"/>
  <c r="M18" i="4"/>
  <c r="M298" i="24" l="1"/>
  <c r="J57" i="18"/>
  <c r="M53" i="4"/>
  <c r="M19" i="4"/>
  <c r="M54" i="4" s="1"/>
  <c r="H54" i="4"/>
  <c r="M20" i="4" l="1"/>
  <c r="H55" i="4"/>
  <c r="M40" i="4" l="1"/>
  <c r="H56" i="4"/>
  <c r="M21" i="4"/>
  <c r="M55" i="4"/>
  <c r="M56" i="4" l="1"/>
  <c r="H57" i="4"/>
  <c r="M22" i="4"/>
  <c r="H24" i="4"/>
  <c r="D92" i="24" s="1"/>
  <c r="I92" i="24" l="1"/>
  <c r="I110" i="24" s="1"/>
  <c r="I244" i="24"/>
  <c r="D110" i="24"/>
  <c r="D96" i="24"/>
  <c r="D269" i="24" s="1"/>
  <c r="D272" i="24" s="1"/>
  <c r="G270" i="24" s="1"/>
  <c r="H59" i="4"/>
  <c r="M57" i="4"/>
  <c r="M24" i="4"/>
  <c r="M59" i="4" s="1"/>
  <c r="I247" i="24" l="1"/>
  <c r="I249" i="24"/>
  <c r="D114" i="24"/>
  <c r="J23" i="16"/>
  <c r="J32" i="16" s="1"/>
  <c r="E263" i="24" l="1"/>
  <c r="G263" i="24" s="1"/>
  <c r="G266" i="24" s="1"/>
  <c r="I266" i="24" s="1"/>
  <c r="G17" i="24"/>
  <c r="G91" i="24"/>
  <c r="I257" i="24"/>
  <c r="J12" i="16"/>
  <c r="I91" i="24" l="1"/>
  <c r="G100" i="24"/>
  <c r="I17" i="24"/>
  <c r="G18" i="24"/>
  <c r="M266" i="24"/>
  <c r="I270" i="24"/>
  <c r="K270" i="24" s="1"/>
  <c r="G95" i="24" s="1"/>
  <c r="G94" i="24"/>
  <c r="J13" i="16"/>
  <c r="G103" i="24" l="1"/>
  <c r="I94" i="24"/>
  <c r="G104" i="24"/>
  <c r="I95" i="24"/>
  <c r="G129" i="24"/>
  <c r="I100" i="24"/>
  <c r="G19" i="24"/>
  <c r="I18" i="24"/>
  <c r="J14" i="16"/>
  <c r="I96" i="24" l="1"/>
  <c r="G96" i="24" s="1"/>
  <c r="G134" i="24" s="1"/>
  <c r="G195" i="24"/>
  <c r="I19" i="24"/>
  <c r="G20" i="24"/>
  <c r="I20" i="24" s="1"/>
  <c r="G178" i="24"/>
  <c r="I104" i="24"/>
  <c r="I129" i="24"/>
  <c r="G183" i="24"/>
  <c r="I183" i="24" s="1"/>
  <c r="P74" i="18" s="1"/>
  <c r="I109" i="24"/>
  <c r="G174" i="24"/>
  <c r="I103" i="24"/>
  <c r="I112" i="24" s="1"/>
  <c r="J15" i="16"/>
  <c r="I21" i="24" l="1"/>
  <c r="I105" i="24"/>
  <c r="I178" i="24"/>
  <c r="G187" i="24"/>
  <c r="I187" i="24" s="1"/>
  <c r="I134" i="24"/>
  <c r="M134" i="24"/>
  <c r="M195" i="24"/>
  <c r="I195" i="24"/>
  <c r="G198" i="24"/>
  <c r="I198" i="24" s="1"/>
  <c r="G197" i="24"/>
  <c r="I197" i="24" s="1"/>
  <c r="I113" i="24"/>
  <c r="I114" i="24" s="1"/>
  <c r="G114" i="24" s="1"/>
  <c r="G175" i="24"/>
  <c r="G186" i="24"/>
  <c r="I174" i="24"/>
  <c r="J16" i="16"/>
  <c r="G210" i="24" l="1"/>
  <c r="I210" i="24" s="1"/>
  <c r="G120" i="24"/>
  <c r="I175" i="24"/>
  <c r="G176" i="24"/>
  <c r="I176" i="24" s="1"/>
  <c r="G192" i="24"/>
  <c r="I186" i="24"/>
  <c r="J17" i="16"/>
  <c r="I192" i="24" l="1"/>
  <c r="G193" i="24"/>
  <c r="I193" i="24" s="1"/>
  <c r="I188" i="24"/>
  <c r="J37" i="18"/>
  <c r="I120" i="24"/>
  <c r="G121" i="24"/>
  <c r="J18" i="16"/>
  <c r="I199" i="24" l="1"/>
  <c r="J41" i="18" s="1"/>
  <c r="G122" i="24"/>
  <c r="I122" i="24" s="1"/>
  <c r="I121" i="24"/>
  <c r="G123" i="24"/>
  <c r="I123" i="24" s="1"/>
  <c r="J19" i="16"/>
  <c r="J22" i="16" l="1"/>
  <c r="J20" i="16"/>
  <c r="J21" i="16" l="1"/>
  <c r="H25" i="16"/>
  <c r="J25" i="16" s="1"/>
  <c r="D126" i="24" s="1"/>
  <c r="D127" i="24" l="1"/>
  <c r="I126" i="24"/>
  <c r="J18" i="18"/>
  <c r="E74" i="18"/>
  <c r="L74" i="18" s="1"/>
  <c r="D139" i="24"/>
  <c r="D216" i="24" s="1"/>
  <c r="G35" i="14"/>
  <c r="D171" i="24" s="1"/>
  <c r="I252" i="24" l="1"/>
  <c r="D180" i="24"/>
  <c r="D132" i="24" s="1"/>
  <c r="D135" i="24" s="1"/>
  <c r="D137" i="24" s="1"/>
  <c r="D213" i="24" s="1"/>
  <c r="I139" i="24"/>
  <c r="I216" i="24" s="1"/>
  <c r="I127" i="24"/>
  <c r="G39" i="14"/>
  <c r="J20" i="18"/>
  <c r="J42" i="18"/>
  <c r="L42" i="18" s="1"/>
  <c r="J38" i="18"/>
  <c r="L38" i="18" s="1"/>
  <c r="D209" i="24" l="1"/>
  <c r="D211" i="24" s="1"/>
  <c r="J47" i="18" s="1"/>
  <c r="I254" i="24"/>
  <c r="I256" i="24" s="1"/>
  <c r="I258" i="24" s="1"/>
  <c r="G171" i="24" l="1"/>
  <c r="G133" i="24"/>
  <c r="I133" i="24" s="1"/>
  <c r="D219" i="24"/>
  <c r="G173" i="24" l="1"/>
  <c r="I173" i="24" s="1"/>
  <c r="J26" i="18" s="1"/>
  <c r="G177" i="24"/>
  <c r="I177" i="24" s="1"/>
  <c r="I171" i="24"/>
  <c r="J24" i="18" l="1"/>
  <c r="J27" i="18" s="1"/>
  <c r="J29" i="18" s="1"/>
  <c r="L29" i="18" s="1"/>
  <c r="I180" i="24"/>
  <c r="R94" i="18"/>
  <c r="I132" i="24" l="1"/>
  <c r="I135" i="24" s="1"/>
  <c r="I137" i="24" s="1"/>
  <c r="I213" i="24" s="1"/>
  <c r="J23" i="18"/>
  <c r="J33" i="18" s="1"/>
  <c r="J34" i="18" s="1"/>
  <c r="G74" i="18"/>
  <c r="H74" i="18" s="1"/>
  <c r="G76" i="18"/>
  <c r="H76" i="18" s="1"/>
  <c r="G75" i="18"/>
  <c r="H75" i="18" s="1"/>
  <c r="J48" i="18"/>
  <c r="L48" i="18" s="1"/>
  <c r="L34" i="18" l="1"/>
  <c r="L44" i="18" s="1"/>
  <c r="J44" i="18"/>
  <c r="J51" i="18"/>
  <c r="J52" i="18" s="1"/>
  <c r="L52" i="18" s="1"/>
  <c r="L54" i="18" s="1"/>
  <c r="M76" i="18" s="1"/>
  <c r="O76" i="18" s="1"/>
  <c r="I209" i="24"/>
  <c r="I211" i="24" s="1"/>
  <c r="I219" i="24" s="1"/>
  <c r="L57" i="18"/>
  <c r="N74" i="18"/>
  <c r="N96" i="18" s="1"/>
  <c r="I75" i="18" l="1"/>
  <c r="J75" i="18" s="1"/>
  <c r="K75" i="18" s="1"/>
  <c r="I74" i="18"/>
  <c r="J74" i="18" s="1"/>
  <c r="K74" i="18" s="1"/>
  <c r="I76" i="18"/>
  <c r="J76" i="18" s="1"/>
  <c r="K76" i="18" s="1"/>
  <c r="Q76" i="18" s="1"/>
  <c r="S76" i="18" s="1"/>
  <c r="M74" i="18"/>
  <c r="M75" i="18"/>
  <c r="O75" i="18" s="1"/>
  <c r="Q75" i="18" l="1"/>
  <c r="S75" i="18" s="1"/>
  <c r="O74" i="18"/>
  <c r="Q74" i="18" s="1"/>
  <c r="M96" i="18"/>
  <c r="S74" i="18" l="1"/>
  <c r="Q94" i="18"/>
  <c r="Q96" i="18" s="1"/>
  <c r="D226" i="24" s="1"/>
  <c r="D227" i="24" l="1"/>
  <c r="I226" i="24"/>
  <c r="I227" i="24" s="1"/>
  <c r="I14" i="24" s="1"/>
  <c r="I31" i="24" s="1"/>
  <c r="S94" i="18"/>
</calcChain>
</file>

<file path=xl/comments1.xml><?xml version="1.0" encoding="utf-8"?>
<comments xmlns="http://schemas.openxmlformats.org/spreadsheetml/2006/main">
  <authors>
    <author>Malinda Hibben</author>
  </authors>
  <commentList>
    <comment ref="F50" authorId="0" shapeId="0">
      <text>
        <r>
          <rPr>
            <b/>
            <sz val="9"/>
            <color indexed="81"/>
            <rFont val="Tahoma"/>
            <family val="2"/>
          </rPr>
          <t>Malinda Hibben:</t>
        </r>
        <r>
          <rPr>
            <sz val="9"/>
            <color indexed="81"/>
            <rFont val="Tahoma"/>
            <family val="2"/>
          </rPr>
          <t xml:space="preserve">
Use monthly avg for quarter. Not the month value.</t>
        </r>
      </text>
    </comment>
  </commentList>
</comments>
</file>

<file path=xl/comments2.xml><?xml version="1.0" encoding="utf-8"?>
<comments xmlns="http://schemas.openxmlformats.org/spreadsheetml/2006/main">
  <authors>
    <author>Malinda Hibben</author>
  </authors>
  <commentList>
    <comment ref="I22" authorId="0" shapeId="0">
      <text>
        <r>
          <rPr>
            <b/>
            <sz val="9"/>
            <color indexed="81"/>
            <rFont val="Tahoma"/>
            <family val="2"/>
          </rPr>
          <t>Malinda Hibben:</t>
        </r>
        <r>
          <rPr>
            <sz val="9"/>
            <color indexed="81"/>
            <rFont val="Tahoma"/>
            <family val="2"/>
          </rPr>
          <t xml:space="preserve">
Sold UPES Dec 2016</t>
        </r>
      </text>
    </comment>
  </commentList>
</comments>
</file>

<file path=xl/sharedStrings.xml><?xml version="1.0" encoding="utf-8"?>
<sst xmlns="http://schemas.openxmlformats.org/spreadsheetml/2006/main" count="1363" uniqueCount="876">
  <si>
    <t>Line No.</t>
  </si>
  <si>
    <t xml:space="preserve">Month </t>
  </si>
  <si>
    <t>Year</t>
  </si>
  <si>
    <t>Attachment O Workpapers - Divisor</t>
  </si>
  <si>
    <t xml:space="preserve">Attachment O Workpapers </t>
  </si>
  <si>
    <t>Total Divisor</t>
  </si>
  <si>
    <t>January</t>
  </si>
  <si>
    <t>February</t>
  </si>
  <si>
    <t>March</t>
  </si>
  <si>
    <t>April</t>
  </si>
  <si>
    <t>May</t>
  </si>
  <si>
    <t>June</t>
  </si>
  <si>
    <t>July</t>
  </si>
  <si>
    <t>August</t>
  </si>
  <si>
    <t>September</t>
  </si>
  <si>
    <t>October</t>
  </si>
  <si>
    <t>November</t>
  </si>
  <si>
    <t>December</t>
  </si>
  <si>
    <t>12 Month Average</t>
  </si>
  <si>
    <t>Production</t>
  </si>
  <si>
    <t>Transmission</t>
  </si>
  <si>
    <t>Distribution</t>
  </si>
  <si>
    <t>Common</t>
  </si>
  <si>
    <t>13 Month Average</t>
  </si>
  <si>
    <t>Total Gross Plant in Service</t>
  </si>
  <si>
    <t>Gross Plant in Service</t>
  </si>
  <si>
    <t>Accumulated Depreciation</t>
  </si>
  <si>
    <t>Total Accumulated Depreciation</t>
  </si>
  <si>
    <t>Net Plant</t>
  </si>
  <si>
    <t>Total Net Plant in Service</t>
  </si>
  <si>
    <t>Attachment O Workpapers - Construction Work In Progress</t>
  </si>
  <si>
    <t>Attachment O Workpapers - Plant</t>
  </si>
  <si>
    <t>Fargo Phase 2</t>
  </si>
  <si>
    <t>Fargo Phase 3</t>
  </si>
  <si>
    <t>Brookings</t>
  </si>
  <si>
    <t>Total CWIP</t>
  </si>
  <si>
    <t>Account 190</t>
  </si>
  <si>
    <t>Total Adjustments to Rate Base</t>
  </si>
  <si>
    <t>Attachment O Workpapers - Adjustments to Rate Base</t>
  </si>
  <si>
    <t>Adjustments to Rate Base</t>
  </si>
  <si>
    <t>Account 281 (enter as negative)</t>
  </si>
  <si>
    <t>Account 282  (enter as negative)</t>
  </si>
  <si>
    <t>Account 283  (enter as negative)</t>
  </si>
  <si>
    <t>Account 255  (enter as negative)</t>
  </si>
  <si>
    <t>Total Abandoned Plant</t>
  </si>
  <si>
    <t>Attachment O Workpapers - Abandoned Plant</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</si>
  <si>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</si>
  <si>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</si>
  <si>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Materials and Supplies</t>
  </si>
  <si>
    <t>Prepayments - Account 165</t>
  </si>
  <si>
    <t>Attachment O Workpapers - Materials &amp; Supplies and Prepayments</t>
  </si>
  <si>
    <t>Attachment O Workpapers - Capital Structure</t>
  </si>
  <si>
    <t>Outstanding Long-term Debt</t>
  </si>
  <si>
    <t>Expense</t>
  </si>
  <si>
    <t>LSE Expenses included in Transmission O&amp;M Accounts</t>
  </si>
  <si>
    <t>FERC Annual Fees</t>
  </si>
  <si>
    <t>EPRI &amp; Regulatory Commission Expenses &amp; Non-safety Advertising</t>
  </si>
  <si>
    <t>Transmission Related Regulatory Commission Expenses</t>
  </si>
  <si>
    <t>Common Expenses</t>
  </si>
  <si>
    <t>Transmission Lease Payments</t>
  </si>
  <si>
    <t>Transmission Plant Depreciation Expense</t>
  </si>
  <si>
    <t>General Plant Depreciation Expense</t>
  </si>
  <si>
    <t>Common Plant Depreciation Expense</t>
  </si>
  <si>
    <t>Payroll Taxes</t>
  </si>
  <si>
    <t>Highway and Vehicle Taxes</t>
  </si>
  <si>
    <t>Property Taxes</t>
  </si>
  <si>
    <t>Gross Receipts Taxes</t>
  </si>
  <si>
    <t>Other Taxes</t>
  </si>
  <si>
    <t>Payments in Lieu of Taxes</t>
  </si>
  <si>
    <t>Wages and Salaries</t>
  </si>
  <si>
    <t xml:space="preserve">Production </t>
  </si>
  <si>
    <t>Other</t>
  </si>
  <si>
    <t xml:space="preserve">General </t>
  </si>
  <si>
    <t>Intangible</t>
  </si>
  <si>
    <t>Transmission O&amp;M Expense</t>
  </si>
  <si>
    <t>Administrative and General Expense</t>
  </si>
  <si>
    <t>Amount</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</si>
  <si>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</si>
  <si>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</si>
  <si>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</si>
  <si>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</si>
  <si>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</si>
  <si>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</si>
  <si>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</si>
  <si>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</si>
  <si>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</si>
  <si>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</si>
  <si>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</si>
  <si>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</si>
  <si>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</si>
  <si>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</si>
  <si>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</si>
  <si>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</si>
  <si>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</si>
  <si>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</si>
  <si>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</si>
  <si>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</si>
  <si>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</si>
  <si>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</si>
  <si>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</si>
  <si>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</si>
  <si>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</si>
  <si>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</si>
  <si>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</si>
  <si>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</si>
  <si>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</si>
  <si>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</si>
  <si>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</si>
  <si>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</si>
  <si>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</si>
  <si>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</si>
  <si>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</si>
  <si>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</si>
  <si>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</si>
  <si>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</si>
  <si>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</si>
  <si>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</si>
  <si>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</si>
  <si>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</si>
  <si>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</si>
  <si>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</si>
  <si>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</si>
  <si>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</si>
  <si>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Total A&amp;G Per Budget</t>
  </si>
  <si>
    <t>Attachment O Workpapers - Budgeted A&amp;G Expenses</t>
  </si>
  <si>
    <t>Total Budgeted Transmisison O&amp;M</t>
  </si>
  <si>
    <t>427- Long Term Interest Expense</t>
  </si>
  <si>
    <t>428- Amortization of debt discount and expense</t>
  </si>
  <si>
    <t>428.1- Amortization of loss on reacquired debt</t>
  </si>
  <si>
    <t>429- Amortization of premium on debt</t>
  </si>
  <si>
    <t>429.1 Amortization of gain on reacquired debt</t>
  </si>
  <si>
    <t>430- Interest on debt to associated companies</t>
  </si>
  <si>
    <t>431- Other interest expense</t>
  </si>
  <si>
    <t>454- Rent from Electric Property</t>
  </si>
  <si>
    <t>Attach O, page 3, line 3 and EIA 412, Sch 7, line 13</t>
  </si>
  <si>
    <t>Attach O, page 3, line 5a</t>
  </si>
  <si>
    <t>Attach O, page 3, line 5</t>
  </si>
  <si>
    <t>Attach O, page 3, line 4</t>
  </si>
  <si>
    <t>Attach O, page 4, line 35</t>
  </si>
  <si>
    <t>Attach O, page 4, line 36</t>
  </si>
  <si>
    <t>Attach O, page 4, line 36a</t>
  </si>
  <si>
    <t>Attach O, page 4, line 36b</t>
  </si>
  <si>
    <t>Attach O, page 4, line 12</t>
  </si>
  <si>
    <t>Attach O, page 4, line 13</t>
  </si>
  <si>
    <t>Attach O, page 4, line 14</t>
  </si>
  <si>
    <t>Attach O, page 4, line 15</t>
  </si>
  <si>
    <t>Attach O, page 3, line 6</t>
  </si>
  <si>
    <t>Attach O, page 3, line 7</t>
  </si>
  <si>
    <t>Attach O, page 3, line 9</t>
  </si>
  <si>
    <t>Attach O, page 3, line 10</t>
  </si>
  <si>
    <t>Attach O, page 3, line 11</t>
  </si>
  <si>
    <t>Attach O, page 3, line 13</t>
  </si>
  <si>
    <t>Attach O, page 3, line 14</t>
  </si>
  <si>
    <t>Attach O, page 3, line 16</t>
  </si>
  <si>
    <t>Attach O, page 3, line 17</t>
  </si>
  <si>
    <t>Attach O, page 3, line 18</t>
  </si>
  <si>
    <t>Attach O, page 3, line 19</t>
  </si>
  <si>
    <t>Attach O, page 4, line 21</t>
  </si>
  <si>
    <t>Attach O, page 4, line 34</t>
  </si>
  <si>
    <t>Attachment O Work papers - Other Expenses/ Income</t>
  </si>
  <si>
    <t>456.1- Other Electric Revenue</t>
  </si>
  <si>
    <t>a. Transmission charges for transmission transactions</t>
  </si>
  <si>
    <t>b. Transmission charges for all transmission transactions included in Divisor on page 1</t>
  </si>
  <si>
    <t>c. Transmission charges associated with Schedule 26</t>
  </si>
  <si>
    <t>d. Transmission charges associated with Schedule 26-A</t>
  </si>
  <si>
    <t>Total Interest Expense</t>
  </si>
  <si>
    <t>Attach O, page 1, line 8</t>
  </si>
  <si>
    <t>Attachment O, Page 2</t>
  </si>
  <si>
    <t>Line 1</t>
  </si>
  <si>
    <t>Line 2</t>
  </si>
  <si>
    <t>Line 3</t>
  </si>
  <si>
    <t>Line 4</t>
  </si>
  <si>
    <t>Line 5</t>
  </si>
  <si>
    <t>Line 7</t>
  </si>
  <si>
    <t>Line 8</t>
  </si>
  <si>
    <t>Line 9</t>
  </si>
  <si>
    <t>Line 10</t>
  </si>
  <si>
    <t>Line 11</t>
  </si>
  <si>
    <t>Line 18a</t>
  </si>
  <si>
    <t>Attachment O, Page 4</t>
  </si>
  <si>
    <t>Line 27</t>
  </si>
  <si>
    <t>Line 28</t>
  </si>
  <si>
    <t>Line 22</t>
  </si>
  <si>
    <t>Line 23</t>
  </si>
  <si>
    <t>Other Attachment O A&amp;G Expense Information</t>
  </si>
  <si>
    <t>Central Minnesota Municipal PowerAgency</t>
  </si>
  <si>
    <t>XX Pricing Zone</t>
  </si>
  <si>
    <t>Brookings to Hampton</t>
  </si>
  <si>
    <t>Big Stone South to Brookings</t>
  </si>
  <si>
    <t>Difference - check</t>
  </si>
  <si>
    <t>Net Assets (Proprietary Capital)</t>
  </si>
  <si>
    <t>566 – Miscellaneous Transmission Expenses Including Reg Asset Amortization</t>
  </si>
  <si>
    <t>Year End Net Plant</t>
  </si>
  <si>
    <t>Attachment O Workpapers - Regulatory Asset</t>
  </si>
  <si>
    <t>Total Regualtory Asset Balance</t>
  </si>
  <si>
    <t>Total Regulatory Asset Amortization</t>
  </si>
  <si>
    <t>Unamortized Regulatory Asset Balance</t>
  </si>
  <si>
    <t>2011 Deferred Regulatory Asset</t>
  </si>
  <si>
    <t>Line  25</t>
  </si>
  <si>
    <t>Account 216.1</t>
  </si>
  <si>
    <t>date:</t>
  </si>
  <si>
    <t>completed by:</t>
  </si>
  <si>
    <t>email:</t>
  </si>
  <si>
    <t>Forecasted</t>
  </si>
  <si>
    <t>Actual</t>
  </si>
  <si>
    <t>submission type:</t>
  </si>
  <si>
    <t>ER14-426 Regulatory Asset</t>
  </si>
  <si>
    <t>Attachment O-CMMPA Agency</t>
  </si>
  <si>
    <t>page 1 of 5</t>
  </si>
  <si>
    <t xml:space="preserve">Formula Rate - Non-Levelized </t>
  </si>
  <si>
    <t>Rate Formula Template</t>
  </si>
  <si>
    <t xml:space="preserve"> </t>
  </si>
  <si>
    <t>Utilizing FERC Form 1 Data</t>
  </si>
  <si>
    <t>CMMPA Agency</t>
  </si>
  <si>
    <t>Line</t>
  </si>
  <si>
    <t>Allocated</t>
  </si>
  <si>
    <t>No.</t>
  </si>
  <si>
    <t>GROSS REVENUE REQUIREMENT  (page 3, line 31)</t>
  </si>
  <si>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</si>
  <si>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</si>
  <si>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</si>
  <si>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</si>
  <si>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</si>
  <si>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</si>
  <si>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</si>
  <si>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</si>
  <si>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</si>
  <si>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</si>
  <si>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</si>
  <si>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</si>
  <si>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</si>
  <si>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Elimination of revenue requirement rounding differences (Note FF)</t>
  </si>
  <si>
    <t>6b</t>
  </si>
  <si>
    <t>Historic Year Actual ATRR</t>
  </si>
  <si>
    <t>(Note RR)</t>
  </si>
  <si>
    <t>6c</t>
  </si>
  <si>
    <t>Historic Year Actual Revenue</t>
  </si>
  <si>
    <t>6d</t>
  </si>
  <si>
    <t>Historic Year True-up</t>
  </si>
  <si>
    <t>(line 6b - line 6c)</t>
  </si>
  <si>
    <t>6e</t>
  </si>
  <si>
    <t>Interest on Historic Year True-up</t>
  </si>
  <si>
    <t>NET REVENUE REQUIREMENT</t>
  </si>
  <si>
    <t>(line 1 - line 6 + line 6a + line 6d + line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</si>
  <si>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</si>
  <si>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</si>
  <si>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</si>
  <si>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</si>
  <si>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</si>
  <si>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</si>
  <si>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</si>
  <si>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</si>
  <si>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</si>
  <si>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</si>
  <si>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</si>
  <si>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</si>
  <si>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</si>
  <si>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</si>
  <si>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</si>
  <si>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</si>
  <si>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</si>
  <si>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</si>
  <si>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</si>
  <si>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</si>
  <si>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</si>
  <si>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</si>
  <si>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</si>
  <si>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</si>
  <si>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</si>
  <si>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</si>
  <si>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</si>
  <si>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</si>
  <si>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</si>
  <si>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</si>
  <si>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</si>
  <si>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</si>
  <si>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</si>
  <si>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</si>
  <si>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(1)</t>
  </si>
  <si>
    <t>(2)</t>
  </si>
  <si>
    <t>(3)</t>
  </si>
  <si>
    <t>(4)</t>
  </si>
  <si>
    <t>(5)</t>
  </si>
  <si>
    <t>Form No. 1</t>
  </si>
  <si>
    <t>Page, Line, Col.</t>
  </si>
  <si>
    <t>Company Total</t>
  </si>
  <si>
    <t xml:space="preserve">                  Allocator</t>
  </si>
  <si>
    <t>(Col 3 times Col 4)</t>
  </si>
  <si>
    <t>RATE BASE:</t>
  </si>
  <si>
    <t>GROSS PLANT IN SERVICE (Note AA and Note PP)</t>
  </si>
  <si>
    <t xml:space="preserve">  Production</t>
  </si>
  <si>
    <t>205.46.g</t>
  </si>
  <si>
    <t>NA</t>
  </si>
  <si>
    <t xml:space="preserve">  Transmission</t>
  </si>
  <si>
    <t>207.58.g</t>
  </si>
  <si>
    <t>2a</t>
  </si>
  <si>
    <t>Transmission for project(s) with FERC approved incentives (Note DD)</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</si>
  <si>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</si>
  <si>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</si>
  <si>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</si>
  <si>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</si>
  <si>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</si>
  <si>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</si>
  <si>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</si>
  <si>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</si>
  <si>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</si>
  <si>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</si>
  <si>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AA and Note PP)</t>
  </si>
  <si>
    <t>219.20-24.c</t>
  </si>
  <si>
    <t>219.25.c</t>
  </si>
  <si>
    <t>8a</t>
  </si>
  <si>
    <t>219.26.c</t>
  </si>
  <si>
    <t>219.28.c &amp; 200.21.c</t>
  </si>
  <si>
    <t>TOTAL ACCUM. DEPRECIATION  (sum lines 7-11)</t>
  </si>
  <si>
    <t>NET PLANT IN SERVICE</t>
  </si>
  <si>
    <t>(line 1- line 7)</t>
  </si>
  <si>
    <t>(line 2- line 8)</t>
  </si>
  <si>
    <t>14a</t>
  </si>
  <si>
    <t>Transmission for project(s) with FERC approved incentives (line 2a - line 8a) (Note DD)</t>
  </si>
  <si>
    <t>(line 3 - line 9)</t>
  </si>
  <si>
    <t>(line 4 - line 10)</t>
  </si>
  <si>
    <t>(line 5 - line 11)</t>
  </si>
  <si>
    <t>TOTAL NET PLANT  (sum lines 13-17)</t>
  </si>
  <si>
    <t>NP=</t>
  </si>
  <si>
    <t>18a</t>
  </si>
  <si>
    <t>CWIP Recovery for Incentive Projects Approved by FERC (Note Y and Note PP)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</si>
  <si>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</si>
  <si>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</si>
  <si>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</si>
  <si>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</si>
  <si>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</si>
  <si>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</si>
  <si>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</si>
  <si>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</si>
  <si>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</si>
  <si>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</si>
  <si>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</si>
  <si>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</si>
  <si>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</si>
  <si>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23a</t>
  </si>
  <si>
    <t>Prefunded AFUDC on CWIP Included in Rate Base (Line 18a) (enter negative) (Note Z)</t>
  </si>
  <si>
    <t>23b</t>
  </si>
  <si>
    <t>Unamortized Balance of Abandoned Plant (Note Z and Note PP)</t>
  </si>
  <si>
    <t>23c</t>
  </si>
  <si>
    <t>Unamortized Regulatory Asset (Note OO and Note PP)</t>
  </si>
  <si>
    <t>TOTAL ADJUSTMENTS  (sum lines 19 - 23c)</t>
  </si>
  <si>
    <t xml:space="preserve">LAND HELD FOR FUTURE USE </t>
  </si>
  <si>
    <t>214.x.d  (Note G and Note PP)</t>
  </si>
  <si>
    <t>WORKING CAPITAL  (Note H)</t>
  </si>
  <si>
    <t xml:space="preserve">  CWC  </t>
  </si>
  <si>
    <t>calculated</t>
  </si>
  <si>
    <t xml:space="preserve">  Materials &amp; Supplies  (Note G and Note PP)</t>
  </si>
  <si>
    <t>227.8.c &amp; .16.c</t>
  </si>
  <si>
    <t>TE</t>
  </si>
  <si>
    <t xml:space="preserve">  Prepayments (Account 165) (Note PP)</t>
  </si>
  <si>
    <t>111.57.c</t>
  </si>
  <si>
    <t>GP</t>
  </si>
  <si>
    <t>TOTAL WORKING CAPITAL  (sum lines 26 - 28)</t>
  </si>
  <si>
    <t xml:space="preserve">RATE BASE  (lines 18+24+25+29-14a-23a-23b-23c) (Note CC) </t>
  </si>
  <si>
    <t>30a</t>
  </si>
  <si>
    <t xml:space="preserve">RATE BASE EARNING HCSR (lines 14a+18a+23a+23b+23c) (Note EE) </t>
  </si>
  <si>
    <t>page 3 of 5</t>
  </si>
  <si>
    <t xml:space="preserve">     Rate Formula Template</t>
  </si>
  <si>
    <t xml:space="preserve"> Utilizing FERC Form 1 Data</t>
  </si>
  <si>
    <t>O&amp;M (Note BB and Note QQ)</t>
  </si>
  <si>
    <t xml:space="preserve">  Transmission (Note KK)</t>
  </si>
  <si>
    <t>321.112.b</t>
  </si>
  <si>
    <t>1a</t>
  </si>
  <si>
    <t xml:space="preserve">     Less LSE Expenses included in Transmission O&amp;M Accounts  (Note V)</t>
  </si>
  <si>
    <t xml:space="preserve">     Less Account 565</t>
  </si>
  <si>
    <t>321.96.b</t>
  </si>
  <si>
    <t xml:space="preserve">  A&amp;G </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</si>
  <si>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</si>
  <si>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</si>
  <si>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</si>
  <si>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</si>
  <si>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</si>
  <si>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</si>
  <si>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r>
      <t xml:space="preserve">TOTAL O&amp;M  (sum lines 1, </t>
    </r>
    <r>
      <rPr>
        <sz val="12"/>
        <rFont val="Times New Roman"/>
        <family val="1"/>
      </rPr>
      <t>3, 5a, 6, 7 less lines 1a, 2, 4, 5)</t>
    </r>
  </si>
  <si>
    <t>DEPRECIATION AND AMORTIZATION EXPENSE (NOTE AA and Note QQ)</t>
  </si>
  <si>
    <t>336.7.b</t>
  </si>
  <si>
    <t>9a</t>
  </si>
  <si>
    <t xml:space="preserve">  AFUDC Amortization (enter negative) (Note Z)</t>
  </si>
  <si>
    <t>9b</t>
  </si>
  <si>
    <t xml:space="preserve">  Abandoned Plant Amortization (Note Z)</t>
  </si>
  <si>
    <t>336.10.f &amp; 336.1.f</t>
  </si>
  <si>
    <t>336.11.b</t>
  </si>
  <si>
    <t>TOTAL DEPRECIATION  (sum lines 9 - 11)</t>
  </si>
  <si>
    <t>TAXES OTHER THAN INCOME TAXES  (Note J and Note QQ)</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</si>
  <si>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</si>
  <si>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</si>
  <si>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</si>
  <si>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</si>
  <si>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</si>
  <si>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</si>
  <si>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</si>
  <si>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</si>
  <si>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</si>
  <si>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</si>
  <si>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</si>
  <si>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</si>
  <si>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</si>
  <si>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</si>
  <si>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</si>
  <si>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</si>
  <si>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</si>
  <si>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</si>
  <si>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</si>
  <si>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</si>
  <si>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</si>
  <si>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</si>
  <si>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RETURN</t>
  </si>
  <si>
    <t xml:space="preserve">  [ Rate Base (page 2, line 30 + 30a) * Rate of Return (page 4, line 30)]</t>
  </si>
  <si>
    <t>28a</t>
  </si>
  <si>
    <t>RETURN FROM HCSR (Note GG)</t>
  </si>
  <si>
    <t xml:space="preserve">  [ Rate Base (page 2, line 30a) * Rate of Return (page 4, line 30d)]</t>
  </si>
  <si>
    <t>REV. REQUIREMENT  (sum lines 8, 12, 20, 27, 28, 28a) (Note HH)</t>
  </si>
  <si>
    <t>LESS ATTACHMENT GG ADJUSTMENT [Attachment GG, page 2, line 3, column 10]  (Note W)</t>
  </si>
  <si>
    <t>[Revenue Requirement for facilities included on page 2, line 2, 2a and 18a, and also included</t>
  </si>
  <si>
    <t xml:space="preserve">in Attachment GG] </t>
  </si>
  <si>
    <t>LESS ATTACHMENT MM-CMMPA Agency ADJUSTMENT (Attachment MM-CMMPA Agency,</t>
  </si>
  <si>
    <t>page 2, line 3, column 14) (Note MM)</t>
  </si>
  <si>
    <t>(Revenue Requirement for facilities  included on page 2, line 2, 2a, and 18a,</t>
  </si>
  <si>
    <t>and also included in Attachment MM-CMMPA Agency)</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</si>
  <si>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</si>
  <si>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</si>
  <si>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</si>
  <si>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</si>
  <si>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</si>
  <si>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</si>
  <si>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</si>
  <si>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</si>
  <si>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</si>
  <si>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</si>
  <si>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</si>
  <si>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</si>
  <si>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</si>
  <si>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</si>
  <si>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</si>
  <si>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</si>
  <si>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</si>
  <si>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</si>
  <si>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</si>
  <si>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</si>
  <si>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(Note QQ)</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</si>
  <si>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</si>
  <si>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</si>
  <si>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</si>
  <si>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</si>
  <si>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</si>
  <si>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</si>
  <si>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</si>
  <si>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</si>
  <si>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</si>
  <si>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</si>
  <si>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</si>
  <si>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</si>
  <si>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</si>
  <si>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</si>
  <si>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</si>
  <si>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 (Note JJ)</t>
  </si>
  <si>
    <t>200.3.c</t>
  </si>
  <si>
    <t>(line 17 / line 20)</t>
  </si>
  <si>
    <t>(line 16)</t>
  </si>
  <si>
    <t xml:space="preserve">  Gas</t>
  </si>
  <si>
    <t>201.3.d</t>
  </si>
  <si>
    <t>*</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</si>
  <si>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</si>
  <si>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</si>
  <si>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</si>
  <si>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</si>
  <si>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</si>
  <si>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</si>
  <si>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</si>
  <si>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(Note PP)</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</si>
  <si>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</si>
  <si>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</si>
  <si>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</si>
  <si>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</si>
  <si>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</si>
  <si>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</si>
  <si>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</si>
  <si>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</si>
  <si>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</si>
  <si>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</si>
  <si>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</si>
  <si>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</si>
  <si>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</si>
  <si>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</si>
  <si>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</si>
  <si>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HYPOTHETICAL CAPITAL STRUCTURE RETURN (HCSR) (NOTE II)</t>
  </si>
  <si>
    <t>Long Term Debt</t>
  </si>
  <si>
    <t>30b</t>
  </si>
  <si>
    <t>Proprietary Capital</t>
  </si>
  <si>
    <t>30c</t>
  </si>
  <si>
    <t>Total (sum lines 30a+30b)</t>
  </si>
  <si>
    <t>30d</t>
  </si>
  <si>
    <t>Annual Allocation Factor for Incentive Return (line 30c minus line 30)</t>
  </si>
  <si>
    <t>REVENUE CREDITS</t>
  </si>
  <si>
    <t>ACCOUNT 447 (SALES FOR RESALE)</t>
  </si>
  <si>
    <t xml:space="preserve">(310-311)                              </t>
  </si>
  <si>
    <t>(Note Q and Note QQ)</t>
  </si>
  <si>
    <t>Load</t>
  </si>
  <si>
    <t xml:space="preserve">  a. Bundled Non-RQ Sales for Resale (311.x.h)</t>
  </si>
  <si>
    <t xml:space="preserve">  b. Bundled Sales for Resale  included in Divisor on page 1</t>
  </si>
  <si>
    <t xml:space="preserve">  Total of (a)-(b)</t>
  </si>
  <si>
    <t>ACCOUNT 454 (RENT FROM ELECTRIC PROPERTY)  (Note R and Note QQ)</t>
  </si>
  <si>
    <t>ACCOUNT 456.1 (OTHER ELECTRIC REVENUES)  (Note U &amp; Note LL and Note QQ)</t>
  </si>
  <si>
    <t>(330.x.n)</t>
  </si>
  <si>
    <t xml:space="preserve">  a. Transmission charges for all transmission transactions </t>
  </si>
  <si>
    <t xml:space="preserve">  b. Transmission charges for all transmission transactions included in Divisor on Page 1</t>
  </si>
  <si>
    <t>36a</t>
  </si>
  <si>
    <t xml:space="preserve">  c. Transmission charges for Schedules associated with Attachment GG  (Note X)</t>
  </si>
  <si>
    <t>36b</t>
  </si>
  <si>
    <t xml:space="preserve">  d. Transmission charges for Schedules associated with Attachment MM (Note NN)</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</si>
  <si>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</si>
  <si>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</si>
  <si>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</si>
  <si>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</si>
  <si>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</si>
  <si>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</si>
  <si>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</si>
  <si>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</si>
  <si>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</si>
  <si>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</si>
  <si>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</si>
  <si>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</si>
  <si>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</si>
  <si>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</si>
  <si>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</si>
  <si>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</si>
  <si>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</si>
  <si>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</si>
  <si>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</si>
  <si>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</si>
  <si>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</si>
  <si>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</si>
  <si>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</si>
  <si>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</si>
  <si>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</si>
  <si>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</si>
  <si>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</si>
  <si>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</si>
  <si>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</si>
  <si>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</si>
  <si>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</si>
  <si>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</si>
  <si>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</si>
  <si>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</si>
  <si>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</si>
  <si>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</si>
  <si>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</si>
  <si>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</si>
  <si>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</si>
  <si>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</si>
  <si>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</si>
  <si>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</si>
  <si>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</si>
  <si>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</si>
  <si>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</si>
  <si>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</si>
  <si>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</si>
  <si>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</si>
  <si>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</si>
  <si>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</si>
  <si>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</si>
  <si>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</si>
  <si>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</si>
  <si>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</si>
  <si>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 xml:space="preserve">Account Nos. 561.4 and 561.8 consist of RTO expenses billed to load-serving entities and are not included in Transmission Owner revenue requirements.  </t>
  </si>
  <si>
    <t>W</t>
  </si>
  <si>
    <t>Pursuant to Attachment GG of the Midwest ISO Tariff, removes dollar amount of revenue requirements calculated pursuant to Attachment GG.</t>
  </si>
  <si>
    <t>X</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</si>
  <si>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</si>
  <si>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Y</t>
  </si>
  <si>
    <t>The CWIP balance on Page 2, Line 18a is for the transmission project(s) approved by FERC. The Agency will record the project(s) separately in its FERC Form 1, Page 216 and will maintain its property records, in such a manner that the gross plant and accumulated depreciation values can be easily determined, for each pricing zone, the project is located in.</t>
  </si>
  <si>
    <t>Z</t>
  </si>
  <si>
    <t>Page 2, line 23a is the prefunded AFUDC amount associated with CWIP for the project(s) included in rate base.  The prefunded AFUDC amount is a reduction to rate base.  Page 3, line 9a is the annual amortization expense of the prefunded AFUDC amount related to the project(s) and is a reduction to depreciation.  Page 2, Line 23b includes any unamortized balances related to the recovery of abandoned plant costs for the project(s) approved by FERC.  Page 3, Line 9b is the annual amortization expense of abandoned plant costs for the Brookings project approved by FERC.</t>
  </si>
  <si>
    <t>AA</t>
  </si>
  <si>
    <t>Plant in Service, Accumulated Depreciation, and Depreciation Expense amounts exclude Asset Retirement Obligation amounts unless authorized by FERC.</t>
  </si>
  <si>
    <t>BB</t>
  </si>
  <si>
    <t>Schedule 10-FERC charges should not be included in O &amp; M recovered under this Attachment O.</t>
  </si>
  <si>
    <t>CC</t>
  </si>
  <si>
    <t>Sum of rate base not earning incentive hypothetical capital structure.</t>
  </si>
  <si>
    <t>DD</t>
  </si>
  <si>
    <t>Includes the transmission gross plant in-service (line 2a, page 2 of 5) and accumulated depreciation (line 8a, page 2 of 5) for each of the transmission project(s) granted a hypothetical capital structure of 50% debt and 50% equity incentive by FERC.  The Agency will record the project(s) separately in its FERC Form 1 in Footnotes to Pages 207 and 219 and will maintain its property records, in such a manner, the gross plant and accumulated depreciation values can be easily determined, for each pricing zone, the project is located in.</t>
  </si>
  <si>
    <t>EE</t>
  </si>
  <si>
    <t xml:space="preserve">Sum of lines 14a, 18a, 23a, 23b, and 23c related to the transmission project(s) earning an incentive hypothetical capital structure approved by FERC. </t>
  </si>
  <si>
    <t>FF</t>
  </si>
  <si>
    <t>This adjusting entry will remove any residual revenue requirement on Attachment O due to rounding differences between project revenue requirements calculated on Attachment MM and /or Attachment GG, and that calculated on Attachment O, page 3 of 5, line 29, column 5.  The result of this adjustment will be a zero net revenue requirement reported on line 7 below.  Once CMMPA has transmission assets properly recovered under Schedules 7, 8, or 9 of the MISO Tariff, this adjustment will no longer be made.</t>
  </si>
  <si>
    <t>GG</t>
  </si>
  <si>
    <t>Incremental return on rate base for rate base earning an incentive hypothetical capital structure approved by FERC.</t>
  </si>
  <si>
    <t>HH</t>
  </si>
  <si>
    <t>Total revenue requirement including total return on both assets not earning an incentive hypothetical capital structure approved by FERC and the project(s) earning an incentive hypothetical capital structure approved by FERC.</t>
  </si>
  <si>
    <t>II</t>
  </si>
  <si>
    <t>The Hypothetical Capital Structure Return (HCSR) calculation is only applicable to the Commission approved project(s) that will use a hypothetical capital structure of 50% debt and 50% equity.  It is assumed that the debt issued for the projects will be 30-year debt and CMMPA will document the amortization of the debt (i.e. payment of principle payments) for each project approved for incentives by FERC.  It is assumed that the debt issued for Brookings will be 30 year debt that will begin amortizing (i.e. paying principle payments) once the project goes into service in 2015 and will amortize for 30 years to 2045.  It is assumed that the debt issued for Big Stone South to Brookings will be 30 year debt that will begin amortizing (i.e. paying principle payments) once the project goes into service in 2017 and will amortize for 30 years to 2047.</t>
  </si>
  <si>
    <t>JJ</t>
  </si>
  <si>
    <t>Electric plant includes transmission projects with FERC approved incentive for CWIP in rate base.</t>
  </si>
  <si>
    <t>KK</t>
  </si>
  <si>
    <t xml:space="preserve">This amount represents Transmission O&amp;M  expenses found on FERC Form 1, 321.112.b.  This amount includes any regulatory asset amortizations recorded pursuant to the settlement agreement in Docket No. ER14-246-000.  Pursuant to that settlement, the value of the CMMPA regulatory asset as of Jan. 1, 2014 is $8,075,000, to be amortized and recovered at a rate of $1,615,000 per year for 5 years.  </t>
  </si>
  <si>
    <t>LL</t>
  </si>
  <si>
    <t xml:space="preserve">CMMPA will book to revenue account 456.1 all transmission revenues received from the transmission assets, transferred over to Transmission Provider's control, in sufficient detail to complete this section of the template.  This would include booking Schedules 7 and 8 (point-to-point) revenues , Schedule 9 (network) revenues, Schedule 26 (network upgrades) revenues and any other Midwest ISO Schedule revenues to individual accounts under account 456.1, in order to properly complete this section.   </t>
  </si>
  <si>
    <t>MM</t>
  </si>
  <si>
    <t>Pursuant to Attachment MM of the Midwest ISO Tariff, removes dollar amount of revenue requirements calculated pursuant to Attachment MM.</t>
  </si>
  <si>
    <t>NN</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</si>
  <si>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</si>
  <si>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OO</t>
  </si>
  <si>
    <t>The regulatory asset includes Brookings pre-commercial expenses, transmission-related costs, the allocated A &amp; G expenses recorded  consistent with the settlement agreement in Docket No. ER14-246-000.  As noted, pursuant to that settlement, the value of the CMMPA regulatory asset as of Jan. 1, 2014 is $8,075,000, and will be amortized and recovered at a rate of $1,615,000 per year for 5 years.  Any further or additional costs entered on this line must be approved in a Section 205 filing by FERC.</t>
  </si>
  <si>
    <t>PP</t>
  </si>
  <si>
    <t>Calculated using 13 month average balance.</t>
  </si>
  <si>
    <t>QQ</t>
  </si>
  <si>
    <t>Calculated using 12 month total.</t>
  </si>
  <si>
    <t>RR</t>
  </si>
  <si>
    <t>Lines 6b and 6c of page 1 will only be utilized when the CMMPA Agency has transmission facilities to be recovered under Schedules 7, 8, and 9.  Line 6b represents the actual ATRR for the True-Up Year, utilizing Attachment O - CMMPA Agency populated with True-Up Year actual operating results.  Line 6c will represent the actual revenue the CMMPA Agency received, during the True-Up Year, related to the transmission facilities recovered under this Attachment O - CMMPA Agency and will equal the amount reported on Page 4 of 5, line 36.</t>
  </si>
  <si>
    <r>
      <t>Attachment MM</t>
    </r>
    <r>
      <rPr>
        <sz val="11"/>
        <color theme="1"/>
        <rFont val="Calibri"/>
        <family val="2"/>
        <scheme val="minor"/>
      </rPr>
      <t>-CMMPA Agency</t>
    </r>
  </si>
  <si>
    <t>Formula Rate calculation</t>
  </si>
  <si>
    <t xml:space="preserve"> Utilizing Attachment O-CMMPA Agency</t>
  </si>
  <si>
    <t>Page 1 of 2</t>
  </si>
  <si>
    <t>To be completed in conjunction with Attachment O-CMMPA Agency</t>
  </si>
  <si>
    <t>(inputs are rounded to whole dollars)</t>
  </si>
  <si>
    <t>Gross Transmission Plant - Total</t>
  </si>
  <si>
    <t>Attach O-CMMPA Agency, p 2, line 2 + 2a + 18a + 23c col 5 (Note A)</t>
  </si>
  <si>
    <t>Transmission Accumulated Depreciation</t>
  </si>
  <si>
    <t xml:space="preserve">Attach O-CMMPA Agency, p 2, line 8 + 8a col 5 </t>
  </si>
  <si>
    <t>Net Transmission Plant - Total</t>
  </si>
  <si>
    <t xml:space="preserve">Line 1 minus Line 1a (Note B) </t>
  </si>
  <si>
    <r>
      <t xml:space="preserve">O&amp;M </t>
    </r>
    <r>
      <rPr>
        <sz val="11"/>
        <color theme="1"/>
        <rFont val="Calibri"/>
        <family val="2"/>
        <scheme val="minor"/>
      </rPr>
      <t>TRANSMISSION EXPENSE</t>
    </r>
  </si>
  <si>
    <t>Total O&amp;M Allocated to Transmission</t>
  </si>
  <si>
    <t>Attach O-CMMPA Agency, p 3, line 8 col 5</t>
  </si>
  <si>
    <t>3a</t>
  </si>
  <si>
    <t>Transmission O&amp;M</t>
  </si>
  <si>
    <t>Attach O-CMMPA Agency, p 3, line 1 col 5</t>
  </si>
  <si>
    <t>3b</t>
  </si>
  <si>
    <t>Less: LSE Expenses included in above, if any</t>
  </si>
  <si>
    <t>Attach O-CMMPA Agency, p 3, line 1a col 5, if any</t>
  </si>
  <si>
    <t>3c</t>
  </si>
  <si>
    <t>Less: Account 565 included in above, if any</t>
  </si>
  <si>
    <t>Attach O-CMMPA Agency,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</si>
  <si>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</si>
  <si>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</si>
  <si>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</si>
  <si>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</si>
  <si>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</si>
  <si>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</si>
  <si>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</si>
  <si>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</si>
  <si>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</si>
  <si>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</si>
  <si>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</si>
  <si>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</si>
  <si>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</si>
  <si>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</si>
  <si>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</si>
  <si>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O-CMMPA Agency, p 3, lines 10 &amp; 11, col 5 (Note H)</t>
  </si>
  <si>
    <t>6</t>
  </si>
  <si>
    <t>Annual Allocation Factor for G&amp;C Depreciation Expense</t>
  </si>
  <si>
    <t>(line 5 divided by line 1 col 3)</t>
  </si>
  <si>
    <t>TAXES OTHER THAN INCOME TAXES</t>
  </si>
  <si>
    <t>7</t>
  </si>
  <si>
    <t>Total Other Taxes</t>
  </si>
  <si>
    <t>Attach O-CMMPA Agency, p 3, line 20 col 5</t>
  </si>
  <si>
    <t>8</t>
  </si>
  <si>
    <t>Annual Allocation Factor for Other Taxes</t>
  </si>
  <si>
    <t>(line 7 divided by line 1 col 3)</t>
  </si>
  <si>
    <t>9</t>
  </si>
  <si>
    <t>Annual Allocation Factor for Other Expense</t>
  </si>
  <si>
    <t>Sum of line 4b, 6, and 8</t>
  </si>
  <si>
    <t>INCOME TAXES</t>
  </si>
  <si>
    <t>10</t>
  </si>
  <si>
    <t>Attach O-CMMPA Agency, p 3, line 27 col 5</t>
  </si>
  <si>
    <t>11</t>
  </si>
  <si>
    <t>Annual Allocation Factor for Income Taxes</t>
  </si>
  <si>
    <t>(line 10 divided by line 2 col 3)</t>
  </si>
  <si>
    <t xml:space="preserve">RETURN </t>
  </si>
  <si>
    <t>12</t>
  </si>
  <si>
    <r>
      <t>Return on Rate Base (</t>
    </r>
    <r>
      <rPr>
        <sz val="11"/>
        <color theme="1"/>
        <rFont val="Calibri"/>
        <family val="2"/>
        <scheme val="minor"/>
      </rPr>
      <t>Note I)</t>
    </r>
  </si>
  <si>
    <t>Attach O-CMMPA Agency, p 3, line 28 col 5</t>
  </si>
  <si>
    <t>13</t>
  </si>
  <si>
    <t>Annual Allocation Factor for Return on Rate Base</t>
  </si>
  <si>
    <t>(line 12 divided by line 2 col 3)</t>
  </si>
  <si>
    <t>14</t>
  </si>
  <si>
    <t>Annual Allocation Factor for Return ASCR</t>
  </si>
  <si>
    <t>Sum of line 11 and 13</t>
  </si>
  <si>
    <t>Annual Allocation Factor for Incentive Return on Projects</t>
  </si>
  <si>
    <t>Attach O-CMMPA Agency, p 4, line 30d col 5</t>
  </si>
  <si>
    <t>Receiving the HCSR</t>
  </si>
  <si>
    <t>Page 2 of 2</t>
  </si>
  <si>
    <t>Multi-Value Project (MVP) Revenue Requirement Calculation</t>
  </si>
  <si>
    <t>(6)</t>
  </si>
  <si>
    <t>(7)</t>
  </si>
  <si>
    <t>(8)</t>
  </si>
  <si>
    <t>(9)</t>
  </si>
  <si>
    <t>(10)</t>
  </si>
  <si>
    <t>(11)</t>
  </si>
  <si>
    <t>(11a)</t>
  </si>
  <si>
    <t>(12)</t>
  </si>
  <si>
    <t>(13)</t>
  </si>
  <si>
    <t>(14)</t>
  </si>
  <si>
    <t>(15)</t>
  </si>
  <si>
    <t>(16)</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</si>
  <si>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</si>
  <si>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</si>
  <si>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</si>
  <si>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</si>
  <si>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</si>
  <si>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</si>
  <si>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</si>
  <si>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</si>
  <si>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</si>
  <si>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</si>
  <si>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Allocation Factor for Return</t>
  </si>
  <si>
    <t>Annual Allocation Factor Premium for Incentive Return</t>
  </si>
  <si>
    <t>Annual Return Charge</t>
  </si>
  <si>
    <t>Project Depreciation Expense</t>
  </si>
  <si>
    <t>Annual Revenue Requirement</t>
  </si>
  <si>
    <t>True-Up Adjustment</t>
  </si>
  <si>
    <t>MVP Annual Adjusted Revenue Requirement</t>
  </si>
  <si>
    <t>Note K &amp; L</t>
  </si>
  <si>
    <t>Page 1 line 4</t>
  </si>
  <si>
    <t>(Col 4 * Col 5)</t>
  </si>
  <si>
    <t>Page 1 line 9</t>
  </si>
  <si>
    <t>(Col 3 * Col 7)</t>
  </si>
  <si>
    <t>(Col 6 + Col 8)</t>
  </si>
  <si>
    <t>(Col 3 - Col 4)</t>
  </si>
  <si>
    <t>(Page 1 line 14)</t>
  </si>
  <si>
    <t>(Pg 1 line 15, Col 4)  (Note J)</t>
  </si>
  <si>
    <t>(Col 10 * (Col 11 + Col 11a))</t>
  </si>
  <si>
    <t>(Sum Col. 9, 12 &amp; 13)</t>
  </si>
  <si>
    <t>(Note F)</t>
  </si>
  <si>
    <t>Sum Col. 14 &amp; 15
(Note G)</t>
  </si>
  <si>
    <t>Multi-Value Projects (MVP)</t>
  </si>
  <si>
    <t>1b</t>
  </si>
  <si>
    <t>Project 2</t>
  </si>
  <si>
    <t>1c</t>
  </si>
  <si>
    <t>Project 3</t>
  </si>
  <si>
    <t>2</t>
  </si>
  <si>
    <t>MVP Total Annual Revenue Requirements</t>
  </si>
  <si>
    <t>Rev. Req. Adj For Attachment O-CMMPA Agency</t>
  </si>
  <si>
    <t>Gross Transmission Plant is that identified on page 2 line 2 of Attachment O-CMMPA Agency and includes any sub lines 2a or 2b etc. and is inclusive of any CWIP included in rate base when authorized by FERC order</t>
  </si>
  <si>
    <t xml:space="preserve">less any prefunded AFUDC, if applicable.  Line 1 should also include any Unamortized Regulatory Asset amount from page 2 line 23c of Attachment O-CMMPA Agency. </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</si>
  <si>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</si>
  <si>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This value includes subsequent capital investments required to maintain the facilities to their original capabilities.</t>
  </si>
  <si>
    <t>Note deliberately left blank.</t>
  </si>
  <si>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</si>
  <si>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</si>
  <si>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t>The MVP Annual Revenue Requirement is the value to be used in Schedules 26-A and 39.</t>
  </si>
  <si>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</si>
  <si>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</si>
  <si>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</si>
  <si>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</si>
  <si>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The plant listed includes any unamortized balances related to the recovery of abandoned plant costs for the projects approved by FERC.  No abandoned plant costs will be included until approved by FERC under a separate docket.</t>
  </si>
  <si>
    <t>Brookings SD -SE Twin Cities 345 kV</t>
  </si>
  <si>
    <r>
      <rPr>
        <b/>
        <sz val="14"/>
        <rFont val="Calibri"/>
        <family val="2"/>
        <scheme val="minor"/>
      </rPr>
      <t xml:space="preserve">AFUDC Workpaper for Projects with CWIP Incentive
</t>
    </r>
    <r>
      <rPr>
        <sz val="11"/>
        <rFont val="Calibri"/>
        <family val="2"/>
        <scheme val="minor"/>
      </rPr>
      <t>This workpaper contains information MISO needs to calculate revenue distribution. This workpaper should be completed for MTEP/MVP projects that are using a FERC approved CWIP incentive. This workpaper should be used when projects are partially in CWIP, and partially In Service.</t>
    </r>
  </si>
  <si>
    <t>Project # 1203</t>
  </si>
  <si>
    <t>(A)</t>
  </si>
  <si>
    <t>(B)</t>
  </si>
  <si>
    <t>(C)</t>
  </si>
  <si>
    <t>(D)</t>
  </si>
  <si>
    <t>(E)</t>
  </si>
  <si>
    <t>(F)</t>
  </si>
  <si>
    <t>(G)</t>
  </si>
  <si>
    <t>(H)</t>
  </si>
  <si>
    <t>(I)</t>
  </si>
  <si>
    <t>(J)</t>
  </si>
  <si>
    <t>(A - B)</t>
  </si>
  <si>
    <t>(D - E)</t>
  </si>
  <si>
    <t>(G - H)</t>
  </si>
  <si>
    <t>(B - E + H)</t>
  </si>
  <si>
    <t>Gross Plant In Service Value (including AFUDC) included on line 2a, page 2 of Attachment O</t>
  </si>
  <si>
    <r>
      <rPr>
        <sz val="11"/>
        <rFont val="Calibri"/>
        <family val="2"/>
        <scheme val="minor"/>
      </rPr>
      <t>AFUDC  (on In-Service plant) included in column A</t>
    </r>
    <r>
      <rPr>
        <sz val="11"/>
        <color theme="1"/>
        <rFont val="Calibri"/>
        <family val="2"/>
        <scheme val="minor"/>
      </rPr>
      <t xml:space="preserve"> </t>
    </r>
  </si>
  <si>
    <t>Gross Plant In Service Value Less AFUDC on In-Service plant</t>
  </si>
  <si>
    <t>Accumulated Depreciation Expense (including Amortized AFUDC) included in line 8, page 2 of Attachment O</t>
  </si>
  <si>
    <t>Amortized AFUDC included in column D</t>
  </si>
  <si>
    <t>Accumulated Depreciation Less AFUDC</t>
  </si>
  <si>
    <t>CWIP Value (including AFUDC) included on line 18a, page 2 of Attachment O</t>
  </si>
  <si>
    <t>AFUDC included in column G</t>
  </si>
  <si>
    <t>CWIP Value Less AFUDC</t>
  </si>
  <si>
    <t>Unamortized AFUDC Balance reported on line 23a, page 2 of Attachment O</t>
  </si>
  <si>
    <t>13-mo avg.</t>
  </si>
  <si>
    <t>Used in Attachment O for Rev. Distr.</t>
  </si>
  <si>
    <t>Used in Attachment GG Col. 3 &amp; Attachment MM Col. 3</t>
  </si>
  <si>
    <t>Used in Attachment MM Col. 4</t>
  </si>
  <si>
    <t>Used to check Total amount reported on line 18a</t>
  </si>
  <si>
    <t>Used to check Total amount reported on line 23a</t>
  </si>
  <si>
    <t>Project #</t>
  </si>
  <si>
    <t>Gross Plant Value (including AFUDC) included on line 2, page 2 of Attachment O</t>
  </si>
  <si>
    <t xml:space="preserve">AFUDC included in column A </t>
  </si>
  <si>
    <t>Gross Plant Value Less AFUDC</t>
  </si>
  <si>
    <t>Amortized AFUDC included in column H</t>
  </si>
  <si>
    <t>AFUDC included in column E</t>
  </si>
  <si>
    <t>Gross Plant In Service Value (including AFUDC) included on line 2, page 2 of Attachment O</t>
  </si>
  <si>
    <t>Summary</t>
  </si>
  <si>
    <t>Total CWIP Page  2 Line 18a</t>
  </si>
  <si>
    <t>Net Pre-Funded AFUDC (13 Month Average)  Page 2 , Line 23a</t>
  </si>
  <si>
    <t>Enter as a negative</t>
  </si>
  <si>
    <t xml:space="preserve">Gross Pre-Funded AFUDC (13 Month Average)  Use on Att. GG / ZZ, Line 1 (Note A - AFUDC removal) </t>
  </si>
  <si>
    <t>Pre-Funded AFUDC  Amortization (12 Month) Page 3 , Line 9a</t>
  </si>
  <si>
    <t>(a) FERC Uniform System of Accounts</t>
  </si>
  <si>
    <t>There were no material changes.</t>
  </si>
  <si>
    <t>(b) FERC Form No. 1 Reporting Requirements</t>
  </si>
  <si>
    <t>(c) FERC Ratemaking Orders Applicable to the CMMPA Formula Rate</t>
  </si>
  <si>
    <t>Revenue</t>
  </si>
  <si>
    <t>Jan</t>
  </si>
  <si>
    <t>Feb</t>
  </si>
  <si>
    <t>Mar</t>
  </si>
  <si>
    <t>Apr</t>
  </si>
  <si>
    <t>Jun</t>
  </si>
  <si>
    <t>Jul</t>
  </si>
  <si>
    <t>Aug</t>
  </si>
  <si>
    <t>Sep</t>
  </si>
  <si>
    <t>Oct</t>
  </si>
  <si>
    <t>Nov</t>
  </si>
  <si>
    <t>Dec</t>
  </si>
  <si>
    <t xml:space="preserve">Malinda Hibben </t>
  </si>
  <si>
    <t>malindah@cmpasgroup.org</t>
  </si>
  <si>
    <t>For the 12 months ended 12/31/2016</t>
  </si>
  <si>
    <t>Actual Expense</t>
  </si>
  <si>
    <t>Actual Expense or Income</t>
  </si>
  <si>
    <t xml:space="preserve">In compliance with CMMPA Annual True-up, Information Exchange, and Challenge Procedures CMMPA has listed below the material changes that have taken effect since January 1, 2016. In addition, significant unusual or non-recurring income/expense items have been identified. </t>
  </si>
  <si>
    <t>During the year ended December 31, 2016, CMMPA restated the CAPX receivable amounts. As discussed in Note 15</t>
  </si>
  <si>
    <t xml:space="preserve"> to the financial statements, CMMPA restated December 31, 2015 &amp; December 31, 2014, net position.</t>
  </si>
  <si>
    <t xml:space="preserve">The ROE was changed in 2016. It is reflected in the True up. </t>
  </si>
  <si>
    <t>Attachment O Workpapers</t>
  </si>
  <si>
    <t>Transmission Revenue Proceeds By Tariff Year</t>
  </si>
  <si>
    <t>Total 2016 CapX related proceeds, MVP</t>
  </si>
  <si>
    <t>month</t>
  </si>
  <si>
    <t>transmission proceeds applicable to 2016 ATRR</t>
  </si>
  <si>
    <t>Total proceeds required for 2016 and 2014</t>
  </si>
  <si>
    <t>Reconciliation of Transmission Revenue Proceeds to FERC Basis Transmission Revenue (456.1)</t>
  </si>
  <si>
    <t>current year transmission proceeds, 2016</t>
  </si>
  <si>
    <t>accrual estimate of true up at audit time, 2016</t>
  </si>
  <si>
    <t>transmision revenue recognized - FERC basis</t>
  </si>
  <si>
    <t>tariff distributions</t>
  </si>
  <si>
    <t>other distributions</t>
  </si>
  <si>
    <t>total adjustments</t>
  </si>
  <si>
    <t>Emphasis of a Matter Regarding Correction of an Error</t>
  </si>
  <si>
    <t>** See PY Ending Tab</t>
  </si>
  <si>
    <t>Attachment O Workpapers - Adjustments to Beginning Capital Structure</t>
  </si>
  <si>
    <t>December, 2015 Ending Net Position Balance as previously stated</t>
  </si>
  <si>
    <t>net addition to equity per 2014/2015 audit restatement - See Note 15 on audited financials, page 30.</t>
  </si>
  <si>
    <t xml:space="preserve">net effect of change in book reserve method on O&amp;M </t>
  </si>
  <si>
    <t>December, 2015 Ending Net Position Balance as adjsuted</t>
  </si>
  <si>
    <t>Attachment O Workpapers - Transmission O&amp;M</t>
  </si>
  <si>
    <t>For  the 12 months ended 12/31/2016</t>
  </si>
  <si>
    <t>less: transmission proceeds applicable to 2014 ATRR per true up</t>
  </si>
  <si>
    <t>timing difference on 2014 true up</t>
  </si>
  <si>
    <t>&lt;-- ties to sales per FERC Form 1</t>
  </si>
  <si>
    <t>Weighted Actual Attachment MM Rev Req for 2016 True-Up</t>
  </si>
  <si>
    <t>&lt;-- under/(over) recovery of 2016 MM Revenue Requirement</t>
  </si>
  <si>
    <r>
      <rPr>
        <b/>
        <sz val="10"/>
        <rFont val="Arial"/>
        <family val="2"/>
      </rPr>
      <t>Instructions:</t>
    </r>
    <r>
      <rPr>
        <sz val="10"/>
        <rFont val="Arial"/>
        <family val="2"/>
      </rPr>
      <t xml:space="preserve">  Inputs are indicated by light yellow highlighted cells with blue bold font</t>
    </r>
  </si>
  <si>
    <t>Review FERC rates and notify MISO if any rate appears incorrect</t>
  </si>
  <si>
    <r>
      <rPr>
        <b/>
        <sz val="10"/>
        <rFont val="Arial"/>
        <family val="2"/>
      </rPr>
      <t>Purpose:</t>
    </r>
    <r>
      <rPr>
        <sz val="10"/>
        <rFont val="Arial"/>
        <family val="2"/>
      </rPr>
      <t xml:space="preserve">  To calculate the 2016 average interest rates to be applied to the true-up calculations</t>
    </r>
  </si>
  <si>
    <t>Per Section VII.2 of the Annual True-up, Information Exchange and Challenge Procedures</t>
  </si>
  <si>
    <t xml:space="preserve"> - Interest on over recovery will be based on FERC's regulation 18 C.F.R 35.19a</t>
  </si>
  <si>
    <t>- Interest on under recover will be based on the annual average of the one-month</t>
  </si>
  <si>
    <r>
      <t>LIBOR rate</t>
    </r>
    <r>
      <rPr>
        <b/>
        <sz val="11"/>
        <color theme="1"/>
        <rFont val="Calibri"/>
        <family val="2"/>
        <scheme val="minor"/>
      </rPr>
      <t xml:space="preserve"> </t>
    </r>
    <r>
      <rPr>
        <b/>
        <u/>
        <sz val="11"/>
        <color theme="1"/>
        <rFont val="Calibri"/>
        <family val="2"/>
        <scheme val="minor"/>
      </rPr>
      <t>capped</t>
    </r>
    <r>
      <rPr>
        <b/>
        <sz val="11"/>
        <color theme="1"/>
        <rFont val="Calibri"/>
        <family val="2"/>
        <scheme val="minor"/>
      </rPr>
      <t xml:space="preserve"> </t>
    </r>
    <r>
      <rPr>
        <sz val="11"/>
        <color theme="1"/>
        <rFont val="Calibri"/>
        <family val="2"/>
        <scheme val="minor"/>
      </rPr>
      <t>at the FERC refund interest rate</t>
    </r>
  </si>
  <si>
    <t>CMMPA to enter monthly LIBOR amounts and provide a cite to source of LIBOR rate</t>
  </si>
  <si>
    <t>using the average rate for the nineteen (19) months preceding August of the current year</t>
  </si>
  <si>
    <t>2016 Rev Req at</t>
  </si>
  <si>
    <t xml:space="preserve">2016 Weighted Actual Rev Req </t>
  </si>
  <si>
    <t>Calculation of Weighted Rev Req for Revised 2016 True-up</t>
  </si>
  <si>
    <t>Rev Req</t>
  </si>
  <si>
    <t>Actual Attachment MM Rev Req for True-Up Year (Actual Attach GG, pg 2, col 14)</t>
  </si>
  <si>
    <t>Percent of Actual Revenue Requirement at ROE</t>
  </si>
  <si>
    <r>
      <t>Actual Attachment MM Revenues for 2016</t>
    </r>
    <r>
      <rPr>
        <vertAlign val="superscript"/>
        <sz val="10"/>
        <rFont val="Arial"/>
        <family val="2"/>
      </rPr>
      <t>1</t>
    </r>
  </si>
  <si>
    <t>Under/(Over) Recovery of 2016 MM Rev Req</t>
  </si>
  <si>
    <t>Monthly Interest Rate (Over collection = FERC rate, Under collection = LIBOR rate)</t>
  </si>
  <si>
    <t>Interest For 24 Months</t>
  </si>
  <si>
    <t>Total 2016 Attachment MM True-up Under/(Over) Recovery</t>
  </si>
  <si>
    <t>Annualized</t>
  </si>
  <si>
    <r>
      <t xml:space="preserve">LIBOR Rate </t>
    </r>
    <r>
      <rPr>
        <vertAlign val="superscript"/>
        <sz val="11"/>
        <color theme="1"/>
        <rFont val="Calibri"/>
        <family val="2"/>
        <scheme val="minor"/>
      </rPr>
      <t>1</t>
    </r>
  </si>
  <si>
    <t>LIBOR Rate</t>
  </si>
  <si>
    <t>FERC Rate</t>
  </si>
  <si>
    <t>.2921 Monthly Rate</t>
  </si>
  <si>
    <r>
      <rPr>
        <vertAlign val="superscript"/>
        <sz val="11"/>
        <color theme="1"/>
        <rFont val="Calibri"/>
        <family val="2"/>
        <scheme val="minor"/>
      </rPr>
      <t>1</t>
    </r>
    <r>
      <rPr>
        <sz val="11"/>
        <color theme="1"/>
        <rFont val="Calibri"/>
        <family val="2"/>
        <scheme val="minor"/>
      </rPr>
      <t xml:space="preserve"> LIBOR rate is capped at the applicble FERC refund interest rate</t>
    </r>
  </si>
  <si>
    <t>https://www.ferc.gov/enforcement/acct-matts/interest-rates.asp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</si>
</sst>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General_)"/>
    <numFmt numFmtId="167" formatCode="&quot;$&quot;#,##0.00"/>
    <numFmt numFmtId="168" formatCode="0.0%"/>
    <numFmt numFmtId="169" formatCode="mm/dd/yy;@"/>
    <numFmt numFmtId="170" formatCode="0.00000"/>
    <numFmt numFmtId="171" formatCode="#,##0.000"/>
    <numFmt numFmtId="172" formatCode="&quot;$&quot;#,##0.000"/>
    <numFmt numFmtId="173" formatCode="0.000%"/>
    <numFmt numFmtId="174" formatCode="#,##0.00000"/>
    <numFmt numFmtId="175" formatCode="#,##0.0"/>
    <numFmt numFmtId="176" formatCode="0.0000"/>
    <numFmt numFmtId="177" formatCode="#,##0.0000"/>
    <numFmt numFmtId="178" formatCode="&quot;$&quot;#,##0"/>
    <numFmt numFmtId="179" formatCode="0_);\(0\)"/>
    <numFmt numFmtId="180" formatCode="0.0000%"/>
    <numFmt numFmtId="181" formatCode="0.0"/>
    <numFmt numFmtId="182" formatCode="0.00000%"/>
    <numFmt numFmtId="183" formatCode="0.000000%"/>
    <numFmt numFmtId="184" formatCode="0.0000000%"/>
    <numFmt numFmtId="185" formatCode="0.00000000%"/>
  </numFmts>
  <fonts count="75">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u/>
      <sz val="12"/>
      <color theme="1"/>
      <name val="Calibri"/>
      <family val="2"/>
      <scheme val="minor"/>
    </font>
    <font>
      <b/>
      <sz val="11"/>
      <color rgb="FFFF0000"/>
      <name val="Calibri"/>
      <family val="2"/>
      <scheme val="minor"/>
    </font>
    <font>
      <u val="singleAccounting"/>
      <sz val="11"/>
      <color theme="1"/>
      <name val="Calibri"/>
      <family val="2"/>
      <scheme val="minor"/>
    </font>
    <font>
      <b/>
      <u val="doubleAccounting"/>
      <sz val="11"/>
      <color theme="1"/>
      <name val="Calibri"/>
      <family val="2"/>
      <scheme val="minor"/>
    </font>
    <font>
      <u val="doubleAccounting"/>
      <sz val="11"/>
      <color theme="1"/>
      <name val="Calibri"/>
      <family val="2"/>
      <scheme val="minor"/>
    </font>
    <font>
      <b/>
      <sz val="9"/>
      <color theme="1"/>
      <name val="Arial"/>
      <family val="2"/>
    </font>
    <font>
      <sz val="9"/>
      <name val="Arial"/>
      <family val="2"/>
    </font>
    <font>
      <b/>
      <u/>
      <sz val="9"/>
      <color theme="1"/>
      <name val="Arial"/>
      <family val="2"/>
    </font>
    <font>
      <u val="singleAccounting"/>
      <sz val="9"/>
      <color theme="1"/>
      <name val="Arial"/>
      <family val="2"/>
    </font>
    <font>
      <u val="doubleAccounting"/>
      <sz val="9"/>
      <color theme="1"/>
      <name val="Arial"/>
      <family val="2"/>
    </font>
    <font>
      <sz val="12"/>
      <name val="Helv"/>
    </font>
    <font>
      <b/>
      <u val="singleAccounting"/>
      <sz val="9"/>
      <color theme="1"/>
      <name val="Arial"/>
      <family val="2"/>
    </font>
    <font>
      <u val="singleAccounting"/>
      <sz val="9"/>
      <name val="Arial"/>
      <family val="2"/>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u/>
      <sz val="11"/>
      <color theme="10"/>
      <name val="Calibri"/>
      <family val="2"/>
      <scheme val="minor"/>
    </font>
    <font>
      <u/>
      <sz val="10"/>
      <color theme="10"/>
      <name val="Calibri"/>
      <family val="2"/>
      <scheme val="minor"/>
    </font>
    <font>
      <sz val="12"/>
      <name val="Arial MT"/>
    </font>
    <font>
      <sz val="12"/>
      <name val="Times New Roman"/>
      <family val="1"/>
    </font>
    <font>
      <strike/>
      <sz val="12"/>
      <name val="Times New Roman"/>
      <family val="1"/>
    </font>
    <font>
      <sz val="12"/>
      <color rgb="FFFF0000"/>
      <name val="Times New Roman"/>
      <family val="1"/>
    </font>
    <font>
      <sz val="12"/>
      <color rgb="FF0070C0"/>
      <name val="Times New Roman"/>
      <family val="1"/>
    </font>
    <font>
      <b/>
      <sz val="12"/>
      <name val="Times New Roman"/>
      <family val="1"/>
    </font>
    <font>
      <sz val="12"/>
      <color indexed="10"/>
      <name val="Times New Roman"/>
      <family val="1"/>
    </font>
    <font>
      <strike/>
      <sz val="12"/>
      <color indexed="10"/>
      <name val="Times New Roman"/>
      <family val="1"/>
    </font>
    <font>
      <sz val="12"/>
      <name val="Arial"/>
      <family val="2"/>
    </font>
    <font>
      <b/>
      <sz val="12"/>
      <color indexed="48"/>
      <name val="Times New Roman"/>
      <family val="1"/>
    </font>
    <font>
      <sz val="12"/>
      <color indexed="17"/>
      <name val="Arial MT"/>
    </font>
    <font>
      <strike/>
      <sz val="12"/>
      <color indexed="53"/>
      <name val="Arial MT"/>
    </font>
    <font>
      <u/>
      <sz val="12"/>
      <color indexed="17"/>
      <name val="Arial MT"/>
    </font>
    <font>
      <b/>
      <sz val="12"/>
      <name val="Arial"/>
      <family val="2"/>
    </font>
    <font>
      <b/>
      <sz val="12"/>
      <name val="Arial MT"/>
    </font>
    <font>
      <b/>
      <u/>
      <sz val="12"/>
      <name val="Arial MT"/>
    </font>
    <font>
      <u/>
      <sz val="12"/>
      <name val="Arial"/>
      <family val="2"/>
    </font>
    <font>
      <strike/>
      <sz val="12"/>
      <name val="Arial MT"/>
    </font>
    <font>
      <sz val="10"/>
      <name val="Arial MT"/>
    </font>
    <font>
      <sz val="12"/>
      <color rgb="FFFF0000"/>
      <name val="Arial MT"/>
    </font>
    <font>
      <b/>
      <sz val="10"/>
      <name val="Arial"/>
      <family val="2"/>
    </font>
    <font>
      <sz val="11"/>
      <name val="Calibri"/>
      <family val="2"/>
      <scheme val="minor"/>
    </font>
    <font>
      <b/>
      <sz val="14"/>
      <name val="Calibri"/>
      <family val="2"/>
      <scheme val="minor"/>
    </font>
    <font>
      <sz val="11"/>
      <color rgb="FF0070C0"/>
      <name val="Calibri"/>
      <family val="2"/>
      <scheme val="minor"/>
    </font>
    <font>
      <b/>
      <sz val="11"/>
      <color indexed="8"/>
      <name val="Calibri"/>
      <family val="2"/>
    </font>
    <font>
      <sz val="9"/>
      <color indexed="81"/>
      <name val="Tahoma"/>
      <family val="2"/>
    </font>
    <font>
      <b/>
      <sz val="9"/>
      <color indexed="81"/>
      <name val="Tahoma"/>
      <family val="2"/>
    </font>
    <font>
      <b/>
      <u val="singleAccounting"/>
      <sz val="11"/>
      <color theme="1"/>
      <name val="Calibri"/>
      <family val="2"/>
      <scheme val="minor"/>
    </font>
    <font>
      <b/>
      <u/>
      <sz val="11"/>
      <color theme="1"/>
      <name val="Calibri"/>
      <family val="2"/>
      <scheme val="minor"/>
    </font>
    <font>
      <b/>
      <sz val="10"/>
      <color rgb="FF0000FF"/>
      <name val="Arial"/>
      <family val="2"/>
    </font>
    <font>
      <vertAlign val="superscript"/>
      <sz val="10"/>
      <name val="Arial"/>
      <family val="2"/>
    </font>
    <font>
      <b/>
      <sz val="11"/>
      <name val="Arial"/>
      <family val="2"/>
    </font>
    <font>
      <vertAlign val="superscript"/>
      <sz val="11"/>
      <color theme="1"/>
      <name val="Calibri"/>
      <family val="2"/>
      <scheme val="minor"/>
    </font>
    <font>
      <b/>
      <sz val="11"/>
      <color rgb="FF0000FF"/>
      <name val="Calibri"/>
      <family val="2"/>
      <scheme val="minor"/>
    </font>
  </fonts>
  <fills count="4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rgb="FFFFFFC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FF"/>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top style="thin">
        <color indexed="64"/>
      </top>
      <bottom style="double">
        <color indexed="64"/>
      </bottom>
      <diagonal/>
    </border>
    <border>
      <left/>
      <right/>
      <top style="medium">
        <color auto="1"/>
      </top>
      <bottom style="medium">
        <color auto="1"/>
      </bottom>
      <diagonal/>
    </border>
    <border>
      <left/>
      <right/>
      <top style="medium">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62">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6" fontId="19" fillId="0" borderId="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6" applyNumberFormat="0" applyAlignment="0" applyProtection="0"/>
    <xf numFmtId="0" fontId="31" fillId="7" borderId="7" applyNumberFormat="0" applyAlignment="0" applyProtection="0"/>
    <xf numFmtId="0" fontId="32" fillId="7" borderId="6" applyNumberFormat="0" applyAlignment="0" applyProtection="0"/>
    <xf numFmtId="0" fontId="33" fillId="0" borderId="8" applyNumberFormat="0" applyFill="0" applyAlignment="0" applyProtection="0"/>
    <xf numFmtId="0" fontId="34" fillId="8" borderId="9" applyNumberFormat="0" applyAlignment="0" applyProtection="0"/>
    <xf numFmtId="0" fontId="35" fillId="0" borderId="0" applyNumberFormat="0" applyFill="0" applyBorder="0" applyAlignment="0" applyProtection="0"/>
    <xf numFmtId="0" fontId="3" fillId="9" borderId="10" applyNumberFormat="0" applyFont="0" applyAlignment="0" applyProtection="0"/>
    <xf numFmtId="0" fontId="36" fillId="0" borderId="0" applyNumberFormat="0" applyFill="0" applyBorder="0" applyAlignment="0" applyProtection="0"/>
    <xf numFmtId="0" fontId="4" fillId="0" borderId="11" applyNumberFormat="0" applyFill="0" applyAlignment="0" applyProtection="0"/>
    <xf numFmtId="0" fontId="3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7" fillId="3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7" fontId="41" fillId="0" borderId="0" applyProtection="0"/>
    <xf numFmtId="43" fontId="41" fillId="0" borderId="0" applyFont="0" applyFill="0" applyBorder="0" applyAlignment="0" applyProtection="0"/>
    <xf numFmtId="44" fontId="23" fillId="0" borderId="0" applyFont="0" applyFill="0" applyBorder="0" applyAlignment="0" applyProtection="0"/>
    <xf numFmtId="9" fontId="41"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49" fillId="0" borderId="0">
      <alignment vertical="top"/>
    </xf>
    <xf numFmtId="9" fontId="49" fillId="0" borderId="0" applyFont="0" applyFill="0" applyBorder="0" applyAlignment="0" applyProtection="0"/>
    <xf numFmtId="43" fontId="49"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0" fontId="23" fillId="0" borderId="0"/>
    <xf numFmtId="0" fontId="3" fillId="0" borderId="0"/>
    <xf numFmtId="44" fontId="23" fillId="0" borderId="0" applyFont="0" applyFill="0" applyBorder="0" applyAlignment="0" applyProtection="0"/>
  </cellStyleXfs>
  <cellXfs count="639">
    <xf numFmtId="0" fontId="0" fillId="0" borderId="0" xfId="0"/>
    <xf numFmtId="0" fontId="7" fillId="0" borderId="0" xfId="0" applyFont="1"/>
    <xf numFmtId="0" fontId="8" fillId="0" borderId="0" xfId="0" applyFont="1"/>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165" fontId="3" fillId="0" borderId="0" xfId="2"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0" fillId="0" borderId="0" xfId="0" applyAlignment="1">
      <alignment horizontal="center" vertical="center"/>
    </xf>
    <xf numFmtId="165" fontId="3" fillId="0" borderId="1" xfId="2"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0" fontId="4" fillId="0" borderId="0" xfId="0" applyFont="1" applyAlignment="1">
      <alignment vertical="center"/>
    </xf>
    <xf numFmtId="165" fontId="4" fillId="0" borderId="0" xfId="2" applyNumberFormat="1" applyFont="1" applyAlignment="1">
      <alignment vertical="center"/>
    </xf>
    <xf numFmtId="164" fontId="4" fillId="0" borderId="0" xfId="0" applyNumberFormat="1" applyFont="1" applyAlignment="1">
      <alignment vertical="center"/>
    </xf>
    <xf numFmtId="165" fontId="0" fillId="0" borderId="0" xfId="2" applyNumberFormat="1" applyFont="1" applyAlignment="1">
      <alignment vertical="center"/>
    </xf>
    <xf numFmtId="165" fontId="0" fillId="0" borderId="1" xfId="2" applyNumberFormat="1" applyFont="1" applyBorder="1" applyAlignment="1">
      <alignment vertical="center"/>
    </xf>
    <xf numFmtId="164" fontId="0" fillId="0" borderId="0" xfId="1" applyNumberFormat="1" applyFont="1" applyAlignment="1">
      <alignment vertical="center"/>
    </xf>
    <xf numFmtId="164" fontId="0" fillId="0" borderId="0" xfId="0" applyNumberFormat="1" applyAlignment="1">
      <alignmen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0" borderId="0" xfId="0" applyAlignment="1">
      <alignment horizontal="left" vertical="center" indent="2"/>
    </xf>
    <xf numFmtId="0" fontId="0" fillId="0" borderId="0" xfId="0" applyAlignment="1">
      <alignment horizontal="left" vertical="center" wrapText="1"/>
    </xf>
    <xf numFmtId="165" fontId="11" fillId="0" borderId="0" xfId="2" applyNumberFormat="1" applyFont="1" applyBorder="1" applyAlignment="1">
      <alignment horizontal="center" vertical="center" wrapText="1"/>
    </xf>
    <xf numFmtId="165" fontId="12" fillId="0" borderId="0" xfId="2" applyNumberFormat="1" applyFont="1" applyAlignment="1">
      <alignment vertical="center"/>
    </xf>
    <xf numFmtId="165" fontId="0" fillId="0" borderId="0" xfId="0" applyNumberFormat="1" applyAlignment="1">
      <alignment vertical="center"/>
    </xf>
    <xf numFmtId="0" fontId="10" fillId="0" borderId="0" xfId="0" applyFont="1" applyFill="1" applyAlignment="1">
      <alignment vertical="center" wrapText="1"/>
    </xf>
    <xf numFmtId="165" fontId="3" fillId="0" borderId="0" xfId="2"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11" fillId="0" borderId="0" xfId="2" applyNumberFormat="1" applyFont="1" applyAlignment="1">
      <alignment vertical="center"/>
    </xf>
    <xf numFmtId="165" fontId="11" fillId="0" borderId="0" xfId="2" applyNumberFormat="1" applyFont="1" applyAlignment="1">
      <alignment horizontal="center" vertical="center"/>
    </xf>
    <xf numFmtId="0" fontId="11" fillId="0" borderId="0" xfId="0" applyFont="1" applyAlignment="1">
      <alignment horizontal="center" vertical="center"/>
    </xf>
    <xf numFmtId="165" fontId="13" fillId="0" borderId="0" xfId="2" applyNumberFormat="1" applyFont="1" applyAlignment="1">
      <alignment vertical="center"/>
    </xf>
    <xf numFmtId="0" fontId="14" fillId="0" borderId="0" xfId="0" applyNumberFormat="1" applyFont="1" applyAlignment="1">
      <alignment horizontal="center"/>
    </xf>
    <xf numFmtId="0" fontId="14" fillId="0" borderId="0" xfId="0" applyNumberFormat="1" applyFont="1" applyAlignment="1"/>
    <xf numFmtId="0" fontId="14" fillId="0" borderId="0" xfId="0" applyNumberFormat="1" applyFont="1"/>
    <xf numFmtId="0" fontId="15" fillId="0" borderId="0" xfId="0" applyNumberFormat="1" applyFont="1"/>
    <xf numFmtId="0" fontId="15" fillId="0" borderId="0" xfId="0" applyNumberFormat="1" applyFont="1" applyAlignment="1"/>
    <xf numFmtId="0" fontId="2" fillId="0" borderId="0" xfId="0" applyNumberFormat="1" applyFont="1" applyAlignment="1">
      <alignment horizontal="left" indent="2"/>
    </xf>
    <xf numFmtId="165" fontId="15" fillId="0" borderId="0" xfId="2" applyNumberFormat="1" applyFont="1"/>
    <xf numFmtId="165" fontId="15" fillId="0" borderId="0" xfId="1" applyNumberFormat="1" applyFont="1"/>
    <xf numFmtId="165" fontId="2" fillId="0" borderId="0" xfId="1" applyNumberFormat="1" applyFont="1"/>
    <xf numFmtId="165" fontId="15" fillId="0" borderId="0" xfId="1" applyNumberFormat="1" applyFont="1" applyFill="1" applyBorder="1"/>
    <xf numFmtId="165" fontId="2" fillId="0" borderId="0" xfId="1" applyNumberFormat="1" applyFont="1" applyFill="1" applyBorder="1"/>
    <xf numFmtId="165" fontId="15" fillId="0" borderId="0" xfId="0" applyNumberFormat="1" applyFont="1"/>
    <xf numFmtId="0" fontId="2" fillId="0" borderId="0" xfId="0" applyNumberFormat="1" applyFont="1" applyAlignment="1">
      <alignment horizontal="center"/>
    </xf>
    <xf numFmtId="165" fontId="18" fillId="0" borderId="0" xfId="2" applyNumberFormat="1" applyFont="1"/>
    <xf numFmtId="0" fontId="18" fillId="0" borderId="0" xfId="0" applyNumberFormat="1" applyFont="1"/>
    <xf numFmtId="0" fontId="2" fillId="0" borderId="0" xfId="0" applyNumberFormat="1" applyFont="1"/>
    <xf numFmtId="165" fontId="2" fillId="0" borderId="0" xfId="0" applyNumberFormat="1" applyFont="1"/>
    <xf numFmtId="0" fontId="2" fillId="0" borderId="0" xfId="0" applyNumberFormat="1" applyFont="1" applyAlignment="1">
      <alignment horizontal="left" indent="1"/>
    </xf>
    <xf numFmtId="166" fontId="15" fillId="0" borderId="0" xfId="4" applyFont="1"/>
    <xf numFmtId="167" fontId="15" fillId="0" borderId="0" xfId="0" applyNumberFormat="1" applyFont="1" applyAlignment="1"/>
    <xf numFmtId="165" fontId="15" fillId="0" borderId="0" xfId="0" applyNumberFormat="1" applyFont="1" applyFill="1" applyBorder="1"/>
    <xf numFmtId="0" fontId="15" fillId="0" borderId="0" xfId="0" applyNumberFormat="1" applyFont="1" applyAlignment="1">
      <alignment horizontal="left" indent="1"/>
    </xf>
    <xf numFmtId="0" fontId="1" fillId="0" borderId="0" xfId="0" applyNumberFormat="1" applyFont="1" applyAlignment="1">
      <alignment horizontal="left" indent="2"/>
    </xf>
    <xf numFmtId="0" fontId="1" fillId="0" borderId="0" xfId="0" applyNumberFormat="1" applyFont="1" applyAlignment="1">
      <alignment horizontal="center"/>
    </xf>
    <xf numFmtId="165" fontId="15" fillId="0" borderId="0" xfId="1" applyNumberFormat="1" applyFont="1" applyFill="1"/>
    <xf numFmtId="165" fontId="18" fillId="0" borderId="0" xfId="0" applyNumberFormat="1" applyFont="1"/>
    <xf numFmtId="0" fontId="20" fillId="0" borderId="0" xfId="0" applyNumberFormat="1" applyFont="1" applyAlignment="1">
      <alignment horizontal="center"/>
    </xf>
    <xf numFmtId="0" fontId="21" fillId="0" borderId="0" xfId="0" applyNumberFormat="1" applyFont="1"/>
    <xf numFmtId="164" fontId="12" fillId="0" borderId="0" xfId="0" applyNumberFormat="1" applyFont="1" applyAlignment="1">
      <alignment vertical="center"/>
    </xf>
    <xf numFmtId="164" fontId="11" fillId="0" borderId="0" xfId="1" applyNumberFormat="1" applyFont="1" applyBorder="1" applyAlignment="1">
      <alignment vertical="center"/>
    </xf>
    <xf numFmtId="164" fontId="11" fillId="0" borderId="0" xfId="0" applyNumberFormat="1" applyFont="1" applyBorder="1" applyAlignment="1">
      <alignment vertical="center"/>
    </xf>
    <xf numFmtId="165" fontId="11" fillId="0" borderId="0" xfId="0" applyNumberFormat="1" applyFont="1" applyAlignment="1">
      <alignment vertical="center"/>
    </xf>
    <xf numFmtId="0" fontId="0" fillId="0" borderId="0" xfId="0" applyFill="1" applyBorder="1" applyAlignment="1">
      <alignment vertical="center"/>
    </xf>
    <xf numFmtId="0" fontId="14" fillId="0" borderId="0" xfId="0" applyNumberFormat="1" applyFont="1" applyFill="1" applyBorder="1" applyAlignment="1"/>
    <xf numFmtId="14" fontId="16" fillId="0" borderId="0" xfId="0" applyNumberFormat="1" applyFont="1" applyFill="1" applyBorder="1" applyAlignment="1">
      <alignment horizontal="center"/>
    </xf>
    <xf numFmtId="0" fontId="15" fillId="0" borderId="0" xfId="0" applyNumberFormat="1" applyFont="1" applyFill="1" applyBorder="1"/>
    <xf numFmtId="0" fontId="20" fillId="0" borderId="0" xfId="0" applyNumberFormat="1" applyFont="1" applyFill="1" applyBorder="1" applyAlignment="1">
      <alignment horizontal="center"/>
    </xf>
    <xf numFmtId="165" fontId="15" fillId="0" borderId="0" xfId="2" applyNumberFormat="1" applyFont="1" applyFill="1" applyBorder="1"/>
    <xf numFmtId="165" fontId="0" fillId="0" borderId="0" xfId="0" applyNumberFormat="1" applyFill="1" applyBorder="1" applyAlignment="1">
      <alignment vertical="center"/>
    </xf>
    <xf numFmtId="168" fontId="0" fillId="0" borderId="0" xfId="3" applyNumberFormat="1" applyFont="1" applyFill="1" applyBorder="1" applyAlignment="1">
      <alignment horizontal="center" vertical="center"/>
    </xf>
    <xf numFmtId="165" fontId="17" fillId="0" borderId="0" xfId="1" applyNumberFormat="1" applyFont="1" applyFill="1" applyBorder="1"/>
    <xf numFmtId="165" fontId="18" fillId="0" borderId="0" xfId="2" applyNumberFormat="1" applyFont="1" applyFill="1" applyBorder="1"/>
    <xf numFmtId="0" fontId="18" fillId="0" borderId="0" xfId="0" applyNumberFormat="1" applyFont="1" applyFill="1" applyBorder="1"/>
    <xf numFmtId="165" fontId="18" fillId="0" borderId="0" xfId="0" applyNumberFormat="1" applyFont="1" applyFill="1" applyBorder="1"/>
    <xf numFmtId="44" fontId="18" fillId="0" borderId="0" xfId="0" applyNumberFormat="1" applyFont="1" applyFill="1" applyBorder="1"/>
    <xf numFmtId="167" fontId="15" fillId="0" borderId="0" xfId="0" applyNumberFormat="1" applyFont="1" applyFill="1" applyBorder="1" applyAlignment="1"/>
    <xf numFmtId="0" fontId="15" fillId="0" borderId="0" xfId="0" applyNumberFormat="1" applyFont="1" applyFill="1" applyBorder="1" applyAlignment="1">
      <alignment horizontal="center"/>
    </xf>
    <xf numFmtId="43" fontId="15" fillId="0" borderId="0" xfId="4" applyNumberFormat="1" applyFont="1" applyFill="1" applyBorder="1" applyAlignment="1">
      <alignment horizontal="center"/>
    </xf>
    <xf numFmtId="0" fontId="5" fillId="0" borderId="0" xfId="0" applyFont="1" applyAlignment="1">
      <alignment horizontal="center" vertical="center"/>
    </xf>
    <xf numFmtId="0" fontId="15" fillId="0" borderId="0" xfId="0" applyNumberFormat="1" applyFont="1" applyAlignment="1">
      <alignment vertical="center"/>
    </xf>
    <xf numFmtId="0" fontId="22" fillId="0" borderId="0" xfId="0" applyFont="1" applyAlignment="1">
      <alignment horizontal="center" vertical="center"/>
    </xf>
    <xf numFmtId="165" fontId="11" fillId="0" borderId="1" xfId="2" applyNumberFormat="1" applyFont="1" applyBorder="1" applyAlignment="1">
      <alignment horizontal="center" vertical="center" wrapText="1"/>
    </xf>
    <xf numFmtId="165" fontId="3" fillId="0" borderId="0" xfId="2" applyNumberFormat="1" applyFont="1" applyAlignment="1">
      <alignment vertical="center"/>
    </xf>
    <xf numFmtId="169" fontId="0" fillId="0" borderId="0" xfId="1" applyNumberFormat="1" applyFont="1" applyFill="1" applyBorder="1" applyAlignment="1">
      <alignment horizontal="center" vertical="center"/>
    </xf>
    <xf numFmtId="168" fontId="22" fillId="0" borderId="0" xfId="3" applyNumberFormat="1" applyFont="1" applyFill="1" applyBorder="1" applyAlignment="1">
      <alignment horizontal="center" vertical="center"/>
    </xf>
    <xf numFmtId="165" fontId="23" fillId="0" borderId="0" xfId="1" applyNumberFormat="1" applyFont="1" applyFill="1" applyBorder="1"/>
    <xf numFmtId="0" fontId="22" fillId="0" borderId="0" xfId="0" applyFont="1" applyAlignment="1">
      <alignment vertical="center"/>
    </xf>
    <xf numFmtId="169" fontId="22" fillId="0" borderId="0" xfId="1" applyNumberFormat="1" applyFont="1" applyFill="1" applyBorder="1" applyAlignment="1">
      <alignment horizontal="center" vertical="center"/>
    </xf>
    <xf numFmtId="0" fontId="5" fillId="0" borderId="0" xfId="0" applyFont="1" applyAlignment="1">
      <alignment horizontal="center" vertical="center"/>
    </xf>
    <xf numFmtId="165" fontId="3" fillId="0" borderId="1" xfId="2" applyNumberFormat="1" applyFont="1" applyBorder="1" applyAlignment="1">
      <alignment vertical="center"/>
    </xf>
    <xf numFmtId="43" fontId="0" fillId="0" borderId="0" xfId="1" applyFont="1" applyAlignment="1">
      <alignment vertical="center"/>
    </xf>
    <xf numFmtId="43" fontId="0" fillId="0" borderId="0" xfId="1"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xf>
    <xf numFmtId="4" fontId="0" fillId="0" borderId="0" xfId="0" applyNumberFormat="1" applyAlignment="1">
      <alignment vertical="center"/>
    </xf>
    <xf numFmtId="44" fontId="0" fillId="0" borderId="0" xfId="0" applyNumberFormat="1" applyAlignment="1">
      <alignment vertical="center"/>
    </xf>
    <xf numFmtId="0" fontId="22" fillId="34" borderId="12" xfId="0" applyFont="1" applyFill="1" applyBorder="1"/>
    <xf numFmtId="0" fontId="22" fillId="34" borderId="13" xfId="0" applyFont="1" applyFill="1" applyBorder="1"/>
    <xf numFmtId="0" fontId="0" fillId="34" borderId="14" xfId="0" applyFill="1" applyBorder="1"/>
    <xf numFmtId="0" fontId="22" fillId="34" borderId="15" xfId="0" applyFont="1" applyFill="1" applyBorder="1"/>
    <xf numFmtId="0" fontId="22" fillId="34" borderId="0" xfId="0" applyFont="1" applyFill="1" applyBorder="1"/>
    <xf numFmtId="0" fontId="0" fillId="34" borderId="16" xfId="0" applyFill="1" applyBorder="1"/>
    <xf numFmtId="0" fontId="22" fillId="34" borderId="17" xfId="0" applyFont="1" applyFill="1" applyBorder="1"/>
    <xf numFmtId="0" fontId="22" fillId="34" borderId="1" xfId="0" applyFont="1" applyFill="1" applyBorder="1"/>
    <xf numFmtId="0" fontId="0" fillId="34" borderId="18" xfId="0" applyFill="1" applyBorder="1"/>
    <xf numFmtId="44" fontId="0" fillId="0" borderId="0" xfId="2" applyNumberFormat="1" applyFont="1" applyAlignment="1">
      <alignment vertical="center"/>
    </xf>
    <xf numFmtId="0" fontId="22" fillId="34" borderId="13" xfId="0" applyFont="1" applyFill="1" applyBorder="1" applyAlignment="1" applyProtection="1">
      <alignment horizontal="left"/>
      <protection locked="0"/>
    </xf>
    <xf numFmtId="0" fontId="22" fillId="34" borderId="0" xfId="0" applyFont="1" applyFill="1" applyBorder="1" applyProtection="1">
      <protection locked="0"/>
    </xf>
    <xf numFmtId="14" fontId="22" fillId="34" borderId="1" xfId="0" applyNumberFormat="1" applyFont="1" applyFill="1" applyBorder="1" applyAlignment="1" applyProtection="1">
      <alignment horizontal="left"/>
      <protection locked="0"/>
    </xf>
    <xf numFmtId="0" fontId="40" fillId="34" borderId="0" xfId="46" applyFont="1" applyFill="1" applyBorder="1" applyProtection="1">
      <protection locked="0"/>
    </xf>
    <xf numFmtId="0" fontId="0" fillId="0" borderId="0" xfId="0" applyBorder="1" applyProtection="1">
      <protection hidden="1"/>
    </xf>
    <xf numFmtId="0" fontId="7" fillId="2" borderId="0" xfId="0" applyFont="1" applyFill="1" applyAlignment="1" applyProtection="1">
      <alignment horizontal="left"/>
      <protection locked="0"/>
    </xf>
    <xf numFmtId="0" fontId="4" fillId="0" borderId="1" xfId="0" applyFont="1" applyFill="1" applyBorder="1" applyAlignment="1">
      <alignment horizontal="center" vertical="center" wrapText="1"/>
    </xf>
    <xf numFmtId="0" fontId="42" fillId="0" borderId="0" xfId="47" applyNumberFormat="1" applyFont="1" applyAlignment="1" applyProtection="1">
      <alignment horizontal="left"/>
      <protection locked="0"/>
    </xf>
    <xf numFmtId="0" fontId="42" fillId="0" borderId="0" xfId="47" applyNumberFormat="1" applyFont="1" applyFill="1" applyAlignment="1" applyProtection="1">
      <alignment horizontal="right"/>
      <protection locked="0"/>
    </xf>
    <xf numFmtId="0" fontId="43" fillId="0" borderId="0" xfId="47" applyNumberFormat="1" applyFont="1" applyFill="1" applyAlignment="1" applyProtection="1">
      <alignment horizontal="right"/>
      <protection locked="0"/>
    </xf>
    <xf numFmtId="0" fontId="42" fillId="0" borderId="0" xfId="47" applyNumberFormat="1" applyFont="1"/>
    <xf numFmtId="0" fontId="42" fillId="0" borderId="0" xfId="47" applyNumberFormat="1" applyFont="1" applyProtection="1">
      <protection locked="0"/>
    </xf>
    <xf numFmtId="0" fontId="42" fillId="35" borderId="0" xfId="47" applyNumberFormat="1" applyFont="1" applyFill="1" applyProtection="1">
      <protection locked="0"/>
    </xf>
    <xf numFmtId="0" fontId="42" fillId="35" borderId="0" xfId="47" applyNumberFormat="1" applyFont="1" applyFill="1" applyAlignment="1" applyProtection="1">
      <alignment horizontal="right"/>
      <protection locked="0"/>
    </xf>
    <xf numFmtId="0" fontId="42" fillId="0" borderId="0" xfId="47" applyNumberFormat="1" applyFont="1" applyAlignment="1" applyProtection="1">
      <alignment horizontal="center"/>
      <protection locked="0"/>
    </xf>
    <xf numFmtId="0" fontId="42" fillId="0" borderId="19" xfId="47" applyNumberFormat="1" applyFont="1" applyBorder="1" applyAlignment="1" applyProtection="1">
      <alignment horizontal="center"/>
      <protection locked="0"/>
    </xf>
    <xf numFmtId="0" fontId="42" fillId="0" borderId="19" xfId="47" applyNumberFormat="1" applyFont="1" applyBorder="1" applyAlignment="1" applyProtection="1">
      <alignment horizontal="centerContinuous"/>
      <protection locked="0"/>
    </xf>
    <xf numFmtId="0" fontId="42" fillId="0" borderId="0" xfId="47" applyNumberFormat="1" applyFont="1" applyFill="1" applyAlignment="1" applyProtection="1">
      <alignment horizontal="center"/>
      <protection locked="0"/>
    </xf>
    <xf numFmtId="42" fontId="42" fillId="36" borderId="0" xfId="47" applyNumberFormat="1" applyFont="1" applyFill="1" applyBorder="1" applyAlignment="1" applyProtection="1">
      <alignment horizontal="right"/>
      <protection locked="0"/>
    </xf>
    <xf numFmtId="0" fontId="42" fillId="0" borderId="0" xfId="47" applyNumberFormat="1" applyFont="1" applyFill="1" applyProtection="1">
      <protection locked="0"/>
    </xf>
    <xf numFmtId="172" fontId="42" fillId="35" borderId="0" xfId="47" applyNumberFormat="1" applyFont="1" applyFill="1" applyProtection="1">
      <protection locked="0"/>
    </xf>
    <xf numFmtId="172" fontId="42" fillId="0" borderId="0" xfId="47" applyNumberFormat="1" applyFont="1" applyProtection="1">
      <protection locked="0"/>
    </xf>
    <xf numFmtId="172" fontId="42" fillId="0" borderId="0" xfId="47" applyNumberFormat="1" applyFont="1" applyFill="1" applyProtection="1">
      <protection locked="0"/>
    </xf>
    <xf numFmtId="0" fontId="42" fillId="36" borderId="0" xfId="47" applyNumberFormat="1" applyFont="1" applyFill="1" applyProtection="1">
      <protection locked="0"/>
    </xf>
    <xf numFmtId="0" fontId="46" fillId="0" borderId="0" xfId="47" applyNumberFormat="1" applyFont="1" applyAlignment="1" applyProtection="1">
      <alignment horizontal="center"/>
      <protection locked="0"/>
    </xf>
    <xf numFmtId="0" fontId="42" fillId="0" borderId="0" xfId="47" applyNumberFormat="1" applyFont="1" applyFill="1" applyAlignment="1" applyProtection="1">
      <alignment horizontal="center" vertical="center"/>
      <protection locked="0"/>
    </xf>
    <xf numFmtId="0" fontId="42" fillId="0" borderId="0" xfId="47" applyNumberFormat="1" applyFont="1" applyFill="1" applyAlignment="1" applyProtection="1">
      <protection locked="0"/>
    </xf>
    <xf numFmtId="0" fontId="42" fillId="0" borderId="0" xfId="47" applyNumberFormat="1" applyFont="1" applyAlignment="1" applyProtection="1">
      <alignment horizontal="center" vertical="center"/>
      <protection locked="0"/>
    </xf>
    <xf numFmtId="0" fontId="42" fillId="0" borderId="0" xfId="47" applyNumberFormat="1" applyFont="1" applyAlignment="1" applyProtection="1">
      <alignment horizontal="right"/>
      <protection locked="0"/>
    </xf>
    <xf numFmtId="0" fontId="46" fillId="0" borderId="0" xfId="47" applyNumberFormat="1" applyFont="1" applyFill="1" applyAlignment="1" applyProtection="1">
      <alignment horizontal="center"/>
      <protection locked="0"/>
    </xf>
    <xf numFmtId="173" fontId="42" fillId="0" borderId="0" xfId="47" applyNumberFormat="1" applyFont="1" applyAlignment="1" applyProtection="1">
      <alignment horizontal="left"/>
      <protection locked="0"/>
    </xf>
    <xf numFmtId="173" fontId="42" fillId="0" borderId="0" xfId="47" applyNumberFormat="1" applyFont="1" applyFill="1" applyAlignment="1" applyProtection="1">
      <alignment horizontal="left" vertical="center"/>
      <protection locked="0"/>
    </xf>
    <xf numFmtId="0" fontId="42" fillId="0" borderId="19" xfId="47" applyNumberFormat="1" applyFont="1" applyFill="1" applyBorder="1" applyProtection="1">
      <protection locked="0"/>
    </xf>
    <xf numFmtId="0" fontId="41" fillId="0" borderId="0" xfId="47" applyNumberFormat="1" applyFont="1" applyFill="1" applyBorder="1" applyAlignment="1"/>
    <xf numFmtId="167" fontId="41" fillId="0" borderId="0" xfId="47" applyFont="1" applyFill="1" applyBorder="1" applyAlignment="1"/>
    <xf numFmtId="3" fontId="41" fillId="0" borderId="0" xfId="47" applyNumberFormat="1" applyFont="1" applyFill="1" applyBorder="1" applyAlignment="1"/>
    <xf numFmtId="165" fontId="0" fillId="0" borderId="0" xfId="49" applyNumberFormat="1" applyFont="1" applyFill="1" applyBorder="1" applyAlignment="1"/>
    <xf numFmtId="178" fontId="41" fillId="0" borderId="0" xfId="47" applyNumberFormat="1" applyFont="1" applyFill="1" applyBorder="1" applyAlignment="1"/>
    <xf numFmtId="170" fontId="42" fillId="0" borderId="0" xfId="47" applyNumberFormat="1" applyFont="1" applyAlignment="1" applyProtection="1">
      <alignment horizontal="center"/>
      <protection locked="0"/>
    </xf>
    <xf numFmtId="3" fontId="42" fillId="0" borderId="0" xfId="47" applyNumberFormat="1" applyFont="1" applyFill="1" applyAlignment="1" applyProtection="1">
      <protection locked="0"/>
    </xf>
    <xf numFmtId="0" fontId="42" fillId="0" borderId="19" xfId="47" applyNumberFormat="1" applyFont="1" applyBorder="1" applyAlignment="1" applyProtection="1">
      <alignment horizontal="center" vertical="center"/>
      <protection locked="0"/>
    </xf>
    <xf numFmtId="0" fontId="42" fillId="0" borderId="0" xfId="47" applyNumberFormat="1" applyFont="1" applyBorder="1" applyAlignment="1" applyProtection="1">
      <alignment horizontal="center"/>
      <protection locked="0"/>
    </xf>
    <xf numFmtId="49" fontId="42" fillId="0" borderId="0" xfId="47" applyNumberFormat="1" applyFont="1" applyFill="1" applyAlignment="1" applyProtection="1">
      <protection locked="0"/>
    </xf>
    <xf numFmtId="49" fontId="47" fillId="0" borderId="0" xfId="47" applyNumberFormat="1" applyFont="1" applyAlignment="1" applyProtection="1">
      <protection locked="0"/>
    </xf>
    <xf numFmtId="38" fontId="42" fillId="35" borderId="0" xfId="47" applyNumberFormat="1" applyFont="1" applyFill="1" applyBorder="1" applyProtection="1">
      <protection locked="0"/>
    </xf>
    <xf numFmtId="0" fontId="42" fillId="0" borderId="0" xfId="47" applyNumberFormat="1" applyFont="1" applyBorder="1" applyProtection="1">
      <protection locked="0"/>
    </xf>
    <xf numFmtId="38" fontId="42" fillId="35" borderId="19" xfId="47" applyNumberFormat="1" applyFont="1" applyFill="1" applyBorder="1" applyProtection="1">
      <protection locked="0"/>
    </xf>
    <xf numFmtId="38" fontId="42" fillId="0" borderId="0" xfId="47" applyNumberFormat="1" applyFont="1" applyFill="1" applyBorder="1" applyProtection="1"/>
    <xf numFmtId="171" fontId="42" fillId="0" borderId="0" xfId="47" applyNumberFormat="1" applyFont="1" applyProtection="1">
      <protection locked="0"/>
    </xf>
    <xf numFmtId="178" fontId="42" fillId="35" borderId="0" xfId="47" applyNumberFormat="1" applyFont="1" applyFill="1" applyBorder="1" applyAlignment="1" applyProtection="1">
      <protection locked="0"/>
    </xf>
    <xf numFmtId="3" fontId="42" fillId="0" borderId="0" xfId="47" applyNumberFormat="1" applyFont="1" applyAlignment="1" applyProtection="1"/>
    <xf numFmtId="0" fontId="42" fillId="0" borderId="0" xfId="47" applyNumberFormat="1" applyFont="1" applyBorder="1" applyAlignment="1" applyProtection="1">
      <protection locked="0"/>
    </xf>
    <xf numFmtId="3" fontId="42" fillId="0" borderId="0" xfId="47" applyNumberFormat="1" applyFont="1" applyFill="1" applyAlignment="1" applyProtection="1">
      <alignment horizontal="right"/>
      <protection locked="0"/>
    </xf>
    <xf numFmtId="0" fontId="42" fillId="0" borderId="0" xfId="47" applyNumberFormat="1" applyFont="1" applyFill="1" applyBorder="1" applyAlignment="1" applyProtection="1">
      <protection locked="0"/>
    </xf>
    <xf numFmtId="0" fontId="42" fillId="0" borderId="0" xfId="47" applyNumberFormat="1" applyFont="1" applyFill="1" applyBorder="1" applyProtection="1">
      <protection locked="0"/>
    </xf>
    <xf numFmtId="0" fontId="42" fillId="0" borderId="19" xfId="47" applyNumberFormat="1" applyFont="1" applyFill="1" applyBorder="1" applyAlignment="1" applyProtection="1">
      <protection locked="0"/>
    </xf>
    <xf numFmtId="178" fontId="42" fillId="35" borderId="19" xfId="47" applyNumberFormat="1" applyFont="1" applyFill="1" applyBorder="1" applyAlignment="1" applyProtection="1">
      <protection locked="0"/>
    </xf>
    <xf numFmtId="167" fontId="42" fillId="0" borderId="0" xfId="47" applyNumberFormat="1" applyFont="1" applyFill="1" applyAlignment="1" applyProtection="1">
      <protection locked="0"/>
    </xf>
    <xf numFmtId="178" fontId="42" fillId="0" borderId="0" xfId="47" applyNumberFormat="1" applyFont="1" applyFill="1" applyBorder="1" applyAlignment="1" applyProtection="1"/>
    <xf numFmtId="3" fontId="42" fillId="0" borderId="0" xfId="47" applyNumberFormat="1" applyFont="1" applyFill="1" applyAlignment="1" applyProtection="1"/>
    <xf numFmtId="167" fontId="42" fillId="0" borderId="0" xfId="47" applyNumberFormat="1" applyFont="1" applyAlignment="1" applyProtection="1">
      <protection locked="0"/>
    </xf>
    <xf numFmtId="178" fontId="42" fillId="0" borderId="0" xfId="47" applyNumberFormat="1" applyFont="1" applyProtection="1">
      <protection locked="0"/>
    </xf>
    <xf numFmtId="0" fontId="42" fillId="0" borderId="0" xfId="47" applyNumberFormat="1" applyFont="1" applyAlignment="1" applyProtection="1">
      <alignment horizontal="left" indent="8"/>
      <protection locked="0"/>
    </xf>
    <xf numFmtId="0" fontId="42" fillId="0" borderId="0" xfId="47" applyNumberFormat="1" applyFont="1" applyAlignment="1" applyProtection="1">
      <alignment horizontal="center" vertical="top" wrapText="1"/>
      <protection locked="0"/>
    </xf>
    <xf numFmtId="0" fontId="42" fillId="0" borderId="0" xfId="47" applyNumberFormat="1" applyFont="1" applyFill="1" applyAlignment="1" applyProtection="1">
      <alignment horizontal="left" vertical="top" wrapText="1" indent="8"/>
      <protection locked="0"/>
    </xf>
    <xf numFmtId="10" fontId="42" fillId="35" borderId="0" xfId="47" applyNumberFormat="1" applyFont="1" applyFill="1" applyAlignment="1" applyProtection="1">
      <alignment vertical="top" wrapText="1"/>
      <protection locked="0"/>
    </xf>
    <xf numFmtId="167" fontId="41" fillId="0" borderId="0" xfId="47" applyFont="1" applyFill="1" applyBorder="1" applyAlignment="1">
      <alignment horizontal="right"/>
    </xf>
    <xf numFmtId="0" fontId="49" fillId="0" borderId="0" xfId="47" applyNumberFormat="1" applyFont="1" applyFill="1" applyBorder="1" applyAlignment="1" applyProtection="1">
      <protection locked="0"/>
    </xf>
    <xf numFmtId="0" fontId="49" fillId="0" borderId="0" xfId="47" applyNumberFormat="1" applyFont="1" applyFill="1" applyBorder="1" applyAlignment="1" applyProtection="1">
      <alignment horizontal="left"/>
      <protection locked="0"/>
    </xf>
    <xf numFmtId="0" fontId="49" fillId="0" borderId="0" xfId="47" applyNumberFormat="1" applyFont="1" applyFill="1" applyBorder="1" applyProtection="1">
      <protection locked="0"/>
    </xf>
    <xf numFmtId="0" fontId="49" fillId="0" borderId="0" xfId="47" applyNumberFormat="1" applyFont="1" applyFill="1" applyBorder="1"/>
    <xf numFmtId="0" fontId="49" fillId="0" borderId="0" xfId="47" applyNumberFormat="1" applyFont="1" applyFill="1" applyBorder="1" applyAlignment="1" applyProtection="1">
      <alignment horizontal="right"/>
      <protection locked="0"/>
    </xf>
    <xf numFmtId="0" fontId="41" fillId="0" borderId="0" xfId="47" applyNumberFormat="1" applyFont="1" applyFill="1" applyBorder="1"/>
    <xf numFmtId="3" fontId="49" fillId="0" borderId="0" xfId="47" applyNumberFormat="1" applyFont="1" applyFill="1" applyBorder="1" applyAlignment="1"/>
    <xf numFmtId="0" fontId="41" fillId="0" borderId="0" xfId="47" applyNumberFormat="1" applyFont="1" applyFill="1" applyBorder="1" applyAlignment="1">
      <alignment horizontal="center"/>
    </xf>
    <xf numFmtId="0" fontId="41" fillId="0" borderId="0" xfId="47" applyNumberFormat="1" applyFont="1" applyFill="1" applyBorder="1" applyAlignment="1" applyProtection="1">
      <alignment horizontal="center"/>
      <protection locked="0"/>
    </xf>
    <xf numFmtId="49" fontId="54" fillId="35" borderId="0" xfId="47" applyNumberFormat="1" applyFont="1" applyFill="1" applyBorder="1" applyAlignment="1">
      <alignment horizontal="center"/>
    </xf>
    <xf numFmtId="49" fontId="49" fillId="35" borderId="0" xfId="47" applyNumberFormat="1" applyFont="1" applyFill="1" applyBorder="1" applyAlignment="1">
      <alignment horizontal="center"/>
    </xf>
    <xf numFmtId="49" fontId="49" fillId="0" borderId="0" xfId="47" applyNumberFormat="1" applyFont="1" applyFill="1" applyBorder="1"/>
    <xf numFmtId="3" fontId="49" fillId="0" borderId="0" xfId="47" applyNumberFormat="1" applyFont="1" applyFill="1" applyBorder="1"/>
    <xf numFmtId="0" fontId="49" fillId="0" borderId="0" xfId="47" applyNumberFormat="1" applyFont="1" applyFill="1" applyBorder="1" applyAlignment="1">
      <alignment horizontal="center"/>
    </xf>
    <xf numFmtId="49" fontId="49" fillId="0" borderId="0" xfId="47" applyNumberFormat="1" applyFont="1" applyFill="1" applyBorder="1" applyAlignment="1">
      <alignment horizontal="center"/>
    </xf>
    <xf numFmtId="0" fontId="49" fillId="0" borderId="0" xfId="47" applyNumberFormat="1" applyFont="1" applyFill="1" applyBorder="1" applyAlignment="1"/>
    <xf numFmtId="3" fontId="54" fillId="0" borderId="0" xfId="47" applyNumberFormat="1" applyFont="1" applyFill="1" applyBorder="1" applyAlignment="1">
      <alignment horizontal="center"/>
    </xf>
    <xf numFmtId="167" fontId="54" fillId="0" borderId="0" xfId="47" applyFont="1" applyFill="1" applyBorder="1" applyAlignment="1">
      <alignment horizontal="center"/>
    </xf>
    <xf numFmtId="0" fontId="54" fillId="0" borderId="0" xfId="47" applyNumberFormat="1" applyFont="1" applyFill="1" applyBorder="1" applyAlignment="1" applyProtection="1">
      <alignment horizontal="center"/>
      <protection locked="0"/>
    </xf>
    <xf numFmtId="0" fontId="55" fillId="0" borderId="0" xfId="47" applyNumberFormat="1" applyFont="1" applyFill="1" applyBorder="1" applyAlignment="1">
      <alignment horizontal="center"/>
    </xf>
    <xf numFmtId="0" fontId="54" fillId="0" borderId="0" xfId="47" applyNumberFormat="1" applyFont="1" applyFill="1" applyBorder="1" applyAlignment="1"/>
    <xf numFmtId="0" fontId="56" fillId="0" borderId="0" xfId="47" applyNumberFormat="1" applyFont="1" applyFill="1" applyBorder="1" applyAlignment="1" applyProtection="1">
      <alignment horizontal="center"/>
      <protection locked="0"/>
    </xf>
    <xf numFmtId="3" fontId="41" fillId="0" borderId="0" xfId="47" applyNumberFormat="1" applyFont="1" applyFill="1" applyBorder="1" applyAlignment="1">
      <alignment horizontal="center"/>
    </xf>
    <xf numFmtId="3" fontId="49" fillId="0" borderId="0" xfId="47" applyNumberFormat="1" applyFont="1" applyFill="1" applyBorder="1" applyAlignment="1">
      <alignment horizontal="center"/>
    </xf>
    <xf numFmtId="164" fontId="49" fillId="35" borderId="0" xfId="51" applyNumberFormat="1" applyFont="1" applyFill="1" applyBorder="1" applyAlignment="1"/>
    <xf numFmtId="164" fontId="49" fillId="35" borderId="1" xfId="51" applyNumberFormat="1" applyFont="1" applyFill="1" applyBorder="1" applyAlignment="1"/>
    <xf numFmtId="3" fontId="57" fillId="0" borderId="0" xfId="47" applyNumberFormat="1" applyFont="1" applyFill="1" applyBorder="1" applyAlignment="1"/>
    <xf numFmtId="164" fontId="49" fillId="0" borderId="0" xfId="51" applyNumberFormat="1" applyFont="1" applyFill="1" applyBorder="1" applyAlignment="1"/>
    <xf numFmtId="41" fontId="49" fillId="0" borderId="0" xfId="47" applyNumberFormat="1" applyFont="1" applyFill="1" applyBorder="1" applyAlignment="1"/>
    <xf numFmtId="10" fontId="54" fillId="0" borderId="0" xfId="47" applyNumberFormat="1" applyFont="1" applyFill="1" applyBorder="1" applyAlignment="1"/>
    <xf numFmtId="10" fontId="55" fillId="0" borderId="0" xfId="52" applyNumberFormat="1" applyFont="1" applyFill="1" applyBorder="1" applyAlignment="1"/>
    <xf numFmtId="10" fontId="49" fillId="0" borderId="0" xfId="47" applyNumberFormat="1" applyFont="1" applyFill="1" applyBorder="1" applyAlignment="1"/>
    <xf numFmtId="10" fontId="0" fillId="0" borderId="0" xfId="52" applyNumberFormat="1" applyFont="1" applyFill="1" applyBorder="1" applyAlignment="1"/>
    <xf numFmtId="3" fontId="55" fillId="0" borderId="0" xfId="47" applyNumberFormat="1" applyFont="1" applyFill="1" applyBorder="1" applyAlignment="1"/>
    <xf numFmtId="174" fontId="54" fillId="0" borderId="0" xfId="47" applyNumberFormat="1" applyFont="1" applyFill="1" applyBorder="1" applyAlignment="1"/>
    <xf numFmtId="49" fontId="41" fillId="0" borderId="0" xfId="47" applyNumberFormat="1" applyFont="1" applyFill="1" applyBorder="1" applyAlignment="1">
      <alignment horizontal="center"/>
    </xf>
    <xf numFmtId="167" fontId="49" fillId="0" borderId="0" xfId="47" applyFont="1" applyFill="1" applyBorder="1" applyAlignment="1">
      <alignment horizontal="center"/>
    </xf>
    <xf numFmtId="0" fontId="54" fillId="0" borderId="0" xfId="47" applyNumberFormat="1" applyFont="1" applyFill="1" applyBorder="1" applyAlignment="1">
      <alignment horizontal="center"/>
    </xf>
    <xf numFmtId="49" fontId="55" fillId="0" borderId="0" xfId="47" applyNumberFormat="1" applyFont="1" applyFill="1" applyBorder="1" applyAlignment="1">
      <alignment horizontal="center"/>
    </xf>
    <xf numFmtId="167" fontId="55" fillId="0" borderId="0" xfId="47" applyFont="1" applyFill="1" applyBorder="1" applyAlignment="1"/>
    <xf numFmtId="10" fontId="54" fillId="0" borderId="0" xfId="52" applyNumberFormat="1" applyFont="1" applyFill="1" applyBorder="1" applyAlignment="1"/>
    <xf numFmtId="0" fontId="41" fillId="0" borderId="0" xfId="47" applyNumberFormat="1" applyFont="1" applyFill="1" applyBorder="1" applyAlignment="1">
      <alignment horizontal="fill"/>
    </xf>
    <xf numFmtId="173" fontId="49" fillId="0" borderId="0" xfId="47" applyNumberFormat="1" applyFont="1" applyFill="1" applyBorder="1" applyAlignment="1">
      <alignment horizontal="center"/>
    </xf>
    <xf numFmtId="10" fontId="49" fillId="0" borderId="0" xfId="52" applyNumberFormat="1" applyFont="1" applyFill="1" applyBorder="1" applyAlignment="1"/>
    <xf numFmtId="3" fontId="54" fillId="0" borderId="0" xfId="47" applyNumberFormat="1" applyFont="1" applyFill="1" applyBorder="1" applyAlignment="1"/>
    <xf numFmtId="167" fontId="58" fillId="0" borderId="0" xfId="47" applyFont="1" applyFill="1" applyBorder="1" applyAlignment="1"/>
    <xf numFmtId="167" fontId="49" fillId="0" borderId="0" xfId="47" applyFont="1" applyFill="1" applyBorder="1" applyAlignment="1"/>
    <xf numFmtId="10" fontId="49" fillId="36" borderId="0" xfId="50" applyNumberFormat="1" applyFont="1" applyFill="1" applyBorder="1" applyAlignment="1"/>
    <xf numFmtId="10" fontId="49" fillId="0" borderId="0" xfId="50" applyNumberFormat="1" applyFont="1" applyFill="1" applyBorder="1" applyAlignment="1"/>
    <xf numFmtId="167" fontId="49" fillId="0" borderId="0" xfId="47" applyFont="1" applyFill="1" applyBorder="1" applyAlignment="1">
      <alignment horizontal="left" indent="1"/>
    </xf>
    <xf numFmtId="0" fontId="58" fillId="0" borderId="0" xfId="47" applyNumberFormat="1" applyFont="1" applyFill="1" applyBorder="1" applyAlignment="1" applyProtection="1">
      <alignment horizontal="center"/>
      <protection locked="0"/>
    </xf>
    <xf numFmtId="10" fontId="58" fillId="0" borderId="0" xfId="50" applyNumberFormat="1" applyFont="1" applyFill="1" applyBorder="1" applyAlignment="1"/>
    <xf numFmtId="167" fontId="49" fillId="0" borderId="0" xfId="47" applyFont="1" applyFill="1" applyBorder="1" applyAlignment="1">
      <alignment horizontal="right"/>
    </xf>
    <xf numFmtId="0" fontId="41" fillId="0" borderId="0" xfId="47" quotePrefix="1" applyNumberFormat="1" applyFont="1" applyFill="1" applyBorder="1" applyAlignment="1" applyProtection="1">
      <alignment horizontal="center"/>
      <protection locked="0"/>
    </xf>
    <xf numFmtId="179" fontId="54" fillId="0" borderId="0" xfId="47" quotePrefix="1" applyNumberFormat="1" applyFont="1" applyFill="1" applyBorder="1" applyAlignment="1">
      <alignment horizontal="center"/>
    </xf>
    <xf numFmtId="167" fontId="55" fillId="0" borderId="24" xfId="47" applyFont="1" applyFill="1" applyBorder="1" applyAlignment="1">
      <alignment horizontal="center" wrapText="1"/>
    </xf>
    <xf numFmtId="167" fontId="55" fillId="0" borderId="25" xfId="47" applyFont="1" applyFill="1" applyBorder="1" applyAlignment="1"/>
    <xf numFmtId="167" fontId="55" fillId="0" borderId="25" xfId="47" applyFont="1" applyFill="1" applyBorder="1" applyAlignment="1">
      <alignment horizontal="center" wrapText="1"/>
    </xf>
    <xf numFmtId="0" fontId="54" fillId="0" borderId="25" xfId="47" applyNumberFormat="1" applyFont="1" applyFill="1" applyBorder="1" applyAlignment="1">
      <alignment horizontal="center" wrapText="1"/>
    </xf>
    <xf numFmtId="167" fontId="55" fillId="0" borderId="26" xfId="47" applyFont="1" applyFill="1" applyBorder="1" applyAlignment="1">
      <alignment horizontal="center" wrapText="1"/>
    </xf>
    <xf numFmtId="167" fontId="55" fillId="0" borderId="2" xfId="47" applyFont="1" applyFill="1" applyBorder="1" applyAlignment="1">
      <alignment horizontal="center" wrapText="1"/>
    </xf>
    <xf numFmtId="3" fontId="54" fillId="0" borderId="2" xfId="47" applyNumberFormat="1" applyFont="1" applyFill="1" applyBorder="1" applyAlignment="1">
      <alignment horizontal="center" wrapText="1"/>
    </xf>
    <xf numFmtId="3" fontId="54" fillId="0" borderId="25" xfId="47" applyNumberFormat="1" applyFont="1" applyFill="1" applyBorder="1" applyAlignment="1">
      <alignment horizontal="center" wrapText="1"/>
    </xf>
    <xf numFmtId="0" fontId="49" fillId="0" borderId="24" xfId="47" applyNumberFormat="1" applyFont="1" applyFill="1" applyBorder="1"/>
    <xf numFmtId="0" fontId="49" fillId="0" borderId="25" xfId="47" applyNumberFormat="1" applyFont="1" applyFill="1" applyBorder="1"/>
    <xf numFmtId="0" fontId="49" fillId="0" borderId="25" xfId="47" quotePrefix="1" applyNumberFormat="1" applyFont="1" applyFill="1" applyBorder="1" applyAlignment="1">
      <alignment horizontal="center"/>
    </xf>
    <xf numFmtId="0" fontId="49" fillId="0" borderId="25" xfId="47" applyNumberFormat="1" applyFont="1" applyFill="1" applyBorder="1" applyAlignment="1">
      <alignment horizontal="center"/>
    </xf>
    <xf numFmtId="0" fontId="49" fillId="0" borderId="2" xfId="47" quotePrefix="1" applyNumberFormat="1" applyFont="1" applyFill="1" applyBorder="1" applyAlignment="1">
      <alignment horizontal="center"/>
    </xf>
    <xf numFmtId="0" fontId="49" fillId="0" borderId="25" xfId="47" applyNumberFormat="1" applyFont="1" applyFill="1" applyBorder="1" applyAlignment="1">
      <alignment horizontal="center" wrapText="1"/>
    </xf>
    <xf numFmtId="0" fontId="49" fillId="0" borderId="2" xfId="47" applyNumberFormat="1" applyFont="1" applyFill="1" applyBorder="1" applyAlignment="1">
      <alignment horizontal="center" wrapText="1"/>
    </xf>
    <xf numFmtId="3" fontId="49" fillId="0" borderId="25" xfId="47" applyNumberFormat="1" applyFont="1" applyFill="1" applyBorder="1" applyAlignment="1">
      <alignment horizontal="center"/>
    </xf>
    <xf numFmtId="3" fontId="49" fillId="0" borderId="2" xfId="47" applyNumberFormat="1" applyFont="1" applyFill="1" applyBorder="1" applyAlignment="1">
      <alignment horizontal="center" wrapText="1"/>
    </xf>
    <xf numFmtId="0" fontId="49" fillId="0" borderId="15" xfId="47" applyNumberFormat="1" applyFont="1" applyFill="1" applyBorder="1"/>
    <xf numFmtId="0" fontId="49" fillId="0" borderId="27" xfId="47" applyNumberFormat="1" applyFont="1" applyFill="1" applyBorder="1"/>
    <xf numFmtId="3" fontId="49" fillId="0" borderId="27" xfId="47" applyNumberFormat="1" applyFont="1" applyFill="1" applyBorder="1" applyAlignment="1"/>
    <xf numFmtId="167" fontId="41" fillId="0" borderId="15" xfId="47" applyFont="1" applyFill="1" applyBorder="1" applyAlignment="1"/>
    <xf numFmtId="165" fontId="0" fillId="35" borderId="0" xfId="49" applyNumberFormat="1" applyFont="1" applyFill="1" applyBorder="1" applyAlignment="1"/>
    <xf numFmtId="167" fontId="41" fillId="0" borderId="27" xfId="47" applyFont="1" applyFill="1" applyBorder="1" applyAlignment="1"/>
    <xf numFmtId="10" fontId="0" fillId="36" borderId="0" xfId="52" applyNumberFormat="1" applyFont="1" applyFill="1" applyBorder="1" applyAlignment="1"/>
    <xf numFmtId="165" fontId="0" fillId="0" borderId="27" xfId="49" applyNumberFormat="1" applyFont="1" applyFill="1" applyBorder="1" applyAlignment="1"/>
    <xf numFmtId="165" fontId="49" fillId="35" borderId="0" xfId="49" applyNumberFormat="1" applyFont="1" applyFill="1" applyBorder="1" applyAlignment="1"/>
    <xf numFmtId="165" fontId="49" fillId="0" borderId="27" xfId="49" applyNumberFormat="1" applyFont="1" applyFill="1" applyBorder="1" applyAlignment="1"/>
    <xf numFmtId="167" fontId="59" fillId="0" borderId="0" xfId="47" applyFont="1" applyFill="1" applyBorder="1" applyAlignment="1"/>
    <xf numFmtId="0" fontId="59" fillId="0" borderId="0" xfId="47" applyNumberFormat="1" applyFont="1" applyFill="1" applyBorder="1" applyAlignment="1">
      <alignment horizontal="center"/>
    </xf>
    <xf numFmtId="167" fontId="59" fillId="0" borderId="27" xfId="47" applyFont="1" applyFill="1" applyBorder="1" applyAlignment="1"/>
    <xf numFmtId="167" fontId="41" fillId="0" borderId="17" xfId="47" applyFont="1" applyFill="1" applyBorder="1" applyAlignment="1"/>
    <xf numFmtId="167" fontId="41" fillId="0" borderId="1" xfId="47" applyFont="1" applyFill="1" applyBorder="1" applyAlignment="1"/>
    <xf numFmtId="167" fontId="59" fillId="0" borderId="1" xfId="47" applyFont="1" applyFill="1" applyBorder="1" applyAlignment="1"/>
    <xf numFmtId="167" fontId="59" fillId="0" borderId="28" xfId="47" applyFont="1" applyFill="1" applyBorder="1" applyAlignment="1"/>
    <xf numFmtId="178" fontId="49" fillId="0" borderId="0" xfId="47" applyNumberFormat="1" applyFont="1" applyFill="1" applyBorder="1" applyAlignment="1"/>
    <xf numFmtId="167" fontId="23" fillId="0" borderId="0" xfId="47" applyFont="1" applyFill="1" applyBorder="1" applyAlignment="1"/>
    <xf numFmtId="1" fontId="49" fillId="0" borderId="0" xfId="51" applyNumberFormat="1" applyFont="1" applyFill="1" applyBorder="1" applyAlignment="1">
      <alignment horizontal="center"/>
    </xf>
    <xf numFmtId="167" fontId="49" fillId="0" borderId="19" xfId="47" applyFont="1" applyFill="1" applyBorder="1" applyAlignment="1"/>
    <xf numFmtId="167" fontId="41" fillId="0" borderId="0" xfId="47" applyFont="1" applyFill="1" applyBorder="1" applyAlignment="1">
      <alignment horizontal="center" vertical="top"/>
    </xf>
    <xf numFmtId="167" fontId="41" fillId="0" borderId="0" xfId="47" applyFont="1" applyFill="1" applyBorder="1" applyAlignment="1">
      <alignment vertical="top"/>
    </xf>
    <xf numFmtId="167" fontId="41" fillId="0" borderId="0" xfId="47" applyFont="1" applyFill="1" applyBorder="1" applyAlignment="1">
      <alignment horizontal="left" vertical="top" wrapText="1"/>
    </xf>
    <xf numFmtId="167" fontId="41" fillId="0" borderId="0" xfId="47" applyFont="1" applyFill="1" applyBorder="1" applyAlignment="1">
      <alignment horizontal="center"/>
    </xf>
    <xf numFmtId="49" fontId="41" fillId="0" borderId="0" xfId="47" applyNumberFormat="1" applyFont="1" applyFill="1" applyBorder="1" applyAlignment="1">
      <alignment horizontal="left"/>
    </xf>
    <xf numFmtId="0" fontId="42" fillId="0" borderId="0" xfId="47" applyNumberFormat="1" applyFont="1" applyFill="1" applyBorder="1" applyAlignment="1">
      <alignment horizontal="right"/>
    </xf>
    <xf numFmtId="178" fontId="41" fillId="0" borderId="27" xfId="47" applyNumberFormat="1" applyFont="1" applyFill="1" applyBorder="1" applyAlignment="1"/>
    <xf numFmtId="165" fontId="13" fillId="0" borderId="0" xfId="0" applyNumberFormat="1" applyFont="1" applyFill="1" applyAlignment="1">
      <alignment vertical="center"/>
    </xf>
    <xf numFmtId="44" fontId="0" fillId="0" borderId="0" xfId="0" applyNumberFormat="1" applyFill="1" applyAlignment="1">
      <alignment wrapText="1"/>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xf numFmtId="0" fontId="0" fillId="0" borderId="0" xfId="0" applyAlignment="1">
      <alignment horizontal="center"/>
    </xf>
    <xf numFmtId="0" fontId="0" fillId="0" borderId="0" xfId="0" applyAlignment="1">
      <alignment vertical="top" wrapText="1"/>
    </xf>
    <xf numFmtId="0" fontId="62"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Fill="1" applyBorder="1" applyAlignment="1">
      <alignment horizontal="center" vertical="top" wrapText="1"/>
    </xf>
    <xf numFmtId="17" fontId="0" fillId="0" borderId="0" xfId="0" applyNumberFormat="1" applyAlignment="1">
      <alignment horizontal="left"/>
    </xf>
    <xf numFmtId="165" fontId="0" fillId="0" borderId="29" xfId="2" applyNumberFormat="1" applyFont="1" applyBorder="1"/>
    <xf numFmtId="44" fontId="0" fillId="0" borderId="0" xfId="2" applyFont="1"/>
    <xf numFmtId="44" fontId="0" fillId="0" borderId="29" xfId="0" applyNumberFormat="1" applyBorder="1"/>
    <xf numFmtId="165" fontId="0" fillId="0" borderId="27" xfId="2" applyNumberFormat="1" applyFont="1" applyBorder="1"/>
    <xf numFmtId="44" fontId="0" fillId="0" borderId="27" xfId="0" applyNumberFormat="1" applyBorder="1"/>
    <xf numFmtId="165" fontId="0" fillId="0" borderId="27" xfId="0" applyNumberFormat="1" applyBorder="1"/>
    <xf numFmtId="0" fontId="0" fillId="0" borderId="27" xfId="0" applyBorder="1"/>
    <xf numFmtId="165" fontId="0" fillId="0" borderId="28" xfId="0" applyNumberFormat="1" applyBorder="1"/>
    <xf numFmtId="44" fontId="0" fillId="0" borderId="28" xfId="0" applyNumberFormat="1" applyBorder="1"/>
    <xf numFmtId="44" fontId="0" fillId="0" borderId="0" xfId="0" applyNumberFormat="1"/>
    <xf numFmtId="0" fontId="0" fillId="0" borderId="0" xfId="0" applyAlignment="1">
      <alignment vertical="top"/>
    </xf>
    <xf numFmtId="44" fontId="0" fillId="0" borderId="29" xfId="2" applyFont="1" applyBorder="1"/>
    <xf numFmtId="44" fontId="0" fillId="0" borderId="27" xfId="2" applyFont="1" applyBorder="1"/>
    <xf numFmtId="0" fontId="0" fillId="0" borderId="0" xfId="0" applyFill="1"/>
    <xf numFmtId="44" fontId="0" fillId="0" borderId="0" xfId="0" applyNumberFormat="1" applyFill="1"/>
    <xf numFmtId="0" fontId="62" fillId="0" borderId="29" xfId="0" applyFont="1" applyBorder="1" applyAlignment="1">
      <alignment horizontal="center" vertical="top" wrapText="1"/>
    </xf>
    <xf numFmtId="44" fontId="0" fillId="0" borderId="28" xfId="2" applyFont="1" applyBorder="1"/>
    <xf numFmtId="0" fontId="0" fillId="0" borderId="27" xfId="0" applyFill="1" applyBorder="1"/>
    <xf numFmtId="44" fontId="0" fillId="0" borderId="27" xfId="0" applyNumberFormat="1" applyFill="1" applyBorder="1"/>
    <xf numFmtId="0" fontId="61" fillId="0" borderId="0" xfId="56" applyFont="1" applyAlignment="1">
      <alignment horizontal="right"/>
    </xf>
    <xf numFmtId="0" fontId="61" fillId="0" borderId="0" xfId="58" applyFont="1" applyAlignment="1">
      <alignment horizontal="right"/>
    </xf>
    <xf numFmtId="165" fontId="0" fillId="0" borderId="0" xfId="0" applyNumberFormat="1"/>
    <xf numFmtId="0" fontId="65" fillId="0" borderId="0" xfId="59" applyFont="1" applyAlignment="1">
      <alignment horizontal="right"/>
    </xf>
    <xf numFmtId="0" fontId="61" fillId="0" borderId="0" xfId="59" applyFont="1" applyAlignment="1">
      <alignment horizontal="right"/>
    </xf>
    <xf numFmtId="0" fontId="0" fillId="0" borderId="0" xfId="0" applyAlignment="1">
      <alignment wrapText="1"/>
    </xf>
    <xf numFmtId="0" fontId="4" fillId="0" borderId="0" xfId="0" applyFont="1" applyAlignment="1">
      <alignment wrapText="1"/>
    </xf>
    <xf numFmtId="44" fontId="12" fillId="0" borderId="0" xfId="2" applyNumberFormat="1" applyFont="1" applyAlignment="1">
      <alignment vertical="center"/>
    </xf>
    <xf numFmtId="0" fontId="42" fillId="0" borderId="0" xfId="47" applyNumberFormat="1" applyFont="1" applyAlignment="1" applyProtection="1">
      <protection locked="0"/>
    </xf>
    <xf numFmtId="0" fontId="42" fillId="0" borderId="0" xfId="47" applyNumberFormat="1" applyFont="1" applyFill="1" applyAlignment="1" applyProtection="1">
      <alignment vertical="top" wrapText="1"/>
      <protection locked="0"/>
    </xf>
    <xf numFmtId="0" fontId="0" fillId="0" borderId="0" xfId="0"/>
    <xf numFmtId="167" fontId="42" fillId="0" borderId="0" xfId="47" applyFont="1" applyAlignment="1" applyProtection="1">
      <protection locked="0"/>
    </xf>
    <xf numFmtId="167" fontId="44" fillId="0" borderId="0" xfId="47" applyFont="1" applyBorder="1" applyAlignment="1" applyProtection="1">
      <alignment wrapText="1"/>
      <protection locked="0"/>
    </xf>
    <xf numFmtId="167" fontId="42" fillId="0" borderId="0" xfId="47" applyFont="1" applyFill="1" applyAlignment="1" applyProtection="1">
      <protection locked="0"/>
    </xf>
    <xf numFmtId="167" fontId="42" fillId="0" borderId="0" xfId="47" applyFont="1" applyBorder="1" applyAlignment="1" applyProtection="1">
      <protection locked="0"/>
    </xf>
    <xf numFmtId="0" fontId="44" fillId="0" borderId="0" xfId="47" applyNumberFormat="1" applyFont="1" applyProtection="1">
      <protection locked="0"/>
    </xf>
    <xf numFmtId="167" fontId="45" fillId="0" borderId="0" xfId="47" applyFont="1" applyBorder="1" applyAlignment="1" applyProtection="1">
      <alignment wrapText="1"/>
      <protection locked="0"/>
    </xf>
    <xf numFmtId="167" fontId="42" fillId="35" borderId="0" xfId="47" applyFont="1" applyFill="1" applyAlignment="1" applyProtection="1">
      <protection locked="0"/>
    </xf>
    <xf numFmtId="3" fontId="42" fillId="0" borderId="0" xfId="47" applyNumberFormat="1" applyFont="1" applyAlignment="1" applyProtection="1">
      <protection locked="0"/>
    </xf>
    <xf numFmtId="49" fontId="42" fillId="35" borderId="0" xfId="47" applyNumberFormat="1" applyFont="1" applyFill="1" applyProtection="1">
      <protection locked="0"/>
    </xf>
    <xf numFmtId="49" fontId="42" fillId="0" borderId="0" xfId="47" applyNumberFormat="1" applyFont="1" applyProtection="1">
      <protection locked="0"/>
    </xf>
    <xf numFmtId="3" fontId="42" fillId="0" borderId="0" xfId="47" applyNumberFormat="1" applyFont="1" applyProtection="1">
      <protection locked="0"/>
    </xf>
    <xf numFmtId="42" fontId="42" fillId="0" borderId="0" xfId="47" applyNumberFormat="1" applyFont="1" applyFill="1" applyProtection="1"/>
    <xf numFmtId="3" fontId="42" fillId="0" borderId="0" xfId="47" applyNumberFormat="1" applyFont="1" applyAlignment="1" applyProtection="1">
      <alignment horizontal="right"/>
      <protection locked="0"/>
    </xf>
    <xf numFmtId="170" fontId="42" fillId="0" borderId="0" xfId="47" applyNumberFormat="1" applyFont="1" applyAlignment="1" applyProtection="1"/>
    <xf numFmtId="3" fontId="42" fillId="0" borderId="0" xfId="47" applyNumberFormat="1" applyFont="1" applyAlignment="1" applyProtection="1">
      <alignment horizontal="right"/>
    </xf>
    <xf numFmtId="3" fontId="42" fillId="0" borderId="0" xfId="47" applyNumberFormat="1" applyFont="1" applyFill="1" applyBorder="1" applyProtection="1">
      <protection locked="0"/>
    </xf>
    <xf numFmtId="3" fontId="42" fillId="36" borderId="0" xfId="47" applyNumberFormat="1" applyFont="1" applyFill="1" applyAlignment="1" applyProtection="1">
      <protection locked="0"/>
    </xf>
    <xf numFmtId="3" fontId="42" fillId="35" borderId="0" xfId="47" applyNumberFormat="1" applyFont="1" applyFill="1" applyAlignment="1" applyProtection="1">
      <protection locked="0"/>
    </xf>
    <xf numFmtId="3" fontId="42" fillId="0" borderId="19" xfId="47" applyNumberFormat="1" applyFont="1" applyBorder="1" applyAlignment="1" applyProtection="1"/>
    <xf numFmtId="3" fontId="42" fillId="0" borderId="0" xfId="47" applyNumberFormat="1" applyFont="1" applyAlignment="1" applyProtection="1">
      <alignment horizontal="fill"/>
      <protection locked="0"/>
    </xf>
    <xf numFmtId="170" fontId="42" fillId="0" borderId="0" xfId="47" applyNumberFormat="1" applyFont="1" applyAlignment="1" applyProtection="1">
      <protection locked="0"/>
    </xf>
    <xf numFmtId="3" fontId="42" fillId="0" borderId="0" xfId="47" applyNumberFormat="1" applyFont="1" applyFill="1" applyAlignment="1" applyProtection="1">
      <alignment horizontal="fill"/>
      <protection locked="0"/>
    </xf>
    <xf numFmtId="170" fontId="42" fillId="0" borderId="0" xfId="47" applyNumberFormat="1" applyFont="1" applyFill="1" applyAlignment="1" applyProtection="1">
      <protection locked="0"/>
    </xf>
    <xf numFmtId="167" fontId="41" fillId="0" borderId="0" xfId="47" applyProtection="1">
      <protection locked="0"/>
    </xf>
    <xf numFmtId="167" fontId="44" fillId="0" borderId="0" xfId="47" applyFont="1" applyAlignment="1" applyProtection="1">
      <protection locked="0"/>
    </xf>
    <xf numFmtId="3" fontId="42" fillId="36" borderId="0" xfId="47" applyNumberFormat="1" applyFont="1" applyFill="1" applyProtection="1">
      <protection locked="0"/>
    </xf>
    <xf numFmtId="3" fontId="42" fillId="35" borderId="19" xfId="47" applyNumberFormat="1" applyFont="1" applyFill="1" applyBorder="1" applyProtection="1">
      <protection locked="0"/>
    </xf>
    <xf numFmtId="3" fontId="42" fillId="0" borderId="0" xfId="47" applyNumberFormat="1" applyFont="1" applyFill="1" applyProtection="1"/>
    <xf numFmtId="3" fontId="42" fillId="0" borderId="0" xfId="47" applyNumberFormat="1" applyFont="1" applyFill="1" applyProtection="1">
      <protection locked="0"/>
    </xf>
    <xf numFmtId="3" fontId="42" fillId="35" borderId="0" xfId="47" applyNumberFormat="1" applyFont="1" applyFill="1" applyProtection="1">
      <protection locked="0"/>
    </xf>
    <xf numFmtId="42" fontId="42" fillId="0" borderId="20" xfId="47" applyNumberFormat="1" applyFont="1" applyFill="1" applyBorder="1" applyAlignment="1" applyProtection="1">
      <alignment horizontal="right"/>
    </xf>
    <xf numFmtId="3" fontId="42" fillId="35" borderId="0" xfId="47" applyNumberFormat="1" applyFont="1" applyFill="1" applyBorder="1" applyProtection="1">
      <protection locked="0"/>
    </xf>
    <xf numFmtId="3" fontId="42" fillId="0" borderId="0" xfId="47" applyNumberFormat="1" applyFont="1" applyProtection="1"/>
    <xf numFmtId="171" fontId="42" fillId="0" borderId="0" xfId="47" applyNumberFormat="1" applyFont="1" applyProtection="1"/>
    <xf numFmtId="171" fontId="42" fillId="0" borderId="0" xfId="47" applyNumberFormat="1" applyFont="1" applyAlignment="1" applyProtection="1">
      <alignment horizontal="center"/>
      <protection locked="0"/>
    </xf>
    <xf numFmtId="167" fontId="42" fillId="0" borderId="0" xfId="47" applyFont="1" applyAlignment="1" applyProtection="1">
      <alignment horizontal="center"/>
      <protection locked="0"/>
    </xf>
    <xf numFmtId="172" fontId="42" fillId="0" borderId="0" xfId="47" applyNumberFormat="1" applyFont="1" applyAlignment="1" applyProtection="1"/>
    <xf numFmtId="0" fontId="42" fillId="0" borderId="0" xfId="47" applyNumberFormat="1" applyFont="1" applyFill="1" applyAlignment="1" applyProtection="1">
      <alignment horizontal="left"/>
      <protection locked="0"/>
    </xf>
    <xf numFmtId="172" fontId="42" fillId="0" borderId="0" xfId="47" applyNumberFormat="1" applyFont="1" applyFill="1" applyAlignment="1" applyProtection="1"/>
    <xf numFmtId="172" fontId="42" fillId="0" borderId="0" xfId="47" applyNumberFormat="1" applyFont="1" applyProtection="1"/>
    <xf numFmtId="3" fontId="42" fillId="0" borderId="0" xfId="47" applyNumberFormat="1" applyFont="1" applyBorder="1" applyAlignment="1" applyProtection="1">
      <protection locked="0"/>
    </xf>
    <xf numFmtId="173" fontId="42" fillId="0" borderId="0" xfId="47" applyNumberFormat="1" applyFont="1" applyAlignment="1" applyProtection="1">
      <alignment horizontal="center"/>
      <protection locked="0"/>
    </xf>
    <xf numFmtId="0" fontId="42" fillId="36" borderId="0" xfId="47" applyNumberFormat="1" applyFont="1" applyFill="1" applyAlignment="1" applyProtection="1">
      <alignment horizontal="right"/>
    </xf>
    <xf numFmtId="49" fontId="42" fillId="0" borderId="0" xfId="47" applyNumberFormat="1" applyFont="1" applyAlignment="1" applyProtection="1">
      <alignment horizontal="left"/>
      <protection locked="0"/>
    </xf>
    <xf numFmtId="49" fontId="42" fillId="0" borderId="0" xfId="47" applyNumberFormat="1" applyFont="1" applyAlignment="1" applyProtection="1">
      <alignment horizontal="center"/>
      <protection locked="0"/>
    </xf>
    <xf numFmtId="3" fontId="46" fillId="0" borderId="0" xfId="47" applyNumberFormat="1" applyFont="1" applyAlignment="1" applyProtection="1">
      <alignment horizontal="center"/>
      <protection locked="0"/>
    </xf>
    <xf numFmtId="167" fontId="46" fillId="0" borderId="0" xfId="47" applyFont="1" applyAlignment="1" applyProtection="1">
      <alignment horizontal="center"/>
      <protection locked="0"/>
    </xf>
    <xf numFmtId="3" fontId="46" fillId="0" borderId="0" xfId="47" applyNumberFormat="1" applyFont="1" applyAlignment="1" applyProtection="1">
      <protection locked="0"/>
    </xf>
    <xf numFmtId="0" fontId="46" fillId="0" borderId="0" xfId="47" applyNumberFormat="1" applyFont="1" applyAlignment="1" applyProtection="1">
      <protection locked="0"/>
    </xf>
    <xf numFmtId="174" fontId="42" fillId="0" borderId="0" xfId="47" applyNumberFormat="1" applyFont="1" applyFill="1" applyAlignment="1" applyProtection="1">
      <protection locked="0"/>
    </xf>
    <xf numFmtId="3" fontId="42" fillId="0" borderId="0" xfId="47" applyNumberFormat="1" applyFont="1" applyFill="1" applyBorder="1" applyAlignment="1" applyProtection="1">
      <alignment vertical="center"/>
      <protection locked="0"/>
    </xf>
    <xf numFmtId="174" fontId="42" fillId="0" borderId="0" xfId="47" applyNumberFormat="1" applyFont="1" applyAlignment="1" applyProtection="1"/>
    <xf numFmtId="0" fontId="42" fillId="0" borderId="0" xfId="47" applyNumberFormat="1" applyFont="1" applyFill="1" applyAlignment="1" applyProtection="1">
      <alignment vertical="center"/>
      <protection locked="0"/>
    </xf>
    <xf numFmtId="3" fontId="47" fillId="0" borderId="0" xfId="47" applyNumberFormat="1" applyFont="1" applyFill="1" applyAlignment="1" applyProtection="1">
      <alignment vertical="center"/>
      <protection locked="0"/>
    </xf>
    <xf numFmtId="3" fontId="42" fillId="35" borderId="0" xfId="47" applyNumberFormat="1" applyFont="1" applyFill="1" applyBorder="1" applyAlignment="1" applyProtection="1">
      <alignment vertical="center"/>
      <protection locked="0"/>
    </xf>
    <xf numFmtId="3" fontId="42" fillId="0" borderId="0" xfId="47" applyNumberFormat="1" applyFont="1" applyAlignment="1" applyProtection="1">
      <alignment vertical="center"/>
      <protection locked="0"/>
    </xf>
    <xf numFmtId="3" fontId="42" fillId="0" borderId="0" xfId="47" applyNumberFormat="1" applyFont="1" applyFill="1" applyAlignment="1" applyProtection="1">
      <alignment horizontal="right" vertical="center"/>
      <protection locked="0"/>
    </xf>
    <xf numFmtId="174" fontId="42" fillId="0" borderId="0" xfId="47" applyNumberFormat="1" applyFont="1" applyFill="1" applyAlignment="1" applyProtection="1">
      <alignment vertical="center"/>
      <protection locked="0"/>
    </xf>
    <xf numFmtId="3" fontId="42" fillId="0" borderId="0" xfId="47" applyNumberFormat="1" applyFont="1" applyAlignment="1" applyProtection="1">
      <alignment vertical="center"/>
    </xf>
    <xf numFmtId="3" fontId="42" fillId="35" borderId="19" xfId="47" applyNumberFormat="1" applyFont="1" applyFill="1" applyBorder="1" applyAlignment="1" applyProtection="1">
      <protection locked="0"/>
    </xf>
    <xf numFmtId="173" fontId="42" fillId="0" borderId="0" xfId="47" applyNumberFormat="1" applyFont="1" applyAlignment="1" applyProtection="1">
      <alignment horizontal="center"/>
    </xf>
    <xf numFmtId="173" fontId="42" fillId="0" borderId="0" xfId="47" applyNumberFormat="1" applyFont="1" applyFill="1" applyAlignment="1" applyProtection="1">
      <alignment horizontal="center"/>
      <protection locked="0"/>
    </xf>
    <xf numFmtId="0" fontId="42" fillId="0" borderId="0" xfId="47" applyNumberFormat="1" applyFont="1" applyFill="1" applyAlignment="1" applyProtection="1"/>
    <xf numFmtId="167" fontId="47" fillId="0" borderId="0" xfId="47" applyFont="1" applyFill="1" applyAlignment="1" applyProtection="1">
      <alignment vertical="center"/>
      <protection locked="0"/>
    </xf>
    <xf numFmtId="3" fontId="42" fillId="35" borderId="0" xfId="47" applyNumberFormat="1" applyFont="1" applyFill="1" applyAlignment="1" applyProtection="1">
      <alignment vertical="center"/>
      <protection locked="0"/>
    </xf>
    <xf numFmtId="0" fontId="42" fillId="0" borderId="0" xfId="47" applyNumberFormat="1" applyFont="1" applyAlignment="1" applyProtection="1"/>
    <xf numFmtId="174" fontId="42" fillId="0" borderId="0" xfId="47" applyNumberFormat="1" applyFont="1" applyAlignment="1" applyProtection="1">
      <protection locked="0"/>
    </xf>
    <xf numFmtId="174" fontId="42" fillId="0" borderId="0" xfId="47" applyNumberFormat="1" applyFont="1" applyAlignment="1" applyProtection="1">
      <alignment vertical="center"/>
      <protection locked="0"/>
    </xf>
    <xf numFmtId="3" fontId="42" fillId="0" borderId="0" xfId="47" applyNumberFormat="1" applyFont="1" applyAlignment="1" applyProtection="1">
      <alignment horizontal="right" vertical="center"/>
      <protection locked="0"/>
    </xf>
    <xf numFmtId="167" fontId="42" fillId="0" borderId="0" xfId="47" applyFont="1" applyAlignment="1" applyProtection="1">
      <alignment horizontal="right"/>
      <protection locked="0"/>
    </xf>
    <xf numFmtId="3" fontId="42" fillId="0" borderId="0" xfId="47" applyNumberFormat="1" applyFont="1" applyFill="1" applyAlignment="1" applyProtection="1">
      <alignment horizontal="right"/>
    </xf>
    <xf numFmtId="174" fontId="42" fillId="0" borderId="0" xfId="47" applyNumberFormat="1" applyFont="1" applyFill="1" applyAlignment="1" applyProtection="1">
      <alignment horizontal="right"/>
      <protection locked="0"/>
    </xf>
    <xf numFmtId="3" fontId="42" fillId="35" borderId="0" xfId="47" applyNumberFormat="1" applyFont="1" applyFill="1" applyBorder="1" applyAlignment="1" applyProtection="1">
      <protection locked="0"/>
    </xf>
    <xf numFmtId="3" fontId="42" fillId="0" borderId="0" xfId="47" applyNumberFormat="1" applyFont="1" applyBorder="1" applyAlignment="1" applyProtection="1">
      <alignment horizontal="right"/>
      <protection locked="0"/>
    </xf>
    <xf numFmtId="174" fontId="42" fillId="0" borderId="0" xfId="47" applyNumberFormat="1" applyFont="1" applyBorder="1" applyAlignment="1" applyProtection="1"/>
    <xf numFmtId="3" fontId="42" fillId="0" borderId="0" xfId="47" applyNumberFormat="1" applyFont="1" applyBorder="1" applyAlignment="1" applyProtection="1"/>
    <xf numFmtId="3" fontId="42" fillId="0" borderId="0" xfId="47" applyNumberFormat="1" applyFont="1" applyBorder="1" applyAlignment="1" applyProtection="1">
      <alignment vertical="center"/>
      <protection locked="0"/>
    </xf>
    <xf numFmtId="3" fontId="42" fillId="0" borderId="0" xfId="47" applyNumberFormat="1" applyFont="1" applyFill="1" applyBorder="1" applyAlignment="1" applyProtection="1">
      <alignment horizontal="right" vertical="center"/>
      <protection locked="0"/>
    </xf>
    <xf numFmtId="174" fontId="42" fillId="0" borderId="0" xfId="47" applyNumberFormat="1" applyFont="1" applyFill="1" applyBorder="1" applyAlignment="1" applyProtection="1">
      <alignment vertical="center"/>
      <protection locked="0"/>
    </xf>
    <xf numFmtId="3" fontId="42" fillId="0" borderId="0" xfId="47" applyNumberFormat="1" applyFont="1" applyBorder="1" applyAlignment="1" applyProtection="1">
      <alignment vertical="center"/>
    </xf>
    <xf numFmtId="3" fontId="42" fillId="35" borderId="19" xfId="47" applyNumberFormat="1" applyFont="1" applyFill="1" applyBorder="1" applyAlignment="1" applyProtection="1">
      <alignment vertical="center"/>
      <protection locked="0"/>
    </xf>
    <xf numFmtId="3" fontId="42" fillId="0" borderId="19" xfId="47" applyNumberFormat="1" applyFont="1" applyBorder="1" applyAlignment="1" applyProtection="1">
      <alignment vertical="center"/>
    </xf>
    <xf numFmtId="3" fontId="42" fillId="0" borderId="21" xfId="47" applyNumberFormat="1" applyFont="1" applyBorder="1" applyAlignment="1" applyProtection="1">
      <alignment vertical="center"/>
    </xf>
    <xf numFmtId="173" fontId="42" fillId="0" borderId="0" xfId="47" applyNumberFormat="1" applyFont="1" applyAlignment="1" applyProtection="1">
      <alignment horizontal="center" vertical="center"/>
      <protection locked="0"/>
    </xf>
    <xf numFmtId="0" fontId="47" fillId="0" borderId="0" xfId="47" applyNumberFormat="1" applyFont="1" applyFill="1" applyAlignment="1" applyProtection="1">
      <alignment vertical="center"/>
      <protection locked="0"/>
    </xf>
    <xf numFmtId="3" fontId="42" fillId="0" borderId="19" xfId="47" applyNumberFormat="1" applyFont="1" applyBorder="1" applyAlignment="1" applyProtection="1">
      <alignment vertical="center"/>
      <protection locked="0"/>
    </xf>
    <xf numFmtId="3" fontId="42" fillId="0" borderId="22" xfId="47" applyNumberFormat="1" applyFont="1" applyBorder="1" applyAlignment="1" applyProtection="1">
      <alignment vertical="center"/>
    </xf>
    <xf numFmtId="0" fontId="41" fillId="0" borderId="0" xfId="47" applyNumberFormat="1" applyProtection="1">
      <protection locked="0"/>
    </xf>
    <xf numFmtId="167" fontId="42" fillId="0" borderId="0" xfId="47" applyFont="1" applyAlignment="1" applyProtection="1"/>
    <xf numFmtId="3" fontId="48" fillId="0" borderId="0" xfId="47" applyNumberFormat="1" applyFont="1" applyAlignment="1" applyProtection="1">
      <alignment horizontal="right"/>
      <protection locked="0"/>
    </xf>
    <xf numFmtId="175" fontId="42" fillId="0" borderId="0" xfId="47" applyNumberFormat="1" applyFont="1" applyFill="1" applyAlignment="1" applyProtection="1">
      <alignment horizontal="right"/>
    </xf>
    <xf numFmtId="174" fontId="42" fillId="0" borderId="0" xfId="47" applyNumberFormat="1" applyFont="1" applyFill="1" applyAlignment="1" applyProtection="1"/>
    <xf numFmtId="174" fontId="42" fillId="0" borderId="0" xfId="47" applyNumberFormat="1" applyFont="1" applyAlignment="1" applyProtection="1">
      <alignment vertical="center"/>
    </xf>
    <xf numFmtId="170" fontId="42" fillId="0" borderId="0" xfId="47" applyNumberFormat="1" applyFont="1" applyFill="1" applyAlignment="1" applyProtection="1">
      <alignment horizontal="right"/>
      <protection locked="0"/>
    </xf>
    <xf numFmtId="10" fontId="42" fillId="0" borderId="0" xfId="47" applyNumberFormat="1" applyFont="1" applyFill="1" applyAlignment="1" applyProtection="1">
      <alignment horizontal="right"/>
    </xf>
    <xf numFmtId="176" fontId="42" fillId="0" borderId="0" xfId="47" applyNumberFormat="1" applyFont="1" applyFill="1" applyAlignment="1" applyProtection="1">
      <alignment horizontal="right"/>
    </xf>
    <xf numFmtId="173" fontId="42" fillId="0" borderId="0" xfId="47" applyNumberFormat="1" applyFont="1" applyFill="1" applyAlignment="1" applyProtection="1">
      <alignment horizontal="left"/>
      <protection locked="0"/>
    </xf>
    <xf numFmtId="10" fontId="42" fillId="0" borderId="0" xfId="47" applyNumberFormat="1" applyFont="1" applyAlignment="1" applyProtection="1">
      <alignment horizontal="left"/>
      <protection locked="0"/>
    </xf>
    <xf numFmtId="3" fontId="42" fillId="0" borderId="0" xfId="47" applyNumberFormat="1" applyFont="1" applyFill="1" applyAlignment="1" applyProtection="1">
      <alignment horizontal="left"/>
      <protection locked="0"/>
    </xf>
    <xf numFmtId="177" fontId="42" fillId="0" borderId="0" xfId="47" applyNumberFormat="1" applyFont="1" applyAlignment="1" applyProtection="1">
      <protection locked="0"/>
    </xf>
    <xf numFmtId="170" fontId="42" fillId="0" borderId="0" xfId="47" applyNumberFormat="1" applyFont="1" applyAlignment="1" applyProtection="1">
      <alignment horizontal="center" vertical="center"/>
      <protection locked="0"/>
    </xf>
    <xf numFmtId="167" fontId="42" fillId="0" borderId="0" xfId="47" applyFont="1" applyFill="1" applyAlignment="1" applyProtection="1">
      <alignment vertical="center"/>
      <protection locked="0"/>
    </xf>
    <xf numFmtId="3" fontId="42" fillId="0" borderId="0" xfId="47" applyNumberFormat="1" applyFont="1" applyFill="1" applyAlignment="1" applyProtection="1">
      <alignment vertical="center"/>
    </xf>
    <xf numFmtId="3" fontId="42" fillId="0" borderId="0" xfId="47" applyNumberFormat="1" applyFont="1" applyFill="1" applyAlignment="1" applyProtection="1">
      <alignment vertical="center"/>
      <protection locked="0"/>
    </xf>
    <xf numFmtId="170" fontId="42" fillId="0" borderId="0" xfId="47" applyNumberFormat="1" applyFont="1" applyFill="1" applyAlignment="1" applyProtection="1">
      <alignment horizontal="center" vertical="center"/>
      <protection locked="0"/>
    </xf>
    <xf numFmtId="167" fontId="42" fillId="0" borderId="0" xfId="47" applyFont="1" applyAlignment="1" applyProtection="1">
      <alignment vertical="center"/>
      <protection locked="0"/>
    </xf>
    <xf numFmtId="164" fontId="42" fillId="35" borderId="19" xfId="48" applyNumberFormat="1" applyFont="1" applyFill="1" applyBorder="1" applyAlignment="1" applyProtection="1">
      <alignment vertical="center"/>
      <protection locked="0"/>
    </xf>
    <xf numFmtId="164" fontId="42" fillId="0" borderId="0" xfId="48" applyNumberFormat="1" applyFont="1" applyAlignment="1" applyProtection="1">
      <alignment vertical="center"/>
      <protection locked="0"/>
    </xf>
    <xf numFmtId="164" fontId="42" fillId="35" borderId="0" xfId="48" applyNumberFormat="1" applyFont="1" applyFill="1" applyBorder="1" applyAlignment="1" applyProtection="1">
      <alignment vertical="center"/>
      <protection locked="0"/>
    </xf>
    <xf numFmtId="3" fontId="42" fillId="0" borderId="23" xfId="47" applyNumberFormat="1" applyFont="1" applyFill="1" applyBorder="1" applyAlignment="1" applyProtection="1">
      <alignment vertical="center"/>
    </xf>
    <xf numFmtId="167" fontId="42" fillId="0" borderId="0" xfId="47" applyFont="1" applyFill="1" applyBorder="1" applyAlignment="1" applyProtection="1">
      <protection locked="0"/>
    </xf>
    <xf numFmtId="3" fontId="42" fillId="0" borderId="0" xfId="47" applyNumberFormat="1" applyFont="1" applyFill="1" applyBorder="1" applyAlignment="1" applyProtection="1">
      <protection locked="0"/>
    </xf>
    <xf numFmtId="3" fontId="42" fillId="0" borderId="0" xfId="47" applyNumberFormat="1" applyFont="1" applyFill="1" applyAlignment="1" applyProtection="1">
      <alignment horizontal="center"/>
      <protection locked="0"/>
    </xf>
    <xf numFmtId="49" fontId="42" fillId="0" borderId="0" xfId="47" applyNumberFormat="1" applyFont="1" applyFill="1" applyProtection="1">
      <protection locked="0"/>
    </xf>
    <xf numFmtId="49" fontId="42" fillId="0" borderId="0" xfId="47" applyNumberFormat="1" applyFont="1" applyFill="1" applyBorder="1" applyAlignment="1" applyProtection="1">
      <protection locked="0"/>
    </xf>
    <xf numFmtId="49" fontId="42" fillId="0" borderId="0" xfId="47" applyNumberFormat="1" applyFont="1" applyFill="1" applyAlignment="1" applyProtection="1">
      <alignment horizontal="center"/>
      <protection locked="0"/>
    </xf>
    <xf numFmtId="174" fontId="49" fillId="0" borderId="0" xfId="47" applyNumberFormat="1" applyFont="1" applyAlignment="1" applyProtection="1">
      <alignment horizontal="right"/>
    </xf>
    <xf numFmtId="167" fontId="50" fillId="0" borderId="0" xfId="47" applyFont="1" applyFill="1" applyBorder="1" applyAlignment="1" applyProtection="1">
      <protection locked="0"/>
    </xf>
    <xf numFmtId="0" fontId="41" fillId="0" borderId="0" xfId="47" applyNumberFormat="1" applyFont="1" applyFill="1" applyBorder="1" applyAlignment="1" applyProtection="1">
      <protection locked="0"/>
    </xf>
    <xf numFmtId="167" fontId="41" fillId="0" borderId="0" xfId="47" applyFont="1" applyFill="1" applyBorder="1" applyAlignment="1" applyProtection="1">
      <protection locked="0"/>
    </xf>
    <xf numFmtId="3" fontId="41" fillId="0" borderId="0" xfId="47" applyNumberFormat="1" applyFont="1" applyFill="1" applyBorder="1" applyAlignment="1" applyProtection="1">
      <protection locked="0"/>
    </xf>
    <xf numFmtId="167" fontId="41" fillId="0" borderId="0" xfId="47" applyFill="1" applyBorder="1" applyAlignment="1" applyProtection="1">
      <protection locked="0"/>
    </xf>
    <xf numFmtId="165" fontId="0" fillId="0" borderId="0" xfId="49" applyNumberFormat="1" applyFont="1" applyFill="1" applyBorder="1" applyAlignment="1" applyProtection="1">
      <protection locked="0"/>
    </xf>
    <xf numFmtId="3" fontId="51" fillId="0" borderId="0" xfId="47" applyNumberFormat="1" applyFont="1" applyFill="1" applyBorder="1" applyAlignment="1" applyProtection="1">
      <protection locked="0"/>
    </xf>
    <xf numFmtId="178" fontId="41" fillId="0" borderId="0" xfId="47" applyNumberFormat="1" applyFill="1" applyBorder="1" applyAlignment="1" applyProtection="1">
      <protection locked="0"/>
    </xf>
    <xf numFmtId="167" fontId="51" fillId="0" borderId="0" xfId="47" applyFont="1" applyFill="1" applyBorder="1" applyAlignment="1" applyProtection="1">
      <protection locked="0"/>
    </xf>
    <xf numFmtId="167" fontId="52" fillId="0" borderId="0" xfId="47" applyFont="1" applyFill="1" applyBorder="1" applyAlignment="1" applyProtection="1">
      <protection locked="0"/>
    </xf>
    <xf numFmtId="167" fontId="53" fillId="0" borderId="0" xfId="47" applyFont="1" applyFill="1" applyBorder="1" applyProtection="1">
      <protection locked="0"/>
    </xf>
    <xf numFmtId="167" fontId="51" fillId="0" borderId="0" xfId="47" applyFont="1" applyFill="1" applyBorder="1" applyProtection="1">
      <protection locked="0"/>
    </xf>
    <xf numFmtId="174" fontId="42" fillId="0" borderId="0" xfId="47" applyNumberFormat="1" applyFont="1" applyFill="1" applyProtection="1"/>
    <xf numFmtId="170" fontId="42" fillId="0" borderId="0" xfId="47" applyNumberFormat="1" applyFont="1" applyFill="1" applyProtection="1"/>
    <xf numFmtId="3" fontId="42" fillId="0" borderId="0" xfId="47" applyNumberFormat="1" applyFont="1" applyAlignment="1" applyProtection="1">
      <alignment horizontal="center"/>
      <protection locked="0"/>
    </xf>
    <xf numFmtId="167" fontId="51" fillId="0" borderId="0" xfId="47" applyFont="1" applyFill="1" applyBorder="1" applyAlignment="1" applyProtection="1">
      <alignment horizontal="left" wrapText="1"/>
      <protection locked="0"/>
    </xf>
    <xf numFmtId="3" fontId="42" fillId="0" borderId="19" xfId="47" applyNumberFormat="1" applyFont="1" applyBorder="1" applyAlignment="1" applyProtection="1">
      <protection locked="0"/>
    </xf>
    <xf numFmtId="3" fontId="42" fillId="0" borderId="19" xfId="47" applyNumberFormat="1" applyFont="1" applyBorder="1" applyAlignment="1" applyProtection="1">
      <alignment horizontal="center"/>
      <protection locked="0"/>
    </xf>
    <xf numFmtId="178" fontId="41" fillId="0" borderId="0" xfId="47" applyNumberFormat="1" applyFont="1" applyFill="1" applyBorder="1" applyAlignment="1" applyProtection="1">
      <protection locked="0"/>
    </xf>
    <xf numFmtId="4" fontId="42" fillId="0" borderId="0" xfId="47" applyNumberFormat="1" applyFont="1" applyAlignment="1" applyProtection="1">
      <protection locked="0"/>
    </xf>
    <xf numFmtId="4" fontId="42" fillId="0" borderId="0" xfId="47" applyNumberFormat="1" applyFont="1" applyAlignment="1" applyProtection="1"/>
    <xf numFmtId="3" fontId="42" fillId="0" borderId="0" xfId="47" applyNumberFormat="1" applyFont="1" applyBorder="1" applyAlignment="1" applyProtection="1">
      <alignment horizontal="center"/>
      <protection locked="0"/>
    </xf>
    <xf numFmtId="170" fontId="42" fillId="0" borderId="0" xfId="47" applyNumberFormat="1" applyFont="1" applyFill="1" applyAlignment="1" applyProtection="1"/>
    <xf numFmtId="0" fontId="42" fillId="0" borderId="19" xfId="47" applyNumberFormat="1" applyFont="1" applyBorder="1" applyAlignment="1" applyProtection="1">
      <protection locked="0"/>
    </xf>
    <xf numFmtId="178" fontId="42" fillId="35" borderId="0" xfId="47" applyNumberFormat="1" applyFont="1" applyFill="1" applyAlignment="1" applyProtection="1">
      <protection locked="0"/>
    </xf>
    <xf numFmtId="42" fontId="42" fillId="35" borderId="0" xfId="47" applyNumberFormat="1" applyFont="1" applyFill="1" applyAlignment="1" applyProtection="1">
      <protection locked="0"/>
    </xf>
    <xf numFmtId="9" fontId="42" fillId="0" borderId="0" xfId="47" applyNumberFormat="1" applyFont="1" applyAlignment="1" applyProtection="1"/>
    <xf numFmtId="176" fontId="42" fillId="0" borderId="0" xfId="47" applyNumberFormat="1" applyFont="1" applyAlignment="1" applyProtection="1">
      <protection locked="0"/>
    </xf>
    <xf numFmtId="10" fontId="42" fillId="0" borderId="0" xfId="50" applyNumberFormat="1" applyFont="1" applyAlignment="1" applyProtection="1"/>
    <xf numFmtId="10" fontId="42" fillId="0" borderId="0" xfId="50" applyNumberFormat="1" applyFont="1" applyAlignment="1" applyProtection="1">
      <protection locked="0"/>
    </xf>
    <xf numFmtId="3" fontId="42" fillId="0" borderId="0" xfId="47" quotePrefix="1" applyNumberFormat="1" applyFont="1" applyAlignment="1" applyProtection="1">
      <protection locked="0"/>
    </xf>
    <xf numFmtId="10" fontId="42" fillId="35" borderId="0" xfId="50" applyNumberFormat="1" applyFont="1" applyFill="1" applyAlignment="1" applyProtection="1">
      <protection locked="0"/>
    </xf>
    <xf numFmtId="10" fontId="42" fillId="0" borderId="19" xfId="50" applyNumberFormat="1" applyFont="1" applyBorder="1" applyAlignment="1" applyProtection="1"/>
    <xf numFmtId="3" fontId="42" fillId="0" borderId="0" xfId="47" applyNumberFormat="1" applyFont="1" applyAlignment="1" applyProtection="1">
      <alignment horizontal="center" vertical="center"/>
      <protection locked="0"/>
    </xf>
    <xf numFmtId="167" fontId="42" fillId="0" borderId="0" xfId="47" applyFont="1" applyAlignment="1" applyProtection="1">
      <alignment horizontal="right" vertical="center"/>
      <protection locked="0"/>
    </xf>
    <xf numFmtId="4" fontId="42" fillId="0" borderId="0" xfId="47" applyNumberFormat="1" applyFont="1" applyAlignment="1" applyProtection="1">
      <alignment vertical="center"/>
      <protection locked="0"/>
    </xf>
    <xf numFmtId="9" fontId="42" fillId="0" borderId="0" xfId="47" applyNumberFormat="1" applyFont="1" applyAlignment="1" applyProtection="1">
      <alignment vertical="center"/>
      <protection locked="0"/>
    </xf>
    <xf numFmtId="10" fontId="42" fillId="0" borderId="0" xfId="50" applyNumberFormat="1" applyFont="1" applyFill="1" applyAlignment="1" applyProtection="1"/>
    <xf numFmtId="10" fontId="42" fillId="0" borderId="0" xfId="50" applyNumberFormat="1" applyFont="1" applyAlignment="1" applyProtection="1">
      <alignment horizontal="right" vertical="center"/>
      <protection locked="0"/>
    </xf>
    <xf numFmtId="10" fontId="42" fillId="0" borderId="0" xfId="50" applyNumberFormat="1" applyFont="1" applyAlignment="1" applyProtection="1">
      <alignment vertical="center"/>
    </xf>
    <xf numFmtId="3" fontId="42" fillId="0" borderId="0" xfId="47" quotePrefix="1" applyNumberFormat="1" applyFont="1" applyAlignment="1" applyProtection="1">
      <alignment vertical="center"/>
      <protection locked="0"/>
    </xf>
    <xf numFmtId="9" fontId="42" fillId="0" borderId="19" xfId="47" applyNumberFormat="1" applyFont="1" applyBorder="1" applyAlignment="1" applyProtection="1">
      <alignment vertical="center"/>
      <protection locked="0"/>
    </xf>
    <xf numFmtId="10" fontId="42" fillId="0" borderId="19" xfId="50" applyNumberFormat="1" applyFont="1" applyBorder="1" applyAlignment="1" applyProtection="1">
      <alignment vertical="center"/>
    </xf>
    <xf numFmtId="9" fontId="42" fillId="0" borderId="0" xfId="47" applyNumberFormat="1" applyFont="1" applyFill="1" applyAlignment="1" applyProtection="1">
      <alignment vertical="center"/>
    </xf>
    <xf numFmtId="10" fontId="42" fillId="0" borderId="0" xfId="50" applyNumberFormat="1" applyFont="1" applyAlignment="1" applyProtection="1">
      <alignment vertical="center"/>
      <protection locked="0"/>
    </xf>
    <xf numFmtId="9" fontId="42" fillId="0" borderId="0" xfId="47" applyNumberFormat="1" applyFont="1" applyFill="1" applyAlignment="1" applyProtection="1">
      <alignment vertical="center"/>
      <protection locked="0"/>
    </xf>
    <xf numFmtId="167" fontId="47" fillId="0" borderId="0" xfId="47" applyFont="1" applyAlignment="1" applyProtection="1">
      <protection locked="0"/>
    </xf>
    <xf numFmtId="38" fontId="42" fillId="0" borderId="0" xfId="47" applyNumberFormat="1" applyFont="1" applyAlignment="1" applyProtection="1">
      <protection locked="0"/>
    </xf>
    <xf numFmtId="167" fontId="42" fillId="0" borderId="19" xfId="47" applyFont="1" applyBorder="1" applyAlignment="1" applyProtection="1">
      <protection locked="0"/>
    </xf>
    <xf numFmtId="0" fontId="42" fillId="0" borderId="19" xfId="47" applyNumberFormat="1" applyFont="1" applyBorder="1" applyProtection="1">
      <protection locked="0"/>
    </xf>
    <xf numFmtId="178" fontId="42" fillId="0" borderId="0" xfId="47" applyNumberFormat="1" applyFont="1" applyFill="1" applyBorder="1" applyProtection="1">
      <protection locked="0"/>
    </xf>
    <xf numFmtId="1" fontId="42" fillId="0" borderId="0" xfId="47" applyNumberFormat="1" applyFont="1" applyFill="1" applyProtection="1">
      <protection locked="0"/>
    </xf>
    <xf numFmtId="178" fontId="42" fillId="35" borderId="0" xfId="47" applyNumberFormat="1" applyFont="1" applyFill="1" applyBorder="1" applyProtection="1">
      <protection locked="0"/>
    </xf>
    <xf numFmtId="1" fontId="42" fillId="0" borderId="0" xfId="47" applyNumberFormat="1" applyFont="1" applyFill="1" applyAlignment="1" applyProtection="1">
      <protection locked="0"/>
    </xf>
    <xf numFmtId="178" fontId="42" fillId="0" borderId="0" xfId="47" applyNumberFormat="1" applyFont="1" applyFill="1" applyBorder="1" applyAlignment="1" applyProtection="1">
      <protection locked="0"/>
    </xf>
    <xf numFmtId="167" fontId="42" fillId="0" borderId="0" xfId="47" applyFont="1" applyAlignment="1" applyProtection="1">
      <alignment horizontal="center" vertical="top" wrapText="1"/>
      <protection locked="0"/>
    </xf>
    <xf numFmtId="167" fontId="42" fillId="0" borderId="0" xfId="47" applyFont="1" applyFill="1" applyAlignment="1" applyProtection="1">
      <alignment horizontal="center" vertical="top" wrapText="1"/>
      <protection locked="0"/>
    </xf>
    <xf numFmtId="167" fontId="42" fillId="0" borderId="0" xfId="47" applyFont="1" applyFill="1" applyAlignment="1" applyProtection="1">
      <alignment horizontal="center" vertical="center" wrapText="1"/>
      <protection locked="0"/>
    </xf>
    <xf numFmtId="167" fontId="42" fillId="0" borderId="0" xfId="47" applyFont="1" applyAlignment="1" applyProtection="1">
      <alignment horizontal="center" vertical="top"/>
      <protection locked="0"/>
    </xf>
    <xf numFmtId="167" fontId="42" fillId="0" borderId="0" xfId="47" applyFont="1" applyFill="1" applyAlignment="1" applyProtection="1">
      <alignment vertical="top"/>
      <protection locked="0"/>
    </xf>
    <xf numFmtId="165" fontId="64" fillId="37" borderId="29" xfId="2" applyNumberFormat="1" applyFont="1" applyFill="1" applyBorder="1"/>
    <xf numFmtId="44" fontId="64" fillId="37" borderId="12" xfId="2" applyFont="1" applyFill="1" applyBorder="1"/>
    <xf numFmtId="165" fontId="64" fillId="37" borderId="27" xfId="2" applyNumberFormat="1" applyFont="1" applyFill="1" applyBorder="1"/>
    <xf numFmtId="44" fontId="64" fillId="37" borderId="15" xfId="2" applyFont="1" applyFill="1" applyBorder="1"/>
    <xf numFmtId="0" fontId="0" fillId="37" borderId="27" xfId="0" applyFill="1" applyBorder="1"/>
    <xf numFmtId="0" fontId="0" fillId="37" borderId="15" xfId="0" applyFill="1" applyBorder="1"/>
    <xf numFmtId="165" fontId="0" fillId="37" borderId="27" xfId="0" applyNumberFormat="1" applyFill="1" applyBorder="1"/>
    <xf numFmtId="44" fontId="64" fillId="37" borderId="29" xfId="2" applyFont="1" applyFill="1" applyBorder="1"/>
    <xf numFmtId="44" fontId="64" fillId="37" borderId="27" xfId="2" applyFont="1" applyFill="1" applyBorder="1"/>
    <xf numFmtId="44" fontId="64" fillId="37" borderId="28" xfId="2" applyFont="1" applyFill="1" applyBorder="1"/>
    <xf numFmtId="44" fontId="0" fillId="37" borderId="28" xfId="0" applyNumberFormat="1" applyFill="1" applyBorder="1"/>
    <xf numFmtId="0" fontId="0" fillId="37" borderId="2" xfId="0" applyFill="1" applyBorder="1" applyAlignment="1">
      <alignment horizontal="center" vertical="top" wrapText="1"/>
    </xf>
    <xf numFmtId="3" fontId="23" fillId="37" borderId="0" xfId="57" applyNumberFormat="1" applyFont="1" applyFill="1" applyAlignment="1">
      <alignment horizontal="right"/>
    </xf>
    <xf numFmtId="165" fontId="0" fillId="37" borderId="0" xfId="0" applyNumberFormat="1" applyFill="1"/>
    <xf numFmtId="181" fontId="23" fillId="0" borderId="0" xfId="1" applyNumberFormat="1" applyFont="1" applyFill="1" applyBorder="1"/>
    <xf numFmtId="0" fontId="22" fillId="0" borderId="0" xfId="0" quotePrefix="1" applyFont="1" applyAlignment="1">
      <alignment vertical="center"/>
    </xf>
    <xf numFmtId="0" fontId="0" fillId="0" borderId="0" xfId="0" quotePrefix="1" applyAlignment="1">
      <alignment vertical="center"/>
    </xf>
    <xf numFmtId="43" fontId="22" fillId="0" borderId="0" xfId="1" applyFont="1" applyAlignment="1">
      <alignment vertical="center"/>
    </xf>
    <xf numFmtId="165" fontId="23" fillId="0" borderId="0" xfId="1" applyNumberFormat="1" applyFont="1" applyFill="1" applyBorder="1" applyAlignment="1">
      <alignment horizontal="right"/>
    </xf>
    <xf numFmtId="43" fontId="0" fillId="0" borderId="0" xfId="1" applyNumberFormat="1" applyFont="1" applyAlignment="1">
      <alignment vertical="center"/>
    </xf>
    <xf numFmtId="43" fontId="11" fillId="0" borderId="0" xfId="1" applyFont="1" applyBorder="1" applyAlignment="1">
      <alignment vertical="center"/>
    </xf>
    <xf numFmtId="43" fontId="12" fillId="0" borderId="0" xfId="1" applyFont="1" applyAlignment="1">
      <alignment vertical="center"/>
    </xf>
    <xf numFmtId="167" fontId="42" fillId="2" borderId="0" xfId="47" applyFont="1" applyFill="1" applyAlignment="1" applyProtection="1">
      <protection locked="0"/>
    </xf>
    <xf numFmtId="10" fontId="42" fillId="2" borderId="0" xfId="3" applyNumberFormat="1" applyFont="1" applyFill="1" applyAlignment="1" applyProtection="1">
      <protection locked="0"/>
    </xf>
    <xf numFmtId="0" fontId="15" fillId="0" borderId="0" xfId="0" applyNumberFormat="1" applyFont="1" applyFill="1"/>
    <xf numFmtId="0" fontId="0" fillId="0" borderId="0" xfId="0" applyFill="1" applyAlignment="1">
      <alignment vertical="center"/>
    </xf>
    <xf numFmtId="182" fontId="42" fillId="0" borderId="0" xfId="3" applyNumberFormat="1" applyFont="1" applyAlignment="1" applyProtection="1">
      <protection locked="0"/>
    </xf>
    <xf numFmtId="182" fontId="59" fillId="0" borderId="0" xfId="3" applyNumberFormat="1" applyFont="1" applyFill="1" applyBorder="1" applyAlignment="1"/>
    <xf numFmtId="183" fontId="42" fillId="0" borderId="0" xfId="3" applyNumberFormat="1" applyFont="1" applyAlignment="1" applyProtection="1">
      <protection locked="0"/>
    </xf>
    <xf numFmtId="184" fontId="42" fillId="0" borderId="0" xfId="3" applyNumberFormat="1" applyFont="1" applyAlignment="1" applyProtection="1">
      <protection locked="0"/>
    </xf>
    <xf numFmtId="185" fontId="42" fillId="0" borderId="0" xfId="3" applyNumberFormat="1" applyFont="1" applyAlignment="1" applyProtection="1">
      <protection locked="0"/>
    </xf>
    <xf numFmtId="43" fontId="0" fillId="0" borderId="0" xfId="0" applyNumberFormat="1"/>
    <xf numFmtId="165" fontId="11" fillId="0" borderId="0" xfId="2" applyNumberFormat="1" applyFont="1" applyFill="1" applyAlignment="1">
      <alignment vertical="center"/>
    </xf>
    <xf numFmtId="0" fontId="0" fillId="0" borderId="0" xfId="0"/>
    <xf numFmtId="165" fontId="3" fillId="0" borderId="1" xfId="2" applyNumberFormat="1" applyFont="1" applyFill="1" applyBorder="1" applyAlignment="1">
      <alignment horizontal="center" vertical="center" wrapText="1"/>
    </xf>
    <xf numFmtId="165" fontId="0" fillId="0" borderId="0" xfId="0" applyNumberFormat="1" applyFill="1" applyAlignment="1">
      <alignment vertical="center"/>
    </xf>
    <xf numFmtId="165" fontId="15" fillId="0" borderId="0" xfId="2" applyNumberFormat="1" applyFont="1" applyFill="1"/>
    <xf numFmtId="165" fontId="2" fillId="0" borderId="0" xfId="1" applyNumberFormat="1" applyFont="1" applyFill="1"/>
    <xf numFmtId="165" fontId="11" fillId="0" borderId="1" xfId="2" applyNumberFormat="1" applyFont="1" applyFill="1" applyBorder="1" applyAlignment="1">
      <alignment horizontal="center" vertical="center" wrapText="1"/>
    </xf>
    <xf numFmtId="165" fontId="13" fillId="0" borderId="0" xfId="2" applyNumberFormat="1" applyFont="1" applyFill="1" applyBorder="1" applyAlignment="1">
      <alignment horizontal="center" vertical="center" wrapText="1"/>
    </xf>
    <xf numFmtId="165" fontId="0" fillId="0" borderId="0" xfId="2" applyNumberFormat="1" applyFont="1" applyFill="1" applyAlignment="1">
      <alignment vertical="center"/>
    </xf>
    <xf numFmtId="0" fontId="0" fillId="0" borderId="0" xfId="0"/>
    <xf numFmtId="164" fontId="4" fillId="38" borderId="0" xfId="0" applyNumberFormat="1" applyFont="1" applyFill="1" applyAlignment="1">
      <alignment horizontal="center"/>
    </xf>
    <xf numFmtId="164" fontId="4" fillId="38" borderId="0" xfId="0" applyNumberFormat="1" applyFont="1" applyFill="1"/>
    <xf numFmtId="0" fontId="0" fillId="38" borderId="0" xfId="0" applyFill="1"/>
    <xf numFmtId="164" fontId="68" fillId="38" borderId="0" xfId="0" applyNumberFormat="1" applyFont="1" applyFill="1" applyAlignment="1">
      <alignment horizontal="center"/>
    </xf>
    <xf numFmtId="164" fontId="0" fillId="38" borderId="0" xfId="0" applyNumberFormat="1" applyFill="1"/>
    <xf numFmtId="164" fontId="0" fillId="38" borderId="0" xfId="1" applyNumberFormat="1" applyFont="1" applyFill="1"/>
    <xf numFmtId="43" fontId="0" fillId="0" borderId="0" xfId="1" applyFont="1"/>
    <xf numFmtId="0" fontId="4" fillId="0" borderId="0" xfId="0" applyFont="1" applyAlignment="1">
      <alignment horizontal="center"/>
    </xf>
    <xf numFmtId="164" fontId="0" fillId="39" borderId="0" xfId="0" applyNumberFormat="1" applyFont="1" applyFill="1"/>
    <xf numFmtId="0" fontId="0" fillId="39" borderId="0" xfId="0" applyFill="1"/>
    <xf numFmtId="164" fontId="4" fillId="39" borderId="0" xfId="0" applyNumberFormat="1" applyFont="1" applyFill="1"/>
    <xf numFmtId="164" fontId="0" fillId="39" borderId="0" xfId="0" applyNumberFormat="1" applyFill="1"/>
    <xf numFmtId="0" fontId="0" fillId="0" borderId="0" xfId="0" applyFont="1" applyBorder="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xf numFmtId="0" fontId="5" fillId="0" borderId="0" xfId="0" applyFont="1" applyFill="1" applyAlignment="1">
      <alignment vertical="center"/>
    </xf>
    <xf numFmtId="0" fontId="0" fillId="0" borderId="0" xfId="0" applyFill="1" applyAlignment="1">
      <alignment horizontal="center" vertical="center" wrapText="1"/>
    </xf>
    <xf numFmtId="0" fontId="0" fillId="0" borderId="0" xfId="0" applyFont="1" applyFill="1" applyBorder="1" applyAlignment="1">
      <alignment horizontal="center" vertical="center" wrapText="1"/>
    </xf>
    <xf numFmtId="165" fontId="4" fillId="0" borderId="0" xfId="2" applyNumberFormat="1"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164" fontId="0" fillId="0" borderId="0" xfId="1" applyNumberFormat="1" applyFont="1" applyFill="1" applyAlignment="1">
      <alignment vertical="center"/>
    </xf>
    <xf numFmtId="0" fontId="6" fillId="0" borderId="0" xfId="0" applyFont="1" applyFill="1" applyAlignment="1">
      <alignment horizontal="center" vertical="center"/>
    </xf>
    <xf numFmtId="0" fontId="4" fillId="0" borderId="1" xfId="0" applyFont="1" applyBorder="1" applyAlignment="1">
      <alignment horizontal="left" vertical="center" wrapText="1"/>
    </xf>
    <xf numFmtId="165" fontId="12" fillId="0" borderId="0" xfId="2" applyNumberFormat="1" applyFont="1" applyFill="1" applyAlignment="1">
      <alignment vertical="center"/>
    </xf>
    <xf numFmtId="165" fontId="0" fillId="0" borderId="1" xfId="0" applyNumberFormat="1" applyFont="1" applyFill="1" applyBorder="1" applyAlignment="1">
      <alignment horizontal="center" vertical="center" wrapText="1"/>
    </xf>
    <xf numFmtId="0" fontId="4" fillId="0" borderId="0" xfId="0" applyFont="1" applyFill="1"/>
    <xf numFmtId="0" fontId="0" fillId="0" borderId="0" xfId="0"/>
    <xf numFmtId="0" fontId="23" fillId="0" borderId="0" xfId="0" applyFont="1" applyFill="1" applyAlignment="1">
      <alignment horizontal="left"/>
    </xf>
    <xf numFmtId="0" fontId="3" fillId="0" borderId="0" xfId="60" applyFont="1"/>
    <xf numFmtId="0" fontId="23" fillId="0" borderId="0" xfId="0" applyFont="1" applyFill="1" applyAlignment="1">
      <alignment horizontal="left" indent="9"/>
    </xf>
    <xf numFmtId="0" fontId="4" fillId="0" borderId="0" xfId="0" applyFont="1"/>
    <xf numFmtId="0" fontId="0" fillId="0" borderId="0" xfId="0" quotePrefix="1" applyFont="1" applyAlignment="1">
      <alignment horizontal="left" indent="1"/>
    </xf>
    <xf numFmtId="0" fontId="0" fillId="0" borderId="0" xfId="0" applyFont="1" applyAlignment="1">
      <alignment horizontal="left" indent="3"/>
    </xf>
    <xf numFmtId="0" fontId="35" fillId="0" borderId="0" xfId="0" applyFont="1" applyAlignment="1">
      <alignment horizontal="left" indent="3"/>
    </xf>
    <xf numFmtId="0" fontId="0" fillId="0" borderId="0" xfId="0" applyAlignment="1">
      <alignment horizontal="left" indent="2"/>
    </xf>
    <xf numFmtId="0" fontId="61" fillId="0" borderId="30" xfId="0" applyFont="1" applyBorder="1" applyAlignment="1"/>
    <xf numFmtId="0" fontId="23" fillId="0" borderId="0" xfId="0" applyFont="1" applyBorder="1" applyAlignment="1"/>
    <xf numFmtId="0" fontId="61" fillId="0" borderId="0" xfId="0" applyFont="1" applyBorder="1" applyAlignment="1">
      <alignment horizontal="center" wrapText="1"/>
    </xf>
    <xf numFmtId="10" fontId="61" fillId="0" borderId="0" xfId="3" applyNumberFormat="1" applyFont="1" applyBorder="1" applyAlignment="1">
      <alignment horizontal="center" wrapText="1"/>
    </xf>
    <xf numFmtId="178" fontId="70" fillId="0" borderId="0" xfId="61" applyNumberFormat="1" applyFont="1" applyFill="1" applyBorder="1" applyAlignment="1"/>
    <xf numFmtId="0" fontId="23" fillId="0" borderId="30" xfId="0" applyFont="1" applyBorder="1" applyAlignment="1"/>
    <xf numFmtId="10" fontId="23" fillId="0" borderId="0" xfId="3" applyNumberFormat="1" applyFont="1" applyFill="1" applyBorder="1" applyAlignment="1"/>
    <xf numFmtId="0" fontId="61" fillId="0" borderId="0" xfId="0" applyFont="1" applyBorder="1" applyAlignment="1"/>
    <xf numFmtId="178" fontId="23" fillId="0" borderId="0" xfId="0" applyNumberFormat="1" applyFont="1" applyFill="1" applyBorder="1" applyAlignment="1"/>
    <xf numFmtId="178" fontId="61" fillId="0" borderId="0" xfId="0" applyNumberFormat="1" applyFont="1" applyFill="1" applyBorder="1" applyAlignment="1"/>
    <xf numFmtId="178" fontId="23" fillId="0" borderId="0" xfId="61" applyNumberFormat="1" applyFont="1" applyFill="1" applyBorder="1" applyAlignment="1"/>
    <xf numFmtId="5" fontId="70" fillId="36" borderId="0" xfId="0" applyNumberFormat="1" applyFont="1" applyFill="1" applyBorder="1" applyAlignment="1"/>
    <xf numFmtId="178" fontId="61" fillId="0" borderId="0" xfId="0" applyNumberFormat="1" applyFont="1" applyBorder="1" applyAlignment="1"/>
    <xf numFmtId="5" fontId="23" fillId="0" borderId="0" xfId="0" applyNumberFormat="1" applyFont="1" applyBorder="1" applyAlignment="1"/>
    <xf numFmtId="180" fontId="23" fillId="0" borderId="0" xfId="3" applyNumberFormat="1" applyFont="1" applyBorder="1" applyAlignment="1">
      <alignment horizontal="center"/>
    </xf>
    <xf numFmtId="165" fontId="23" fillId="0" borderId="0" xfId="2" applyNumberFormat="1" applyFont="1" applyBorder="1" applyAlignment="1"/>
    <xf numFmtId="165" fontId="72" fillId="0" borderId="0" xfId="2" applyNumberFormat="1" applyFont="1" applyBorder="1" applyAlignment="1"/>
    <xf numFmtId="0" fontId="0" fillId="0" borderId="0" xfId="0" applyAlignment="1">
      <alignment horizontal="left" indent="1"/>
    </xf>
    <xf numFmtId="0" fontId="4" fillId="0" borderId="1" xfId="0" applyFont="1" applyBorder="1" applyAlignment="1">
      <alignment horizontal="center"/>
    </xf>
    <xf numFmtId="0" fontId="4" fillId="0" borderId="1" xfId="0" applyFont="1" applyFill="1" applyBorder="1" applyAlignment="1">
      <alignment horizontal="center"/>
    </xf>
    <xf numFmtId="17" fontId="0" fillId="0" borderId="0" xfId="0" applyNumberFormat="1"/>
    <xf numFmtId="10" fontId="74" fillId="36" borderId="0" xfId="3" applyNumberFormat="1" applyFont="1" applyFill="1"/>
    <xf numFmtId="10" fontId="74" fillId="0" borderId="0" xfId="3" applyNumberFormat="1" applyFont="1" applyFill="1"/>
    <xf numFmtId="10" fontId="0" fillId="0" borderId="0" xfId="3" applyNumberFormat="1" applyFont="1"/>
    <xf numFmtId="10" fontId="0" fillId="0" borderId="0" xfId="0" applyNumberFormat="1"/>
    <xf numFmtId="180" fontId="0" fillId="0" borderId="0" xfId="0" applyNumberFormat="1"/>
    <xf numFmtId="180" fontId="0" fillId="0" borderId="31" xfId="0" applyNumberFormat="1" applyBorder="1"/>
    <xf numFmtId="180" fontId="0" fillId="0" borderId="31" xfId="3" applyNumberFormat="1" applyFont="1" applyBorder="1"/>
    <xf numFmtId="0" fontId="0" fillId="0" borderId="0" xfId="0" applyBorder="1"/>
    <xf numFmtId="0" fontId="0" fillId="0" borderId="0" xfId="0" applyFill="1" applyBorder="1"/>
    <xf numFmtId="10" fontId="0" fillId="0" borderId="0" xfId="0" applyNumberForma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applyBorder="1" applyAlignment="1">
      <alignment vertical="center" wrapText="1"/>
    </xf>
    <xf numFmtId="10" fontId="0" fillId="0" borderId="0" xfId="0" applyNumberFormat="1" applyFill="1" applyBorder="1" applyAlignment="1">
      <alignment vertical="center" wrapText="1"/>
    </xf>
    <xf numFmtId="0" fontId="42" fillId="0" borderId="0" xfId="47" applyNumberFormat="1" applyFont="1" applyFill="1" applyAlignment="1" applyProtection="1">
      <alignment horizontal="left" wrapText="1"/>
      <protection locked="0"/>
    </xf>
    <xf numFmtId="0" fontId="42" fillId="0" borderId="0" xfId="47" applyNumberFormat="1" applyFont="1" applyFill="1" applyAlignment="1" applyProtection="1">
      <alignment horizontal="left" vertical="top" wrapText="1"/>
      <protection locked="0"/>
    </xf>
    <xf numFmtId="167" fontId="42" fillId="0" borderId="0" xfId="47" applyFont="1" applyFill="1" applyAlignment="1" applyProtection="1">
      <alignment horizontal="left"/>
      <protection locked="0"/>
    </xf>
    <xf numFmtId="0" fontId="42" fillId="0" borderId="0" xfId="47" applyNumberFormat="1" applyFont="1" applyFill="1" applyAlignment="1" applyProtection="1">
      <alignment horizontal="left" vertical="center"/>
      <protection locked="0"/>
    </xf>
    <xf numFmtId="167" fontId="42" fillId="0" borderId="0" xfId="47" applyFont="1" applyFill="1" applyAlignment="1" applyProtection="1">
      <alignment horizontal="left" vertical="top" wrapText="1"/>
      <protection locked="0"/>
    </xf>
    <xf numFmtId="0" fontId="42" fillId="0" borderId="0" xfId="47" applyNumberFormat="1" applyFont="1" applyFill="1" applyAlignment="1" applyProtection="1">
      <alignment horizontal="left" vertical="center" wrapText="1"/>
      <protection locked="0"/>
    </xf>
    <xf numFmtId="0" fontId="42" fillId="0" borderId="0" xfId="47" applyNumberFormat="1" applyFont="1" applyFill="1" applyAlignment="1" applyProtection="1">
      <alignment vertical="top" wrapText="1"/>
      <protection locked="0"/>
    </xf>
    <xf numFmtId="0" fontId="42" fillId="0" borderId="0" xfId="47" applyNumberFormat="1" applyFont="1" applyFill="1" applyAlignment="1" applyProtection="1">
      <alignment horizontal="right"/>
      <protection locked="0"/>
    </xf>
    <xf numFmtId="0" fontId="42" fillId="0" borderId="0" xfId="47" applyNumberFormat="1" applyFont="1" applyAlignment="1" applyProtection="1">
      <protection locked="0"/>
    </xf>
    <xf numFmtId="0" fontId="42" fillId="0" borderId="0" xfId="47" applyNumberFormat="1" applyFont="1" applyAlignment="1" applyProtection="1">
      <alignment horizontal="right"/>
    </xf>
    <xf numFmtId="0" fontId="42" fillId="36" borderId="0" xfId="47" applyNumberFormat="1" applyFont="1" applyFill="1" applyAlignment="1" applyProtection="1">
      <alignment horizontal="right"/>
    </xf>
    <xf numFmtId="0" fontId="41" fillId="0" borderId="0" xfId="47" applyNumberFormat="1" applyFill="1" applyBorder="1" applyAlignment="1" applyProtection="1">
      <alignment horizontal="center"/>
      <protection locked="0"/>
    </xf>
    <xf numFmtId="0" fontId="41" fillId="0" borderId="0" xfId="47" applyNumberFormat="1" applyFont="1" applyFill="1" applyBorder="1" applyAlignment="1" applyProtection="1">
      <alignment horizontal="center"/>
      <protection locked="0"/>
    </xf>
    <xf numFmtId="0" fontId="42" fillId="0" borderId="0" xfId="47" applyNumberFormat="1" applyFont="1" applyAlignment="1" applyProtection="1">
      <alignment horizontal="right"/>
      <protection locked="0"/>
    </xf>
    <xf numFmtId="0" fontId="5" fillId="0" borderId="0" xfId="0" applyFont="1" applyAlignment="1">
      <alignment horizontal="center" vertical="center"/>
    </xf>
    <xf numFmtId="167" fontId="41" fillId="0" borderId="0" xfId="47" applyFont="1" applyFill="1" applyBorder="1" applyAlignment="1">
      <alignment horizontal="left"/>
    </xf>
    <xf numFmtId="167" fontId="41" fillId="0" borderId="0" xfId="47" applyFont="1" applyFill="1" applyBorder="1" applyAlignment="1">
      <alignment horizontal="left" vertical="top" wrapText="1"/>
    </xf>
    <xf numFmtId="167" fontId="41" fillId="0" borderId="0" xfId="47" applyFont="1" applyFill="1" applyBorder="1" applyAlignment="1">
      <alignment horizontal="left" wrapText="1"/>
    </xf>
    <xf numFmtId="0" fontId="23" fillId="0" borderId="30" xfId="0" applyFont="1" applyBorder="1" applyAlignment="1">
      <alignment horizontal="left" wrapText="1"/>
    </xf>
    <xf numFmtId="0" fontId="23" fillId="0" borderId="0" xfId="0" applyFont="1" applyBorder="1" applyAlignment="1">
      <alignment horizontal="left" wrapText="1"/>
    </xf>
    <xf numFmtId="0" fontId="5" fillId="0" borderId="1" xfId="0" applyFont="1" applyBorder="1" applyAlignment="1">
      <alignment horizontal="center"/>
    </xf>
    <xf numFmtId="0" fontId="4" fillId="0" borderId="0" xfId="0" applyFont="1" applyFill="1" applyBorder="1" applyAlignment="1">
      <alignment horizontal="left" vertical="center" wrapText="1"/>
    </xf>
    <xf numFmtId="0" fontId="0" fillId="40" borderId="0" xfId="0" applyFill="1" applyBorder="1"/>
    <xf numFmtId="0" fontId="62" fillId="0" borderId="0" xfId="0" applyFont="1" applyAlignment="1">
      <alignment vertical="top" wrapText="1"/>
    </xf>
    <xf numFmtId="0" fontId="0" fillId="0" borderId="0" xfId="0" applyAlignment="1">
      <alignment vertical="top" wrapText="1"/>
    </xf>
    <xf numFmtId="0" fontId="0" fillId="0" borderId="0" xfId="0"/>
  </cellXfs>
  <cellStyles count="62">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48"/>
    <cellStyle name="Comma 2 10" xfId="57"/>
    <cellStyle name="Comma 2 2" xfId="51"/>
    <cellStyle name="Comma 3" xfId="55"/>
    <cellStyle name="Currency" xfId="2" builtinId="4"/>
    <cellStyle name="Currency 10" xfId="61"/>
    <cellStyle name="Currency 2" xfId="49"/>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47"/>
    <cellStyle name="Normal 2 2 2" xfId="58"/>
    <cellStyle name="Normal 29 2" xfId="60"/>
    <cellStyle name="Normal 3" xfId="53"/>
    <cellStyle name="Normal 304 3" xfId="59"/>
    <cellStyle name="Normal_Debt Service" xfId="4"/>
    <cellStyle name="Normal_Schedule O Info for Mike 2" xfId="56"/>
    <cellStyle name="Note" xfId="18" builtinId="10" customBuiltin="1"/>
    <cellStyle name="Output" xfId="13" builtinId="21" customBuiltin="1"/>
    <cellStyle name="Percent" xfId="3" builtinId="5"/>
    <cellStyle name="Percent 2" xfId="50"/>
    <cellStyle name="Percent 2 2" xfId="52"/>
    <cellStyle name="Percent 3" xfId="54"/>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29</xdr:row>
      <xdr:rowOff>123825</xdr:rowOff>
    </xdr:from>
    <xdr:to>
      <xdr:col>18</xdr:col>
      <xdr:colOff>370505</xdr:colOff>
      <xdr:row>48</xdr:row>
      <xdr:rowOff>113845</xdr:rowOff>
    </xdr:to>
    <xdr:pic>
      <xdr:nvPicPr>
        <xdr:cNvPr id="2" name="Picture 1">
          <a:extLst>
            <a:ext uri="{FF2B5EF4-FFF2-40B4-BE49-F238E27FC236}">
              <a16:creationId xmlns:a16="http://schemas.microsoft.com/office/drawing/2014/main" id="{0161D0E8-3408-4853-943F-9D5884566388}"/>
            </a:ext>
          </a:extLst>
        </xdr:cNvPr>
        <xdr:cNvPicPr>
          <a:picLocks noChangeAspect="1"/>
        </xdr:cNvPicPr>
      </xdr:nvPicPr>
      <xdr:blipFill>
        <a:blip xmlns:r="http://schemas.openxmlformats.org/officeDocument/2006/relationships" r:embed="rId1"/>
        <a:stretch>
          <a:fillRect/>
        </a:stretch>
      </xdr:blipFill>
      <xdr:spPr>
        <a:xfrm>
          <a:off x="6419850" y="5848350"/>
          <a:ext cx="7761905" cy="36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bcs01/Local%20Settings/Temporary%20Internet%20Files/OLK1632/FINANC/AFUDC/AFUDC%202002/AFUDC2002%20Forecast%20All%20Cos%20Act.%20thru%20M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lindah/Desktop/2016%20True%20Up/Final%20Documents/Final/9_28_17%20Updates/2016_AttO_Actual_1082_Final%2010_3_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jhaselhorst/Local%20Settings/Temporary%20Internet%20Files/Content.Outlook/PMJ55KM5/tariffs/2000/formula%20rates/NSP%20xcelcoss%20m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lindah/Desktop/2016%20True%20Up/Final%20Documents/Final/9_28_17%20Updates/2016_AttO_Actual_TUallocation_Final%2010_3_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lindah/AppData/Local/Microsoft/Windows/Temporary%20Internet%20Files/Content.Outlook/HO2YX9LR/2016_AttO_Actual_1082_P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Allocators"/>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2016ActualNonlevelized-IOU10.82"/>
      <sheetName val="Revenues"/>
      <sheetName val="2016 CMMPA Attach MM ER12-427"/>
      <sheetName val="Interest Rates"/>
      <sheetName val="AccountingItems"/>
      <sheetName val="Plant"/>
      <sheetName val="2016 CMMPA AFUDC Workpaper "/>
      <sheetName val="Divisor"/>
      <sheetName val="CWIP"/>
      <sheetName val="Adj to Rate Base"/>
      <sheetName val="Abandoned Plant"/>
      <sheetName val="Land Held for Future Use"/>
      <sheetName val="Materials and Prepayments"/>
      <sheetName val="Capital Structure"/>
      <sheetName val="PY Ending"/>
      <sheetName val="Trans_OM"/>
      <sheetName val="A&amp;G"/>
      <sheetName val="Other_Exp_Inc"/>
      <sheetName val="Regulatory Asset"/>
    </sheetNames>
    <sheetDataSet>
      <sheetData sheetId="0">
        <row r="4">
          <cell r="E4">
            <v>2016</v>
          </cell>
        </row>
        <row r="5">
          <cell r="D5" t="str">
            <v>Actual 12 Months Ended December 31, 2016</v>
          </cell>
        </row>
        <row r="15">
          <cell r="A15" t="str">
            <v>Actual</v>
          </cell>
        </row>
        <row r="16">
          <cell r="A16" t="str">
            <v>Forecasted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TU"/>
      <sheetName val="2016 GG TU Weighted ROE"/>
      <sheetName val="2016 MM TU Weighted ROE"/>
      <sheetName val="Interest Rates"/>
      <sheetName val="List of ROE by TO"/>
    </sheetNames>
    <sheetDataSet>
      <sheetData sheetId="0">
        <row r="1">
          <cell r="A1" t="str">
            <v>CMMPA</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2016ActualNonlevelized-IOU10.82"/>
      <sheetName val="Revenues"/>
      <sheetName val="2016 CMMPA Attach MM ER12-427"/>
      <sheetName val="WP True Up Interest"/>
      <sheetName val="Notice of Accounting Change"/>
      <sheetName val="Plant"/>
      <sheetName val="2016 CMMPA AFUDC Workpaper "/>
      <sheetName val="Divisor"/>
      <sheetName val="CWIP"/>
      <sheetName val="Adj to Rate Base"/>
      <sheetName val="Abandoned Plant"/>
      <sheetName val="Land Held for Future Use"/>
      <sheetName val="Materials and Prepayments"/>
      <sheetName val="Capital Structure"/>
      <sheetName val="PY Ending"/>
      <sheetName val="Trans_OM"/>
      <sheetName val="A&amp;G"/>
      <sheetName val="Other_Exp_Inc"/>
      <sheetName val="Regulatory Asset"/>
      <sheetName val="AccountingItems"/>
    </sheetNames>
    <sheetDataSet>
      <sheetData sheetId="0">
        <row r="3">
          <cell r="D3" t="str">
            <v>Central Minnesota Municipal PowerAgency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l@cmpasgro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6"/>
  <sheetViews>
    <sheetView showGridLines="0" tabSelected="1" view="pageLayout" zoomScaleNormal="70" workbookViewId="0">
      <selection activeCell="E4" sqref="E4"/>
    </sheetView>
  </sheetViews>
  <sheetFormatPr defaultRowHeight="15"/>
  <cols>
    <col min="3" max="3" width="10.42578125" bestFit="1" customWidth="1"/>
    <col min="4" max="4" width="52.42578125" customWidth="1"/>
  </cols>
  <sheetData>
    <row r="3" spans="1:5" ht="18.75">
      <c r="D3" s="1" t="s">
        <v>185</v>
      </c>
      <c r="E3" s="2"/>
    </row>
    <row r="4" spans="1:5" ht="18.75">
      <c r="A4" s="99"/>
      <c r="D4" s="1" t="s">
        <v>4</v>
      </c>
      <c r="E4" s="117">
        <v>2016</v>
      </c>
    </row>
    <row r="5" spans="1:5" ht="18.75">
      <c r="D5" s="1" t="str">
        <f>$C$10 &amp; " " &amp; "12 Months Ended December 31, " &amp; CurrentYear</f>
        <v>Actual 12 Months Ended December 31, 2016</v>
      </c>
    </row>
    <row r="10" spans="1:5">
      <c r="A10" s="102" t="s">
        <v>205</v>
      </c>
      <c r="B10" s="103"/>
      <c r="C10" s="112" t="s">
        <v>204</v>
      </c>
      <c r="D10" s="104"/>
    </row>
    <row r="11" spans="1:5">
      <c r="A11" s="105" t="s">
        <v>201</v>
      </c>
      <c r="B11" s="106"/>
      <c r="C11" s="113" t="s">
        <v>813</v>
      </c>
      <c r="D11" s="107"/>
    </row>
    <row r="12" spans="1:5">
      <c r="A12" s="105" t="s">
        <v>202</v>
      </c>
      <c r="B12" s="106"/>
      <c r="C12" s="115" t="s">
        <v>814</v>
      </c>
      <c r="D12" s="107"/>
    </row>
    <row r="13" spans="1:5">
      <c r="A13" s="108" t="s">
        <v>200</v>
      </c>
      <c r="B13" s="109"/>
      <c r="C13" s="114">
        <v>43006</v>
      </c>
      <c r="D13" s="110"/>
    </row>
    <row r="15" spans="1:5">
      <c r="A15" s="116" t="s">
        <v>204</v>
      </c>
    </row>
    <row r="16" spans="1:5">
      <c r="A16" t="s">
        <v>203</v>
      </c>
    </row>
  </sheetData>
  <sheetProtection sheet="1" objects="1" scenarios="1" selectLockedCells="1"/>
  <dataValidations disablePrompts="1" count="1">
    <dataValidation type="list" allowBlank="1" showInputMessage="1" showErrorMessage="1" sqref="C10">
      <formula1>ComboList</formula1>
    </dataValidation>
  </dataValidations>
  <hyperlinks>
    <hyperlink ref="C12" r:id="rId1" display="paull@cmpasgroup.org"/>
  </hyperlinks>
  <pageMargins left="0.7" right="0.7" top="0.75" bottom="0.75" header="0.3" footer="0.3"/>
  <pageSetup orientation="portrait" horizontalDpi="300" verticalDpi="300" r:id="rId2"/>
  <headerFooter>
    <oddHeader>&amp;L&amp;"-,Bold"&amp;12Central Minnesota Municipal Power Agency
2016 Attachment O Workpapers&amp;R&amp;"-,Bold"&amp;12Exhibit CMM-11
Page 1 of 13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P29"/>
  <sheetViews>
    <sheetView showGridLines="0" zoomScaleNormal="100" zoomScalePageLayoutView="50" workbookViewId="0"/>
  </sheetViews>
  <sheetFormatPr defaultRowHeight="15"/>
  <cols>
    <col min="1" max="2" width="9.140625" style="4"/>
    <col min="3" max="4" width="1.28515625" style="4" customWidth="1"/>
    <col min="5" max="5" width="9.140625" style="4"/>
    <col min="6" max="6" width="27.85546875" style="4" customWidth="1"/>
    <col min="7" max="7" width="8" style="4" customWidth="1"/>
    <col min="8" max="11" width="19.85546875" style="4" customWidth="1"/>
    <col min="12" max="13" width="1.42578125" style="4" customWidth="1"/>
    <col min="14" max="15" width="9.140625" style="4"/>
    <col min="16" max="16" width="12" style="4" bestFit="1" customWidth="1"/>
    <col min="17" max="16384" width="9.140625" style="4"/>
  </cols>
  <sheetData>
    <row r="3" spans="5:16" ht="3.75" customHeight="1"/>
    <row r="4" spans="5:16" ht="3.75" customHeight="1"/>
    <row r="5" spans="5:16" ht="15.75">
      <c r="E5" s="3" t="str">
        <f>Coversheet!D3</f>
        <v>Central Minnesota Municipal PowerAgency</v>
      </c>
      <c r="F5" s="3"/>
      <c r="G5" s="3"/>
      <c r="H5" s="3"/>
      <c r="I5" s="3"/>
      <c r="J5" s="3"/>
      <c r="K5" s="3"/>
    </row>
    <row r="6" spans="5:16" ht="15.75">
      <c r="E6" s="3" t="s">
        <v>30</v>
      </c>
      <c r="G6" s="3"/>
      <c r="H6" s="3"/>
      <c r="I6" s="3"/>
      <c r="J6" s="3"/>
      <c r="K6" s="3"/>
    </row>
    <row r="7" spans="5:16" ht="15.75">
      <c r="E7" s="3" t="str">
        <f>SubmissionType</f>
        <v>Actual 12 Months Ended December 31, 2016</v>
      </c>
      <c r="F7" s="3"/>
      <c r="G7" s="3"/>
      <c r="H7" s="6"/>
      <c r="K7" s="3"/>
    </row>
    <row r="8" spans="5:16" ht="15.75">
      <c r="E8" s="3"/>
      <c r="F8" s="3"/>
      <c r="G8" s="3"/>
      <c r="H8" s="6"/>
      <c r="K8" s="3"/>
    </row>
    <row r="9" spans="5:16" s="8" customFormat="1" ht="30" customHeight="1">
      <c r="E9" s="7" t="s">
        <v>0</v>
      </c>
      <c r="F9" s="7" t="s">
        <v>1</v>
      </c>
      <c r="G9" s="7" t="s">
        <v>2</v>
      </c>
      <c r="H9" s="7" t="s">
        <v>187</v>
      </c>
      <c r="I9" s="7" t="s">
        <v>188</v>
      </c>
      <c r="J9" s="7"/>
      <c r="K9" s="7" t="s">
        <v>35</v>
      </c>
    </row>
    <row r="10" spans="5:16" s="8" customFormat="1">
      <c r="E10" s="9">
        <v>1</v>
      </c>
      <c r="F10" s="552" t="s">
        <v>17</v>
      </c>
      <c r="G10" s="9">
        <f>CurrentYear-1</f>
        <v>2015</v>
      </c>
      <c r="H10" s="10">
        <v>0</v>
      </c>
      <c r="I10" s="10">
        <v>0</v>
      </c>
      <c r="J10" s="10">
        <v>0</v>
      </c>
      <c r="K10" s="11">
        <f>SUM(H10:J10)</f>
        <v>0</v>
      </c>
      <c r="P10" s="31"/>
    </row>
    <row r="11" spans="5:16">
      <c r="E11" s="12">
        <v>2</v>
      </c>
      <c r="F11" s="553" t="s">
        <v>6</v>
      </c>
      <c r="G11" s="12">
        <f t="shared" ref="G11:G22" si="0">CurrentYear</f>
        <v>2016</v>
      </c>
      <c r="H11" s="10">
        <v>0</v>
      </c>
      <c r="I11" s="10">
        <v>0</v>
      </c>
      <c r="J11" s="10">
        <v>0</v>
      </c>
      <c r="K11" s="11">
        <f t="shared" ref="K11:K22" si="1">SUM(H11:J11)</f>
        <v>0</v>
      </c>
    </row>
    <row r="12" spans="5:16" ht="15.75">
      <c r="E12" s="12">
        <v>3</v>
      </c>
      <c r="F12" s="554" t="s">
        <v>7</v>
      </c>
      <c r="G12" s="12">
        <f t="shared" si="0"/>
        <v>2016</v>
      </c>
      <c r="H12" s="10">
        <v>0</v>
      </c>
      <c r="I12" s="10">
        <v>0</v>
      </c>
      <c r="J12" s="10">
        <v>0</v>
      </c>
      <c r="K12" s="11">
        <f t="shared" si="1"/>
        <v>0</v>
      </c>
    </row>
    <row r="13" spans="5:16" ht="15.75">
      <c r="E13" s="12">
        <v>4</v>
      </c>
      <c r="F13" s="554" t="s">
        <v>8</v>
      </c>
      <c r="G13" s="12">
        <f t="shared" si="0"/>
        <v>2016</v>
      </c>
      <c r="H13" s="10">
        <v>0</v>
      </c>
      <c r="I13" s="10">
        <v>0</v>
      </c>
      <c r="J13" s="10">
        <v>0</v>
      </c>
      <c r="K13" s="11">
        <f t="shared" si="1"/>
        <v>0</v>
      </c>
    </row>
    <row r="14" spans="5:16" ht="15.75">
      <c r="E14" s="12">
        <v>5</v>
      </c>
      <c r="F14" s="554" t="s">
        <v>9</v>
      </c>
      <c r="G14" s="12">
        <f t="shared" si="0"/>
        <v>2016</v>
      </c>
      <c r="H14" s="10">
        <v>0</v>
      </c>
      <c r="I14" s="10">
        <v>0</v>
      </c>
      <c r="J14" s="10">
        <v>0</v>
      </c>
      <c r="K14" s="11">
        <f t="shared" si="1"/>
        <v>0</v>
      </c>
    </row>
    <row r="15" spans="5:16" ht="15.75">
      <c r="E15" s="12">
        <v>6</v>
      </c>
      <c r="F15" s="554" t="s">
        <v>10</v>
      </c>
      <c r="G15" s="12">
        <f t="shared" si="0"/>
        <v>2016</v>
      </c>
      <c r="H15" s="10">
        <v>0</v>
      </c>
      <c r="I15" s="10">
        <v>0</v>
      </c>
      <c r="J15" s="10">
        <v>0</v>
      </c>
      <c r="K15" s="11">
        <f t="shared" si="1"/>
        <v>0</v>
      </c>
    </row>
    <row r="16" spans="5:16" ht="15.75">
      <c r="E16" s="12">
        <v>7</v>
      </c>
      <c r="F16" s="554" t="s">
        <v>11</v>
      </c>
      <c r="G16" s="12">
        <f t="shared" si="0"/>
        <v>2016</v>
      </c>
      <c r="H16" s="10">
        <v>0</v>
      </c>
      <c r="I16" s="10">
        <v>0</v>
      </c>
      <c r="J16" s="10">
        <v>0</v>
      </c>
      <c r="K16" s="11">
        <f t="shared" si="1"/>
        <v>0</v>
      </c>
    </row>
    <row r="17" spans="5:11" ht="15.75">
      <c r="E17" s="12">
        <v>8</v>
      </c>
      <c r="F17" s="554" t="s">
        <v>12</v>
      </c>
      <c r="G17" s="12">
        <f t="shared" si="0"/>
        <v>2016</v>
      </c>
      <c r="H17" s="10">
        <v>92823.07</v>
      </c>
      <c r="I17" s="10">
        <v>0</v>
      </c>
      <c r="J17" s="10">
        <v>0</v>
      </c>
      <c r="K17" s="11">
        <f>SUM(H17:J17)</f>
        <v>92823.07</v>
      </c>
    </row>
    <row r="18" spans="5:11" ht="15.75">
      <c r="E18" s="12">
        <v>9</v>
      </c>
      <c r="F18" s="554" t="s">
        <v>13</v>
      </c>
      <c r="G18" s="12">
        <f t="shared" si="0"/>
        <v>2016</v>
      </c>
      <c r="H18" s="10">
        <v>92823.07</v>
      </c>
      <c r="I18" s="10">
        <v>0</v>
      </c>
      <c r="J18" s="10">
        <v>0</v>
      </c>
      <c r="K18" s="11">
        <f>SUM(H18:J18)</f>
        <v>92823.07</v>
      </c>
    </row>
    <row r="19" spans="5:11" ht="15.75">
      <c r="E19" s="12">
        <v>10</v>
      </c>
      <c r="F19" s="554" t="s">
        <v>14</v>
      </c>
      <c r="G19" s="12">
        <f t="shared" si="0"/>
        <v>2016</v>
      </c>
      <c r="H19" s="10">
        <v>92823.07</v>
      </c>
      <c r="I19" s="10">
        <v>0</v>
      </c>
      <c r="J19" s="10">
        <v>0</v>
      </c>
      <c r="K19" s="11">
        <f t="shared" si="1"/>
        <v>92823.07</v>
      </c>
    </row>
    <row r="20" spans="5:11" ht="15.75">
      <c r="E20" s="12">
        <v>11</v>
      </c>
      <c r="F20" s="554" t="s">
        <v>15</v>
      </c>
      <c r="G20" s="12">
        <f t="shared" si="0"/>
        <v>2016</v>
      </c>
      <c r="H20" s="10">
        <v>35482.470000000008</v>
      </c>
      <c r="I20" s="10">
        <v>0</v>
      </c>
      <c r="J20" s="10">
        <v>0</v>
      </c>
      <c r="K20" s="11">
        <f t="shared" si="1"/>
        <v>35482.470000000008</v>
      </c>
    </row>
    <row r="21" spans="5:11" ht="15.75">
      <c r="E21" s="12">
        <v>12</v>
      </c>
      <c r="F21" s="554" t="s">
        <v>16</v>
      </c>
      <c r="G21" s="12">
        <f t="shared" si="0"/>
        <v>2016</v>
      </c>
      <c r="H21" s="10">
        <v>35482.470000000008</v>
      </c>
      <c r="I21" s="10">
        <v>0</v>
      </c>
      <c r="J21" s="10">
        <v>0</v>
      </c>
      <c r="K21" s="11">
        <f t="shared" si="1"/>
        <v>35482.470000000008</v>
      </c>
    </row>
    <row r="22" spans="5:11" ht="17.25">
      <c r="E22" s="12">
        <v>13</v>
      </c>
      <c r="F22" s="554" t="s">
        <v>17</v>
      </c>
      <c r="G22" s="12">
        <f t="shared" si="0"/>
        <v>2016</v>
      </c>
      <c r="H22" s="13">
        <v>-17705.349999999991</v>
      </c>
      <c r="I22" s="13">
        <v>0</v>
      </c>
      <c r="J22" s="87">
        <v>0</v>
      </c>
      <c r="K22" s="14">
        <f t="shared" si="1"/>
        <v>-17705.349999999991</v>
      </c>
    </row>
    <row r="23" spans="5:11">
      <c r="E23" s="12">
        <v>14</v>
      </c>
    </row>
    <row r="24" spans="5:11" ht="17.25">
      <c r="E24" s="12">
        <v>15</v>
      </c>
      <c r="F24" s="5" t="s">
        <v>23</v>
      </c>
      <c r="G24" s="15"/>
      <c r="H24" s="27">
        <f>SUM(H10:H22)/13</f>
        <v>25517.600000000009</v>
      </c>
      <c r="I24" s="27">
        <f t="shared" ref="I24:J24" si="2">SUM(I10:I22)/13</f>
        <v>0</v>
      </c>
      <c r="J24" s="27">
        <f t="shared" si="2"/>
        <v>0</v>
      </c>
      <c r="K24" s="64">
        <f>SUM(K10:K22)/13</f>
        <v>25517.600000000009</v>
      </c>
    </row>
    <row r="25" spans="5:11">
      <c r="F25" s="86" t="s">
        <v>167</v>
      </c>
      <c r="G25" s="86"/>
      <c r="K25" s="86" t="s">
        <v>178</v>
      </c>
    </row>
    <row r="28" spans="5:11" ht="7.5" customHeight="1"/>
    <row r="29" spans="5:11" ht="7.5" customHeight="1"/>
  </sheetData>
  <pageMargins left="0.7" right="0.7" top="0.75" bottom="0.75" header="0.3" footer="0.3"/>
  <pageSetup scale="96" orientation="landscape" r:id="rId1"/>
  <headerFooter>
    <oddHeader>&amp;L&amp;"-,Bold"&amp;12Central Minnesota Municipal Power Agency
2014 Attachment O Workpapers&amp;R&amp;"-,Bold"&amp;12Exhibit  CMMPA-11
Page 4 of 13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showGridLines="0" zoomScaleNormal="100" workbookViewId="0"/>
  </sheetViews>
  <sheetFormatPr defaultRowHeight="15"/>
  <cols>
    <col min="1" max="2" width="9.140625" style="4"/>
    <col min="3" max="4" width="1.85546875" style="4" customWidth="1"/>
    <col min="5" max="5" width="9.140625" style="4"/>
    <col min="6" max="6" width="34.5703125" style="4" customWidth="1"/>
    <col min="7" max="7" width="19.5703125" style="4" customWidth="1"/>
    <col min="8" max="9" width="1.140625" style="4" customWidth="1"/>
    <col min="10" max="16384" width="9.140625" style="4"/>
  </cols>
  <sheetData>
    <row r="3" spans="5:8" ht="6" customHeight="1"/>
    <row r="4" spans="5:8" ht="6" customHeight="1"/>
    <row r="5" spans="5:8" ht="15.75">
      <c r="E5" s="3" t="str">
        <f>Coversheet!D3</f>
        <v>Central Minnesota Municipal PowerAgency</v>
      </c>
      <c r="F5" s="3"/>
      <c r="G5" s="3"/>
      <c r="H5" s="3"/>
    </row>
    <row r="6" spans="5:8" ht="15.75">
      <c r="E6" s="3" t="s">
        <v>38</v>
      </c>
      <c r="G6" s="3"/>
      <c r="H6" s="3"/>
    </row>
    <row r="7" spans="5:8" ht="15.75">
      <c r="E7" s="3" t="str">
        <f>SubmissionType</f>
        <v>Actual 12 Months Ended December 31, 2016</v>
      </c>
      <c r="F7" s="3"/>
      <c r="G7" s="6"/>
      <c r="H7" s="6"/>
    </row>
    <row r="10" spans="5:8" ht="18.75" customHeight="1">
      <c r="F10" s="23" t="s">
        <v>39</v>
      </c>
    </row>
    <row r="11" spans="5:8">
      <c r="F11" s="22" t="s">
        <v>40</v>
      </c>
      <c r="G11" s="18">
        <v>0</v>
      </c>
    </row>
    <row r="12" spans="5:8">
      <c r="F12" s="22" t="s">
        <v>41</v>
      </c>
      <c r="G12" s="18">
        <v>0</v>
      </c>
    </row>
    <row r="13" spans="5:8">
      <c r="F13" s="22" t="s">
        <v>42</v>
      </c>
      <c r="G13" s="18">
        <v>0</v>
      </c>
    </row>
    <row r="14" spans="5:8">
      <c r="F14" s="22" t="s">
        <v>36</v>
      </c>
      <c r="G14" s="18">
        <v>0</v>
      </c>
    </row>
    <row r="15" spans="5:8">
      <c r="F15" s="22" t="s">
        <v>43</v>
      </c>
      <c r="G15" s="19">
        <v>0</v>
      </c>
    </row>
    <row r="16" spans="5:8">
      <c r="G16" s="18"/>
    </row>
    <row r="17" spans="6:7">
      <c r="F17" s="22" t="s">
        <v>37</v>
      </c>
      <c r="G17" s="18">
        <f>SUM(G11:G15)</f>
        <v>0</v>
      </c>
    </row>
    <row r="18" spans="6:7" ht="5.25" customHeight="1"/>
    <row r="19" spans="6:7" ht="5.25"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5 of 13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K27"/>
  <sheetViews>
    <sheetView showGridLines="0" zoomScaleNormal="100" zoomScalePageLayoutView="70" workbookViewId="0"/>
  </sheetViews>
  <sheetFormatPr defaultRowHeight="15"/>
  <cols>
    <col min="1" max="2" width="9.140625" style="4"/>
    <col min="3" max="4" width="2" style="4" customWidth="1"/>
    <col min="5" max="5" width="9.140625" style="4"/>
    <col min="6" max="6" width="27.85546875" style="4" customWidth="1"/>
    <col min="7" max="7" width="8" style="4" customWidth="1"/>
    <col min="8" max="11" width="19.85546875" style="4" customWidth="1"/>
    <col min="12" max="13" width="1.5703125" style="4" customWidth="1"/>
    <col min="14" max="16384" width="9.140625" style="4"/>
  </cols>
  <sheetData>
    <row r="4" spans="5:11" ht="4.5" customHeight="1"/>
    <row r="5" spans="5:11" ht="4.5" customHeight="1"/>
    <row r="6" spans="5:11" ht="15.75">
      <c r="E6" s="3" t="str">
        <f>Coversheet!D3</f>
        <v>Central Minnesota Municipal PowerAgency</v>
      </c>
      <c r="F6" s="3"/>
      <c r="G6" s="3"/>
      <c r="H6" s="3"/>
      <c r="I6" s="3"/>
      <c r="J6" s="3"/>
      <c r="K6" s="3"/>
    </row>
    <row r="7" spans="5:11" ht="15.75">
      <c r="E7" s="3" t="s">
        <v>45</v>
      </c>
      <c r="G7" s="3"/>
      <c r="H7" s="3"/>
      <c r="I7" s="3"/>
      <c r="J7" s="3"/>
      <c r="K7" s="3"/>
    </row>
    <row r="8" spans="5:11" ht="15.75">
      <c r="E8" s="3" t="str">
        <f>SubmissionType</f>
        <v>Actual 12 Months Ended December 31, 2016</v>
      </c>
      <c r="F8" s="3"/>
      <c r="G8" s="3"/>
      <c r="H8" s="6"/>
      <c r="K8" s="3"/>
    </row>
    <row r="9" spans="5:11" ht="15.75">
      <c r="E9" s="3"/>
      <c r="F9" s="3"/>
      <c r="G9" s="3"/>
      <c r="H9" s="6"/>
      <c r="K9" s="3"/>
    </row>
    <row r="10" spans="5:11" s="8" customFormat="1" ht="35.25" customHeight="1">
      <c r="E10" s="7" t="s">
        <v>0</v>
      </c>
      <c r="F10" s="7" t="s">
        <v>1</v>
      </c>
      <c r="G10" s="7" t="s">
        <v>2</v>
      </c>
      <c r="H10" s="7" t="s">
        <v>32</v>
      </c>
      <c r="I10" s="7" t="s">
        <v>33</v>
      </c>
      <c r="J10" s="7" t="s">
        <v>34</v>
      </c>
      <c r="K10" s="7" t="s">
        <v>44</v>
      </c>
    </row>
    <row r="11" spans="5:11" s="8" customFormat="1">
      <c r="E11" s="9">
        <v>1</v>
      </c>
      <c r="F11" s="552" t="s">
        <v>17</v>
      </c>
      <c r="G11" s="9">
        <f>CurrentYear-1</f>
        <v>2015</v>
      </c>
      <c r="H11" s="10">
        <v>0</v>
      </c>
      <c r="I11" s="10">
        <v>0</v>
      </c>
      <c r="J11" s="10">
        <v>0</v>
      </c>
      <c r="K11" s="11">
        <f>SUM(H11:J11)</f>
        <v>0</v>
      </c>
    </row>
    <row r="12" spans="5:11">
      <c r="E12" s="12">
        <v>2</v>
      </c>
      <c r="F12" s="553" t="s">
        <v>6</v>
      </c>
      <c r="G12" s="12">
        <f t="shared" ref="G12:G23" si="0">CurrentYear</f>
        <v>2016</v>
      </c>
      <c r="H12" s="10">
        <v>0</v>
      </c>
      <c r="I12" s="10">
        <v>0</v>
      </c>
      <c r="J12" s="10">
        <v>0</v>
      </c>
      <c r="K12" s="11">
        <f t="shared" ref="K12:K23" si="1">SUM(H12:J12)</f>
        <v>0</v>
      </c>
    </row>
    <row r="13" spans="5:11" ht="15.75">
      <c r="E13" s="12">
        <v>3</v>
      </c>
      <c r="F13" s="554" t="s">
        <v>7</v>
      </c>
      <c r="G13" s="12">
        <f t="shared" si="0"/>
        <v>2016</v>
      </c>
      <c r="H13" s="10">
        <v>0</v>
      </c>
      <c r="I13" s="10">
        <v>0</v>
      </c>
      <c r="J13" s="10">
        <v>0</v>
      </c>
      <c r="K13" s="11">
        <f t="shared" si="1"/>
        <v>0</v>
      </c>
    </row>
    <row r="14" spans="5:11" ht="15.75">
      <c r="E14" s="12">
        <v>4</v>
      </c>
      <c r="F14" s="554" t="s">
        <v>8</v>
      </c>
      <c r="G14" s="12">
        <f t="shared" si="0"/>
        <v>2016</v>
      </c>
      <c r="H14" s="10">
        <v>0</v>
      </c>
      <c r="I14" s="10">
        <v>0</v>
      </c>
      <c r="J14" s="10">
        <v>0</v>
      </c>
      <c r="K14" s="11">
        <f t="shared" si="1"/>
        <v>0</v>
      </c>
    </row>
    <row r="15" spans="5:11" ht="15.75">
      <c r="E15" s="12">
        <v>5</v>
      </c>
      <c r="F15" s="554" t="s">
        <v>9</v>
      </c>
      <c r="G15" s="12">
        <f t="shared" si="0"/>
        <v>2016</v>
      </c>
      <c r="H15" s="10">
        <v>0</v>
      </c>
      <c r="I15" s="10">
        <v>0</v>
      </c>
      <c r="J15" s="10">
        <v>0</v>
      </c>
      <c r="K15" s="11">
        <f t="shared" si="1"/>
        <v>0</v>
      </c>
    </row>
    <row r="16" spans="5:11" ht="15.75">
      <c r="E16" s="12">
        <v>6</v>
      </c>
      <c r="F16" s="554" t="s">
        <v>10</v>
      </c>
      <c r="G16" s="12">
        <f t="shared" si="0"/>
        <v>2016</v>
      </c>
      <c r="H16" s="10">
        <v>0</v>
      </c>
      <c r="I16" s="10">
        <v>0</v>
      </c>
      <c r="J16" s="10">
        <v>0</v>
      </c>
      <c r="K16" s="11">
        <f t="shared" si="1"/>
        <v>0</v>
      </c>
    </row>
    <row r="17" spans="5:11" ht="15.75">
      <c r="E17" s="12">
        <v>7</v>
      </c>
      <c r="F17" s="554" t="s">
        <v>11</v>
      </c>
      <c r="G17" s="12">
        <f t="shared" si="0"/>
        <v>2016</v>
      </c>
      <c r="H17" s="10">
        <v>0</v>
      </c>
      <c r="I17" s="10">
        <v>0</v>
      </c>
      <c r="J17" s="10">
        <v>0</v>
      </c>
      <c r="K17" s="11">
        <f t="shared" si="1"/>
        <v>0</v>
      </c>
    </row>
    <row r="18" spans="5:11" ht="15.75">
      <c r="E18" s="12">
        <v>8</v>
      </c>
      <c r="F18" s="554" t="s">
        <v>12</v>
      </c>
      <c r="G18" s="12">
        <f t="shared" si="0"/>
        <v>2016</v>
      </c>
      <c r="H18" s="10">
        <v>0</v>
      </c>
      <c r="I18" s="10">
        <v>0</v>
      </c>
      <c r="J18" s="10">
        <v>0</v>
      </c>
      <c r="K18" s="11">
        <f t="shared" si="1"/>
        <v>0</v>
      </c>
    </row>
    <row r="19" spans="5:11" ht="15.75">
      <c r="E19" s="12">
        <v>9</v>
      </c>
      <c r="F19" s="554" t="s">
        <v>13</v>
      </c>
      <c r="G19" s="12">
        <f t="shared" si="0"/>
        <v>2016</v>
      </c>
      <c r="H19" s="10">
        <v>0</v>
      </c>
      <c r="I19" s="10">
        <v>0</v>
      </c>
      <c r="J19" s="10">
        <v>0</v>
      </c>
      <c r="K19" s="11">
        <f t="shared" si="1"/>
        <v>0</v>
      </c>
    </row>
    <row r="20" spans="5:11" ht="15.75">
      <c r="E20" s="12">
        <v>10</v>
      </c>
      <c r="F20" s="554" t="s">
        <v>14</v>
      </c>
      <c r="G20" s="12">
        <f t="shared" si="0"/>
        <v>2016</v>
      </c>
      <c r="H20" s="10">
        <v>0</v>
      </c>
      <c r="I20" s="10">
        <v>0</v>
      </c>
      <c r="J20" s="10">
        <v>0</v>
      </c>
      <c r="K20" s="11">
        <f t="shared" si="1"/>
        <v>0</v>
      </c>
    </row>
    <row r="21" spans="5:11" ht="15.75">
      <c r="E21" s="12">
        <v>11</v>
      </c>
      <c r="F21" s="554" t="s">
        <v>15</v>
      </c>
      <c r="G21" s="12">
        <f t="shared" si="0"/>
        <v>2016</v>
      </c>
      <c r="H21" s="10">
        <v>0</v>
      </c>
      <c r="I21" s="10">
        <v>0</v>
      </c>
      <c r="J21" s="10">
        <v>0</v>
      </c>
      <c r="K21" s="11">
        <f t="shared" si="1"/>
        <v>0</v>
      </c>
    </row>
    <row r="22" spans="5:11" ht="15.75">
      <c r="E22" s="12">
        <v>12</v>
      </c>
      <c r="F22" s="554" t="s">
        <v>16</v>
      </c>
      <c r="G22" s="12">
        <f t="shared" si="0"/>
        <v>2016</v>
      </c>
      <c r="H22" s="10">
        <v>0</v>
      </c>
      <c r="I22" s="10">
        <v>0</v>
      </c>
      <c r="J22" s="10">
        <v>0</v>
      </c>
      <c r="K22" s="11">
        <f t="shared" si="1"/>
        <v>0</v>
      </c>
    </row>
    <row r="23" spans="5:11" ht="15.75">
      <c r="E23" s="12">
        <v>13</v>
      </c>
      <c r="F23" s="554" t="s">
        <v>17</v>
      </c>
      <c r="G23" s="12">
        <f t="shared" si="0"/>
        <v>2016</v>
      </c>
      <c r="H23" s="13">
        <v>0</v>
      </c>
      <c r="I23" s="13">
        <v>0</v>
      </c>
      <c r="J23" s="13">
        <v>0</v>
      </c>
      <c r="K23" s="14">
        <f t="shared" si="1"/>
        <v>0</v>
      </c>
    </row>
    <row r="24" spans="5:11">
      <c r="E24" s="12">
        <v>14</v>
      </c>
    </row>
    <row r="25" spans="5:11" ht="15.75">
      <c r="E25" s="12">
        <v>15</v>
      </c>
      <c r="F25" s="5" t="s">
        <v>23</v>
      </c>
      <c r="G25" s="15"/>
      <c r="H25" s="16">
        <f>SUM(H11:H23)/13</f>
        <v>0</v>
      </c>
      <c r="I25" s="16">
        <f t="shared" ref="I25:J25" si="2">SUM(I11:I23)/13</f>
        <v>0</v>
      </c>
      <c r="J25" s="16">
        <f t="shared" si="2"/>
        <v>0</v>
      </c>
      <c r="K25" s="17">
        <f>SUM(K11:K23)/13</f>
        <v>0</v>
      </c>
    </row>
    <row r="26" spans="5:11" ht="4.5" customHeight="1"/>
    <row r="27" spans="5:11" ht="4.5" customHeight="1"/>
  </sheetData>
  <pageMargins left="0.7" right="0.7" top="0.75" bottom="0.75" header="0.3" footer="0.3"/>
  <pageSetup scale="95" orientation="landscape" horizontalDpi="300" verticalDpi="300" r:id="rId1"/>
  <headerFooter>
    <oddHeader>&amp;L&amp;"-,Bold"&amp;12Central Minnesota Municipal Power Agency
2014 Attachment O Workpapers&amp;R&amp;"-,Bold"&amp;12Exhibit CMMPA-11
Page 6 of 13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26"/>
  <sheetViews>
    <sheetView showGridLines="0" zoomScaleNormal="100" workbookViewId="0"/>
  </sheetViews>
  <sheetFormatPr defaultRowHeight="15"/>
  <cols>
    <col min="1" max="2" width="9.140625" style="4"/>
    <col min="3" max="4" width="1.7109375" style="4" customWidth="1"/>
    <col min="5" max="5" width="9.140625" style="4"/>
    <col min="6" max="6" width="27.85546875" style="4" customWidth="1"/>
    <col min="7" max="7" width="8" style="4" customWidth="1"/>
    <col min="8" max="8" width="24.85546875" style="4" customWidth="1"/>
    <col min="9" max="10" width="9.140625" style="4"/>
    <col min="11" max="12" width="1.7109375" style="4" customWidth="1"/>
    <col min="13" max="16384" width="9.140625" style="4"/>
  </cols>
  <sheetData>
    <row r="3" spans="5:8" ht="5.25" customHeight="1"/>
    <row r="4" spans="5:8" ht="5.25" customHeight="1"/>
    <row r="5" spans="5:8" ht="15.75">
      <c r="E5" s="3" t="str">
        <f>Coversheet!D3</f>
        <v>Central Minnesota Municipal PowerAgency</v>
      </c>
      <c r="F5" s="3"/>
      <c r="G5" s="3"/>
      <c r="H5" s="3"/>
    </row>
    <row r="6" spans="5:8" ht="15.75">
      <c r="E6" s="3" t="s">
        <v>46</v>
      </c>
      <c r="G6" s="3"/>
      <c r="H6" s="3"/>
    </row>
    <row r="7" spans="5:8" ht="15.75">
      <c r="E7" s="3" t="str">
        <f>SubmissionType</f>
        <v>Actual 12 Months Ended December 31, 2016</v>
      </c>
      <c r="F7" s="3"/>
      <c r="G7" s="3"/>
      <c r="H7" s="6"/>
    </row>
    <row r="8" spans="5:8" ht="15.75">
      <c r="E8" s="3"/>
      <c r="F8" s="3"/>
      <c r="G8" s="3"/>
      <c r="H8" s="6"/>
    </row>
    <row r="9" spans="5:8" s="8" customFormat="1" ht="57" customHeight="1">
      <c r="E9" s="7" t="s">
        <v>0</v>
      </c>
      <c r="F9" s="7" t="s">
        <v>1</v>
      </c>
      <c r="G9" s="7" t="s">
        <v>2</v>
      </c>
      <c r="H9" s="7" t="s">
        <v>47</v>
      </c>
    </row>
    <row r="10" spans="5:8" s="8" customFormat="1">
      <c r="E10" s="9">
        <v>1</v>
      </c>
      <c r="F10" s="552" t="s">
        <v>17</v>
      </c>
      <c r="G10" s="9">
        <f>CurrentYear-1</f>
        <v>2015</v>
      </c>
      <c r="H10" s="10">
        <v>0</v>
      </c>
    </row>
    <row r="11" spans="5:8">
      <c r="E11" s="12">
        <v>2</v>
      </c>
      <c r="F11" s="553" t="s">
        <v>6</v>
      </c>
      <c r="G11" s="12">
        <f t="shared" ref="G11:G22" si="0">CurrentYear</f>
        <v>2016</v>
      </c>
      <c r="H11" s="10">
        <v>0</v>
      </c>
    </row>
    <row r="12" spans="5:8" ht="15.75">
      <c r="E12" s="12">
        <v>3</v>
      </c>
      <c r="F12" s="554" t="s">
        <v>7</v>
      </c>
      <c r="G12" s="12">
        <f t="shared" si="0"/>
        <v>2016</v>
      </c>
      <c r="H12" s="10">
        <v>0</v>
      </c>
    </row>
    <row r="13" spans="5:8" ht="15.75">
      <c r="E13" s="12">
        <v>4</v>
      </c>
      <c r="F13" s="554" t="s">
        <v>8</v>
      </c>
      <c r="G13" s="12">
        <f t="shared" si="0"/>
        <v>2016</v>
      </c>
      <c r="H13" s="10">
        <v>0</v>
      </c>
    </row>
    <row r="14" spans="5:8" ht="15.75">
      <c r="E14" s="12">
        <v>5</v>
      </c>
      <c r="F14" s="554" t="s">
        <v>9</v>
      </c>
      <c r="G14" s="12">
        <f t="shared" si="0"/>
        <v>2016</v>
      </c>
      <c r="H14" s="10">
        <v>0</v>
      </c>
    </row>
    <row r="15" spans="5:8" ht="15.75">
      <c r="E15" s="12">
        <v>6</v>
      </c>
      <c r="F15" s="554" t="s">
        <v>10</v>
      </c>
      <c r="G15" s="12">
        <f t="shared" si="0"/>
        <v>2016</v>
      </c>
      <c r="H15" s="10">
        <v>0</v>
      </c>
    </row>
    <row r="16" spans="5:8" ht="15.75">
      <c r="E16" s="12">
        <v>7</v>
      </c>
      <c r="F16" s="554" t="s">
        <v>11</v>
      </c>
      <c r="G16" s="12">
        <f t="shared" si="0"/>
        <v>2016</v>
      </c>
      <c r="H16" s="10">
        <v>0</v>
      </c>
    </row>
    <row r="17" spans="5:8" ht="15.75">
      <c r="E17" s="12">
        <v>8</v>
      </c>
      <c r="F17" s="554" t="s">
        <v>12</v>
      </c>
      <c r="G17" s="12">
        <f t="shared" si="0"/>
        <v>2016</v>
      </c>
      <c r="H17" s="10">
        <v>0</v>
      </c>
    </row>
    <row r="18" spans="5:8" ht="15.75">
      <c r="E18" s="12">
        <v>9</v>
      </c>
      <c r="F18" s="554" t="s">
        <v>13</v>
      </c>
      <c r="G18" s="12">
        <f t="shared" si="0"/>
        <v>2016</v>
      </c>
      <c r="H18" s="10">
        <v>0</v>
      </c>
    </row>
    <row r="19" spans="5:8" ht="15.75">
      <c r="E19" s="12">
        <v>10</v>
      </c>
      <c r="F19" s="554" t="s">
        <v>14</v>
      </c>
      <c r="G19" s="12">
        <f t="shared" si="0"/>
        <v>2016</v>
      </c>
      <c r="H19" s="10">
        <v>0</v>
      </c>
    </row>
    <row r="20" spans="5:8" ht="15.75">
      <c r="E20" s="12">
        <v>11</v>
      </c>
      <c r="F20" s="554" t="s">
        <v>15</v>
      </c>
      <c r="G20" s="12">
        <f t="shared" si="0"/>
        <v>2016</v>
      </c>
      <c r="H20" s="10">
        <v>0</v>
      </c>
    </row>
    <row r="21" spans="5:8" ht="15.75">
      <c r="E21" s="12">
        <v>12</v>
      </c>
      <c r="F21" s="554" t="s">
        <v>16</v>
      </c>
      <c r="G21" s="12">
        <f t="shared" si="0"/>
        <v>2016</v>
      </c>
      <c r="H21" s="10">
        <v>0</v>
      </c>
    </row>
    <row r="22" spans="5:8" ht="15.75">
      <c r="E22" s="12">
        <v>13</v>
      </c>
      <c r="F22" s="554" t="s">
        <v>17</v>
      </c>
      <c r="G22" s="12">
        <f t="shared" si="0"/>
        <v>2016</v>
      </c>
      <c r="H22" s="13">
        <v>0</v>
      </c>
    </row>
    <row r="23" spans="5:8">
      <c r="E23" s="12">
        <v>14</v>
      </c>
    </row>
    <row r="24" spans="5:8" ht="15.75">
      <c r="E24" s="12">
        <v>15</v>
      </c>
      <c r="F24" s="5" t="s">
        <v>23</v>
      </c>
      <c r="G24" s="15"/>
      <c r="H24" s="16">
        <f>SUM(H10:H22)/13</f>
        <v>0</v>
      </c>
    </row>
    <row r="25" spans="5:8" ht="6" customHeight="1"/>
    <row r="26" spans="5:8" ht="6" customHeight="1"/>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7 of 13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L28"/>
  <sheetViews>
    <sheetView showGridLines="0" zoomScaleNormal="100" workbookViewId="0">
      <selection activeCell="D6" sqref="D6"/>
    </sheetView>
  </sheetViews>
  <sheetFormatPr defaultRowHeight="15"/>
  <cols>
    <col min="1" max="1" width="9.140625" style="4"/>
    <col min="2" max="3" width="1" style="4" customWidth="1"/>
    <col min="4" max="4" width="9.140625" style="4"/>
    <col min="5" max="5" width="27.85546875" style="4" customWidth="1"/>
    <col min="6" max="6" width="8" style="4" customWidth="1"/>
    <col min="7" max="8" width="19.85546875" style="4" customWidth="1"/>
    <col min="9" max="10" width="1.85546875" style="4" customWidth="1"/>
    <col min="11" max="11" width="11.42578125" style="4" bestFit="1" customWidth="1"/>
    <col min="12" max="16384" width="9.140625" style="4"/>
  </cols>
  <sheetData>
    <row r="3" spans="4:12" ht="4.5" customHeight="1"/>
    <row r="4" spans="4:12" ht="4.5" customHeight="1"/>
    <row r="5" spans="4:12" ht="15.75">
      <c r="D5" s="3" t="str">
        <f>Coversheet!D3</f>
        <v>Central Minnesota Municipal PowerAgency</v>
      </c>
      <c r="E5" s="3"/>
      <c r="F5" s="3"/>
      <c r="G5" s="3"/>
      <c r="H5" s="3"/>
    </row>
    <row r="6" spans="4:12" ht="15.75">
      <c r="D6" s="3" t="s">
        <v>50</v>
      </c>
      <c r="F6" s="3"/>
      <c r="G6" s="3"/>
      <c r="H6" s="3"/>
    </row>
    <row r="7" spans="4:12" ht="15.75">
      <c r="D7" s="3" t="str">
        <f>SubmissionType</f>
        <v>Actual 12 Months Ended December 31, 2016</v>
      </c>
      <c r="E7" s="3"/>
      <c r="F7" s="3"/>
      <c r="G7" s="6"/>
    </row>
    <row r="8" spans="4:12" ht="15.75">
      <c r="D8" s="3"/>
      <c r="E8" s="3"/>
      <c r="F8" s="3"/>
      <c r="G8" s="6"/>
    </row>
    <row r="9" spans="4:12" s="8" customFormat="1" ht="35.25" customHeight="1">
      <c r="D9" s="7" t="s">
        <v>0</v>
      </c>
      <c r="E9" s="7" t="s">
        <v>1</v>
      </c>
      <c r="F9" s="7" t="s">
        <v>2</v>
      </c>
      <c r="G9" s="7" t="s">
        <v>48</v>
      </c>
      <c r="H9" s="7" t="s">
        <v>49</v>
      </c>
    </row>
    <row r="10" spans="4:12" s="8" customFormat="1">
      <c r="D10" s="9">
        <v>1</v>
      </c>
      <c r="E10" s="552" t="s">
        <v>17</v>
      </c>
      <c r="F10" s="9">
        <f>CurrentYear-1</f>
        <v>2015</v>
      </c>
      <c r="G10" s="10">
        <v>0</v>
      </c>
      <c r="H10" s="10">
        <v>9374.56</v>
      </c>
    </row>
    <row r="11" spans="4:12">
      <c r="D11" s="12">
        <v>2</v>
      </c>
      <c r="E11" s="553" t="s">
        <v>6</v>
      </c>
      <c r="F11" s="12">
        <f t="shared" ref="F11:F22" si="0">CurrentYear</f>
        <v>2016</v>
      </c>
      <c r="G11" s="10">
        <f>G10</f>
        <v>0</v>
      </c>
      <c r="H11" s="10">
        <v>39791.57</v>
      </c>
      <c r="K11" s="8"/>
      <c r="L11" s="8"/>
    </row>
    <row r="12" spans="4:12" ht="15.75">
      <c r="D12" s="12">
        <v>3</v>
      </c>
      <c r="E12" s="554" t="s">
        <v>7</v>
      </c>
      <c r="F12" s="12">
        <f t="shared" si="0"/>
        <v>2016</v>
      </c>
      <c r="G12" s="10">
        <f t="shared" ref="G12:G22" si="1">G11</f>
        <v>0</v>
      </c>
      <c r="H12" s="10">
        <v>52355.3</v>
      </c>
      <c r="K12" s="8"/>
      <c r="L12" s="8"/>
    </row>
    <row r="13" spans="4:12" ht="15.75">
      <c r="D13" s="12">
        <v>4</v>
      </c>
      <c r="E13" s="554" t="s">
        <v>8</v>
      </c>
      <c r="F13" s="12">
        <f t="shared" si="0"/>
        <v>2016</v>
      </c>
      <c r="G13" s="10">
        <f t="shared" si="1"/>
        <v>0</v>
      </c>
      <c r="H13" s="10">
        <v>47931.15</v>
      </c>
      <c r="K13" s="8"/>
      <c r="L13" s="8"/>
    </row>
    <row r="14" spans="4:12" ht="15.75">
      <c r="D14" s="12">
        <v>5</v>
      </c>
      <c r="E14" s="554" t="s">
        <v>9</v>
      </c>
      <c r="F14" s="12">
        <f t="shared" si="0"/>
        <v>2016</v>
      </c>
      <c r="G14" s="10">
        <f t="shared" si="1"/>
        <v>0</v>
      </c>
      <c r="H14" s="10">
        <v>43507</v>
      </c>
      <c r="K14" s="8"/>
      <c r="L14" s="8"/>
    </row>
    <row r="15" spans="4:12" ht="15.75">
      <c r="D15" s="12">
        <v>6</v>
      </c>
      <c r="E15" s="554" t="s">
        <v>10</v>
      </c>
      <c r="F15" s="12">
        <f t="shared" si="0"/>
        <v>2016</v>
      </c>
      <c r="G15" s="10">
        <f t="shared" si="1"/>
        <v>0</v>
      </c>
      <c r="H15" s="10">
        <v>39082.85</v>
      </c>
      <c r="K15" s="8"/>
      <c r="L15" s="8"/>
    </row>
    <row r="16" spans="4:12" ht="15.75">
      <c r="D16" s="12">
        <v>7</v>
      </c>
      <c r="E16" s="554" t="s">
        <v>11</v>
      </c>
      <c r="F16" s="12">
        <f t="shared" si="0"/>
        <v>2016</v>
      </c>
      <c r="G16" s="10">
        <f t="shared" si="1"/>
        <v>0</v>
      </c>
      <c r="H16" s="10">
        <v>34658.699999999997</v>
      </c>
      <c r="K16" s="8"/>
      <c r="L16" s="8"/>
    </row>
    <row r="17" spans="4:12" ht="15.75">
      <c r="D17" s="12">
        <v>8</v>
      </c>
      <c r="E17" s="554" t="s">
        <v>12</v>
      </c>
      <c r="F17" s="12">
        <f t="shared" si="0"/>
        <v>2016</v>
      </c>
      <c r="G17" s="10">
        <f t="shared" si="1"/>
        <v>0</v>
      </c>
      <c r="H17" s="10">
        <v>46434.55</v>
      </c>
      <c r="K17" s="8"/>
      <c r="L17" s="8"/>
    </row>
    <row r="18" spans="4:12" ht="15.75">
      <c r="D18" s="12">
        <v>9</v>
      </c>
      <c r="E18" s="554" t="s">
        <v>13</v>
      </c>
      <c r="F18" s="12">
        <f t="shared" si="0"/>
        <v>2016</v>
      </c>
      <c r="G18" s="10">
        <f t="shared" si="1"/>
        <v>0</v>
      </c>
      <c r="H18" s="10">
        <v>40660.400000000001</v>
      </c>
      <c r="K18" s="8"/>
      <c r="L18" s="8"/>
    </row>
    <row r="19" spans="4:12" ht="15.75">
      <c r="D19" s="12">
        <v>10</v>
      </c>
      <c r="E19" s="554" t="s">
        <v>14</v>
      </c>
      <c r="F19" s="12">
        <f t="shared" si="0"/>
        <v>2016</v>
      </c>
      <c r="G19" s="10">
        <f t="shared" si="1"/>
        <v>0</v>
      </c>
      <c r="H19" s="10">
        <v>37771.24</v>
      </c>
      <c r="K19" s="8"/>
      <c r="L19" s="8"/>
    </row>
    <row r="20" spans="4:12" ht="15.75">
      <c r="D20" s="12">
        <v>11</v>
      </c>
      <c r="E20" s="554" t="s">
        <v>15</v>
      </c>
      <c r="F20" s="12">
        <f t="shared" si="0"/>
        <v>2016</v>
      </c>
      <c r="G20" s="10">
        <f t="shared" si="1"/>
        <v>0</v>
      </c>
      <c r="H20" s="10">
        <v>34535.160000000003</v>
      </c>
      <c r="K20" s="8"/>
      <c r="L20" s="8"/>
    </row>
    <row r="21" spans="4:12" ht="15.75">
      <c r="D21" s="12">
        <v>12</v>
      </c>
      <c r="E21" s="554" t="s">
        <v>16</v>
      </c>
      <c r="F21" s="12">
        <f t="shared" si="0"/>
        <v>2016</v>
      </c>
      <c r="G21" s="10">
        <f t="shared" si="1"/>
        <v>0</v>
      </c>
      <c r="H21" s="10">
        <v>33747.08</v>
      </c>
      <c r="K21" s="8"/>
      <c r="L21" s="8"/>
    </row>
    <row r="22" spans="4:12" ht="17.25">
      <c r="D22" s="12">
        <v>13</v>
      </c>
      <c r="E22" s="554" t="s">
        <v>17</v>
      </c>
      <c r="F22" s="12">
        <f t="shared" si="0"/>
        <v>2016</v>
      </c>
      <c r="G22" s="26">
        <f t="shared" si="1"/>
        <v>0</v>
      </c>
      <c r="H22" s="26">
        <v>58014.25</v>
      </c>
      <c r="K22" s="8"/>
      <c r="L22" s="8"/>
    </row>
    <row r="23" spans="4:12">
      <c r="D23" s="12">
        <v>14</v>
      </c>
      <c r="K23" s="8"/>
      <c r="L23" s="8"/>
    </row>
    <row r="24" spans="4:12" ht="17.25">
      <c r="D24" s="12">
        <v>15</v>
      </c>
      <c r="E24" s="5" t="s">
        <v>23</v>
      </c>
      <c r="F24" s="15"/>
      <c r="G24" s="27">
        <f>SUM(G10:G22)/13</f>
        <v>0</v>
      </c>
      <c r="H24" s="27">
        <f t="shared" ref="H24" si="2">SUM(H10:H22)/13</f>
        <v>39835.67769230769</v>
      </c>
      <c r="K24" s="8"/>
      <c r="L24" s="8"/>
    </row>
    <row r="26" spans="4:12">
      <c r="E26" s="86" t="s">
        <v>167</v>
      </c>
      <c r="F26" s="86"/>
      <c r="G26" s="86" t="s">
        <v>180</v>
      </c>
      <c r="H26" s="86" t="s">
        <v>181</v>
      </c>
    </row>
    <row r="27" spans="4:12" ht="6" customHeight="1"/>
    <row r="28" spans="4:12" ht="6" customHeight="1"/>
  </sheetData>
  <pageMargins left="0.7" right="0.7" top="0.75" bottom="0.75" header="0.3" footer="0.3"/>
  <pageSetup orientation="landscape" r:id="rId1"/>
  <headerFooter>
    <oddHeader>&amp;L&amp;"-,Bold"&amp;12Central Minnesota Municipal Power Agency
2014 Attachment O Workpapers&amp;R&amp;"-,Bold"&amp;12Exhibit CMMPA-11
Page 8 of 13</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E3:S33"/>
  <sheetViews>
    <sheetView showGridLines="0" zoomScaleNormal="100" workbookViewId="0">
      <selection activeCell="J11" sqref="J11"/>
    </sheetView>
  </sheetViews>
  <sheetFormatPr defaultRowHeight="15"/>
  <cols>
    <col min="1" max="2" width="9.140625" style="4"/>
    <col min="3" max="4" width="1.7109375" style="4" customWidth="1"/>
    <col min="5" max="5" width="9.140625" style="4"/>
    <col min="6" max="6" width="27.85546875" style="4" customWidth="1"/>
    <col min="7" max="7" width="13.7109375" style="4" bestFit="1" customWidth="1"/>
    <col min="8" max="9" width="19.85546875" style="4" customWidth="1"/>
    <col min="10" max="10" width="26.85546875" style="4" bestFit="1" customWidth="1"/>
    <col min="11" max="12" width="1.5703125" style="4" customWidth="1"/>
    <col min="13" max="13" width="14.28515625" style="4" bestFit="1" customWidth="1"/>
    <col min="14" max="14" width="19.5703125" style="4" customWidth="1"/>
    <col min="15" max="16" width="13.42578125" style="4" bestFit="1" customWidth="1"/>
    <col min="17" max="18" width="14.28515625" style="4" bestFit="1" customWidth="1"/>
    <col min="19" max="19" width="15.28515625" style="4" bestFit="1" customWidth="1"/>
    <col min="20" max="16384" width="9.140625" style="4"/>
  </cols>
  <sheetData>
    <row r="3" spans="5:15" ht="5.25" customHeight="1"/>
    <row r="4" spans="5:15" ht="5.25" customHeight="1"/>
    <row r="5" spans="5:15" ht="15.75">
      <c r="E5" s="3" t="str">
        <f>Coversheet!D3</f>
        <v>Central Minnesota Municipal PowerAgency</v>
      </c>
      <c r="F5" s="3"/>
      <c r="G5" s="3"/>
      <c r="H5" s="3"/>
      <c r="I5" s="3"/>
      <c r="J5" s="3"/>
    </row>
    <row r="6" spans="5:15" ht="15.75">
      <c r="E6" s="3" t="s">
        <v>51</v>
      </c>
      <c r="G6" s="3"/>
      <c r="H6" s="3"/>
      <c r="I6" s="3"/>
      <c r="J6" s="3"/>
    </row>
    <row r="7" spans="5:15" ht="15.75">
      <c r="E7" s="3" t="str">
        <f>SubmissionType</f>
        <v>Actual 12 Months Ended December 31, 2016</v>
      </c>
      <c r="F7" s="3"/>
      <c r="G7" s="3"/>
      <c r="H7" s="6"/>
      <c r="I7" s="6"/>
    </row>
    <row r="8" spans="5:15" ht="15.75">
      <c r="E8" s="3"/>
      <c r="F8" s="3"/>
      <c r="G8" s="3"/>
      <c r="H8" s="6"/>
      <c r="I8" s="6"/>
      <c r="N8" s="28"/>
    </row>
    <row r="9" spans="5:15" s="8" customFormat="1" ht="35.25" customHeight="1">
      <c r="E9" s="7" t="s">
        <v>0</v>
      </c>
      <c r="F9" s="7" t="s">
        <v>1</v>
      </c>
      <c r="G9" s="7" t="s">
        <v>2</v>
      </c>
      <c r="H9" s="7" t="s">
        <v>52</v>
      </c>
      <c r="I9" s="7" t="s">
        <v>199</v>
      </c>
      <c r="J9" s="7" t="s">
        <v>190</v>
      </c>
    </row>
    <row r="10" spans="5:15" s="8" customFormat="1">
      <c r="E10" s="9">
        <v>1</v>
      </c>
      <c r="F10" s="552" t="s">
        <v>17</v>
      </c>
      <c r="G10" s="9">
        <f>CurrentYear-1</f>
        <v>2015</v>
      </c>
      <c r="H10" s="10">
        <v>31745000</v>
      </c>
      <c r="I10" s="10">
        <v>775530.76</v>
      </c>
      <c r="J10" s="10">
        <f>10645156-4141</f>
        <v>10641015</v>
      </c>
      <c r="M10" s="22" t="s">
        <v>836</v>
      </c>
      <c r="N10" s="31"/>
    </row>
    <row r="11" spans="5:15">
      <c r="E11" s="12">
        <v>2</v>
      </c>
      <c r="F11" s="553" t="s">
        <v>6</v>
      </c>
      <c r="G11" s="12">
        <f t="shared" ref="G11:G22" si="0">CurrentYear</f>
        <v>2016</v>
      </c>
      <c r="H11" s="10">
        <f>31745000-1215000</f>
        <v>30530000</v>
      </c>
      <c r="I11" s="10">
        <f>+I10</f>
        <v>775530.76</v>
      </c>
      <c r="J11" s="10">
        <v>10734722</v>
      </c>
      <c r="M11" s="8"/>
      <c r="N11" s="8"/>
      <c r="O11" s="8"/>
    </row>
    <row r="12" spans="5:15" ht="15.75">
      <c r="E12" s="12">
        <v>3</v>
      </c>
      <c r="F12" s="554" t="s">
        <v>7</v>
      </c>
      <c r="G12" s="12">
        <f t="shared" si="0"/>
        <v>2016</v>
      </c>
      <c r="H12" s="10">
        <f>H11</f>
        <v>30530000</v>
      </c>
      <c r="I12" s="10">
        <f t="shared" ref="I12:I21" si="1">+I11</f>
        <v>775530.76</v>
      </c>
      <c r="J12" s="10">
        <v>10814130</v>
      </c>
      <c r="M12" s="8"/>
      <c r="N12" s="8"/>
      <c r="O12" s="8"/>
    </row>
    <row r="13" spans="5:15" ht="15.75">
      <c r="E13" s="12">
        <v>4</v>
      </c>
      <c r="F13" s="554" t="s">
        <v>8</v>
      </c>
      <c r="G13" s="12">
        <f t="shared" si="0"/>
        <v>2016</v>
      </c>
      <c r="H13" s="10">
        <f t="shared" ref="H13:H21" si="2">H12</f>
        <v>30530000</v>
      </c>
      <c r="I13" s="10">
        <f t="shared" si="1"/>
        <v>775530.76</v>
      </c>
      <c r="J13" s="10">
        <v>10905448</v>
      </c>
      <c r="M13" s="8"/>
      <c r="N13" s="8"/>
      <c r="O13" s="8"/>
    </row>
    <row r="14" spans="5:15" ht="15.75">
      <c r="E14" s="12">
        <v>5</v>
      </c>
      <c r="F14" s="554" t="s">
        <v>9</v>
      </c>
      <c r="G14" s="12">
        <f t="shared" si="0"/>
        <v>2016</v>
      </c>
      <c r="H14" s="10">
        <f t="shared" si="2"/>
        <v>30530000</v>
      </c>
      <c r="I14" s="10">
        <f t="shared" si="1"/>
        <v>775530.76</v>
      </c>
      <c r="J14" s="10">
        <v>10996136</v>
      </c>
      <c r="M14" s="8"/>
      <c r="N14" s="8"/>
      <c r="O14" s="8"/>
    </row>
    <row r="15" spans="5:15" ht="15.75">
      <c r="E15" s="12">
        <v>6</v>
      </c>
      <c r="F15" s="554" t="s">
        <v>10</v>
      </c>
      <c r="G15" s="12">
        <f t="shared" si="0"/>
        <v>2016</v>
      </c>
      <c r="H15" s="10">
        <f t="shared" si="2"/>
        <v>30530000</v>
      </c>
      <c r="I15" s="10">
        <f t="shared" si="1"/>
        <v>775530.76</v>
      </c>
      <c r="J15" s="10">
        <v>11024695</v>
      </c>
      <c r="M15" s="8"/>
      <c r="N15" s="8"/>
      <c r="O15" s="8"/>
    </row>
    <row r="16" spans="5:15" ht="15.75">
      <c r="E16" s="12">
        <v>7</v>
      </c>
      <c r="F16" s="554" t="s">
        <v>11</v>
      </c>
      <c r="G16" s="12">
        <f t="shared" si="0"/>
        <v>2016</v>
      </c>
      <c r="H16" s="10">
        <f t="shared" si="2"/>
        <v>30530000</v>
      </c>
      <c r="I16" s="10">
        <f t="shared" si="1"/>
        <v>775530.76</v>
      </c>
      <c r="J16" s="10">
        <v>11073186</v>
      </c>
      <c r="M16" s="8"/>
      <c r="N16" s="8"/>
      <c r="O16" s="8"/>
    </row>
    <row r="17" spans="5:19" ht="15.75">
      <c r="E17" s="12">
        <v>8</v>
      </c>
      <c r="F17" s="554" t="s">
        <v>12</v>
      </c>
      <c r="G17" s="12">
        <f t="shared" si="0"/>
        <v>2016</v>
      </c>
      <c r="H17" s="10">
        <f t="shared" si="2"/>
        <v>30530000</v>
      </c>
      <c r="I17" s="10">
        <f t="shared" si="1"/>
        <v>775530.76</v>
      </c>
      <c r="J17" s="10">
        <v>11197299</v>
      </c>
      <c r="M17" s="8"/>
      <c r="N17" s="8"/>
      <c r="O17" s="8"/>
    </row>
    <row r="18" spans="5:19" ht="15.75">
      <c r="E18" s="12">
        <v>9</v>
      </c>
      <c r="F18" s="554" t="s">
        <v>13</v>
      </c>
      <c r="G18" s="12">
        <f t="shared" si="0"/>
        <v>2016</v>
      </c>
      <c r="H18" s="10">
        <f t="shared" si="2"/>
        <v>30530000</v>
      </c>
      <c r="I18" s="10">
        <f t="shared" si="1"/>
        <v>775530.76</v>
      </c>
      <c r="J18" s="10">
        <v>11437155</v>
      </c>
      <c r="M18" s="8"/>
      <c r="N18" s="8"/>
      <c r="O18" s="8"/>
    </row>
    <row r="19" spans="5:19" ht="15.75">
      <c r="E19" s="12">
        <v>10</v>
      </c>
      <c r="F19" s="554" t="s">
        <v>14</v>
      </c>
      <c r="G19" s="12">
        <f t="shared" si="0"/>
        <v>2016</v>
      </c>
      <c r="H19" s="10">
        <f t="shared" si="2"/>
        <v>30530000</v>
      </c>
      <c r="I19" s="10">
        <f t="shared" si="1"/>
        <v>775530.76</v>
      </c>
      <c r="J19" s="10">
        <v>11595036</v>
      </c>
      <c r="M19" s="8"/>
      <c r="N19" s="8"/>
      <c r="O19" s="8"/>
    </row>
    <row r="20" spans="5:19" ht="15.75">
      <c r="E20" s="12">
        <v>11</v>
      </c>
      <c r="F20" s="554" t="s">
        <v>15</v>
      </c>
      <c r="G20" s="12">
        <f t="shared" si="0"/>
        <v>2016</v>
      </c>
      <c r="H20" s="10">
        <f t="shared" si="2"/>
        <v>30530000</v>
      </c>
      <c r="I20" s="10">
        <f t="shared" si="1"/>
        <v>775530.76</v>
      </c>
      <c r="J20" s="10">
        <v>11765540</v>
      </c>
      <c r="M20" s="8"/>
      <c r="N20" s="8"/>
      <c r="O20" s="8"/>
    </row>
    <row r="21" spans="5:19" ht="15.75">
      <c r="E21" s="12">
        <v>12</v>
      </c>
      <c r="F21" s="554" t="s">
        <v>16</v>
      </c>
      <c r="G21" s="12">
        <f t="shared" si="0"/>
        <v>2016</v>
      </c>
      <c r="H21" s="10">
        <f t="shared" si="2"/>
        <v>30530000</v>
      </c>
      <c r="I21" s="10">
        <f t="shared" si="1"/>
        <v>775530.76</v>
      </c>
      <c r="J21" s="10">
        <v>12154656</v>
      </c>
      <c r="M21" s="8"/>
      <c r="N21" s="8"/>
      <c r="O21" s="8"/>
    </row>
    <row r="22" spans="5:19" ht="15.75">
      <c r="E22" s="12">
        <v>13</v>
      </c>
      <c r="F22" s="554" t="s">
        <v>17</v>
      </c>
      <c r="G22" s="12">
        <f t="shared" si="0"/>
        <v>2016</v>
      </c>
      <c r="H22" s="532">
        <f>H21</f>
        <v>30530000</v>
      </c>
      <c r="I22" s="532">
        <v>0</v>
      </c>
      <c r="J22" s="532">
        <v>12268911</v>
      </c>
      <c r="M22" s="8"/>
      <c r="N22" s="8"/>
      <c r="O22" s="8"/>
    </row>
    <row r="23" spans="5:19">
      <c r="E23" s="12">
        <v>14</v>
      </c>
      <c r="M23" s="8"/>
      <c r="N23" s="8"/>
      <c r="O23" s="8"/>
    </row>
    <row r="24" spans="5:19" ht="17.25">
      <c r="E24" s="12">
        <v>15</v>
      </c>
      <c r="F24" s="5" t="s">
        <v>23</v>
      </c>
      <c r="G24" s="15"/>
      <c r="H24" s="27">
        <f>SUM(H10:H22)/13</f>
        <v>30623461.53846154</v>
      </c>
      <c r="I24" s="27">
        <f t="shared" ref="I24" si="3">SUM(I10:I22)/13</f>
        <v>715874.54769230762</v>
      </c>
      <c r="J24" s="317">
        <f>SUM(J10:J22)/13</f>
        <v>11277533</v>
      </c>
      <c r="M24" s="8"/>
      <c r="N24" s="8"/>
      <c r="O24" s="8"/>
    </row>
    <row r="25" spans="5:19">
      <c r="J25" s="28"/>
      <c r="M25" s="8"/>
      <c r="N25" s="8"/>
      <c r="O25" s="8"/>
    </row>
    <row r="26" spans="5:19">
      <c r="F26" s="86" t="s">
        <v>179</v>
      </c>
      <c r="G26" s="86"/>
      <c r="H26" s="86" t="s">
        <v>182</v>
      </c>
      <c r="I26" s="86" t="s">
        <v>198</v>
      </c>
      <c r="J26" s="86" t="s">
        <v>183</v>
      </c>
      <c r="K26" s="18"/>
      <c r="L26" s="18"/>
      <c r="M26" s="96"/>
      <c r="N26" s="8"/>
      <c r="O26" s="18"/>
      <c r="P26" s="18"/>
      <c r="Q26" s="18"/>
      <c r="R26" s="18"/>
      <c r="S26" s="18"/>
    </row>
    <row r="27" spans="5:19" ht="7.5" customHeight="1">
      <c r="F27" s="28"/>
      <c r="J27" s="28"/>
      <c r="N27" s="8"/>
    </row>
    <row r="28" spans="5:19" ht="7.5" customHeight="1">
      <c r="F28" s="28"/>
      <c r="G28" s="28"/>
      <c r="H28" s="28"/>
      <c r="I28" s="28"/>
      <c r="J28" s="28"/>
      <c r="K28" s="28"/>
      <c r="L28" s="28"/>
      <c r="M28" s="28"/>
      <c r="N28" s="8"/>
      <c r="O28" s="28"/>
      <c r="P28" s="28"/>
      <c r="Q28" s="28"/>
      <c r="R28" s="28"/>
    </row>
    <row r="29" spans="5:19">
      <c r="I29" s="28"/>
      <c r="M29" s="28"/>
      <c r="N29" s="8"/>
    </row>
    <row r="31" spans="5:19">
      <c r="M31" s="28"/>
    </row>
    <row r="33" spans="13:13">
      <c r="M33" s="28"/>
    </row>
  </sheetData>
  <pageMargins left="0.7" right="0.7" top="0.75" bottom="0.75" header="0.3" footer="0.3"/>
  <pageSetup orientation="landscape" r:id="rId1"/>
  <headerFooter>
    <oddHeader>&amp;L&amp;"-,Bold"&amp;12Central Minnesota Municipal Power Agency
2014 Attachment O Workpapers&amp;R&amp;"-,Bold"&amp;12Exhibit CMMPA-11
Page 9 of 13</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3"/>
  <sheetViews>
    <sheetView showGridLines="0" zoomScaleNormal="100" workbookViewId="0">
      <selection activeCell="B14" sqref="B14"/>
    </sheetView>
  </sheetViews>
  <sheetFormatPr defaultRowHeight="15"/>
  <cols>
    <col min="1" max="1" width="4.85546875" style="4" customWidth="1"/>
    <col min="2" max="2" width="14.28515625" style="4" customWidth="1"/>
    <col min="3" max="3" width="15.28515625" style="4" customWidth="1"/>
    <col min="4" max="4" width="9.140625" style="4"/>
    <col min="5" max="5" width="12" style="4" bestFit="1" customWidth="1"/>
    <col min="6" max="6" width="2" style="4" customWidth="1"/>
    <col min="7" max="7" width="91.85546875" style="4" customWidth="1"/>
    <col min="8" max="16384" width="9.140625" style="4"/>
  </cols>
  <sheetData>
    <row r="2" spans="2:7">
      <c r="B2" s="523"/>
      <c r="C2" s="523"/>
      <c r="D2" s="523"/>
      <c r="E2" s="523"/>
      <c r="F2" s="523"/>
      <c r="G2" s="523"/>
    </row>
    <row r="3" spans="2:7" ht="15.75">
      <c r="B3" s="557" t="str">
        <f>Coversheet!D3</f>
        <v>Central Minnesota Municipal PowerAgency</v>
      </c>
      <c r="C3" s="557"/>
      <c r="D3" s="557"/>
      <c r="E3" s="557"/>
      <c r="F3" s="523"/>
      <c r="G3" s="523"/>
    </row>
    <row r="4" spans="2:7" ht="15.75">
      <c r="B4" s="557" t="s">
        <v>837</v>
      </c>
      <c r="D4" s="557"/>
      <c r="E4" s="557"/>
      <c r="F4" s="523"/>
      <c r="G4" s="523"/>
    </row>
    <row r="5" spans="2:7" ht="15.75">
      <c r="B5" s="557" t="str">
        <f>SubmissionType</f>
        <v>Actual 12 Months Ended December 31, 2016</v>
      </c>
      <c r="C5" s="557"/>
      <c r="D5" s="557"/>
      <c r="E5" s="523"/>
      <c r="F5" s="523"/>
      <c r="G5" s="523"/>
    </row>
    <row r="6" spans="2:7" ht="15.75">
      <c r="B6" s="557"/>
      <c r="C6" s="557"/>
      <c r="D6" s="557"/>
      <c r="E6" s="523"/>
      <c r="F6" s="523"/>
      <c r="G6" s="523"/>
    </row>
    <row r="7" spans="2:7" ht="45">
      <c r="B7" s="118" t="s">
        <v>0</v>
      </c>
      <c r="C7" s="118" t="s">
        <v>1</v>
      </c>
      <c r="D7" s="118" t="s">
        <v>2</v>
      </c>
      <c r="E7" s="118" t="s">
        <v>190</v>
      </c>
      <c r="F7" s="558"/>
      <c r="G7" s="558"/>
    </row>
    <row r="8" spans="2:7">
      <c r="B8" s="559">
        <v>1</v>
      </c>
      <c r="C8" s="559" t="s">
        <v>17</v>
      </c>
      <c r="D8" s="559">
        <f>CurrentYear-1</f>
        <v>2015</v>
      </c>
      <c r="E8" s="560">
        <v>8682715</v>
      </c>
      <c r="F8" s="558"/>
      <c r="G8" s="561" t="s">
        <v>838</v>
      </c>
    </row>
    <row r="9" spans="2:7">
      <c r="B9" s="562"/>
      <c r="C9" s="523"/>
      <c r="D9" s="523"/>
      <c r="E9" s="523"/>
      <c r="F9" s="523"/>
      <c r="G9" s="523"/>
    </row>
    <row r="10" spans="2:7">
      <c r="B10" s="562">
        <v>2</v>
      </c>
      <c r="C10" s="523"/>
      <c r="D10" s="523"/>
      <c r="E10" s="563">
        <v>1937226</v>
      </c>
      <c r="F10" s="523"/>
      <c r="G10" s="523" t="s">
        <v>839</v>
      </c>
    </row>
    <row r="11" spans="2:7">
      <c r="B11" s="562">
        <v>3</v>
      </c>
      <c r="C11" s="523"/>
      <c r="D11" s="523"/>
      <c r="E11" s="563">
        <v>21074</v>
      </c>
      <c r="F11" s="523"/>
      <c r="G11" s="523" t="s">
        <v>840</v>
      </c>
    </row>
    <row r="12" spans="2:7">
      <c r="B12" s="562"/>
      <c r="C12" s="523"/>
      <c r="D12" s="523"/>
      <c r="E12" s="523"/>
      <c r="F12" s="523"/>
      <c r="G12" s="523"/>
    </row>
    <row r="13" spans="2:7" ht="15.75">
      <c r="B13" s="562">
        <v>4</v>
      </c>
      <c r="C13" s="564" t="str">
        <f>+C8</f>
        <v>December</v>
      </c>
      <c r="D13" s="562">
        <v>2015</v>
      </c>
      <c r="E13" s="560">
        <f>SUM(E8:E11)</f>
        <v>10641015</v>
      </c>
      <c r="F13" s="523"/>
      <c r="G13" s="561" t="s">
        <v>841</v>
      </c>
    </row>
  </sheetData>
  <pageMargins left="0.7" right="0.7" top="0.75" bottom="0.75" header="0.3" footer="0.3"/>
  <pageSetup orientation="landscape" r:id="rId1"/>
  <headerFooter>
    <oddHeader>&amp;L&amp;"-,Bold"&amp;12Central Minnesota Municipal Power Agency
2014 Attachment O Workpapers&amp;R&amp;"-,Bold"&amp;12Exhibit CMMPA-11
Page 9 of 13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P55"/>
  <sheetViews>
    <sheetView showGridLines="0" zoomScale="80" zoomScaleNormal="80" workbookViewId="0">
      <selection activeCell="G7" sqref="G7"/>
    </sheetView>
  </sheetViews>
  <sheetFormatPr defaultRowHeight="15"/>
  <cols>
    <col min="1" max="2" width="9.140625" style="4"/>
    <col min="3" max="4" width="1.85546875" style="4" customWidth="1"/>
    <col min="5" max="5" width="9.140625" style="4"/>
    <col min="6" max="6" width="71.85546875" style="55" customWidth="1"/>
    <col min="7" max="7" width="16.140625" style="4" bestFit="1" customWidth="1"/>
    <col min="8" max="8" width="41.42578125" style="55" customWidth="1"/>
    <col min="9" max="10" width="2" style="68" customWidth="1"/>
    <col min="11" max="11" width="12" style="68" bestFit="1" customWidth="1"/>
    <col min="12" max="12" width="12.140625" style="68" bestFit="1" customWidth="1"/>
    <col min="13" max="13" width="26" style="68" bestFit="1" customWidth="1"/>
    <col min="14" max="14" width="15.42578125" style="81" bestFit="1" customWidth="1"/>
    <col min="15" max="15" width="13.5703125" style="4" bestFit="1" customWidth="1"/>
    <col min="16" max="16" width="13.85546875" style="4" bestFit="1" customWidth="1"/>
    <col min="17" max="16384" width="9.140625" style="4"/>
  </cols>
  <sheetData>
    <row r="1" spans="5:14" ht="15" customHeight="1"/>
    <row r="2" spans="5:14" ht="15" customHeight="1">
      <c r="F2" s="555" t="str">
        <f>[6]Coversheet!D3</f>
        <v>Central Minnesota Municipal PowerAgency</v>
      </c>
      <c r="H2" s="37"/>
      <c r="N2" s="69"/>
    </row>
    <row r="3" spans="5:14" ht="15" customHeight="1">
      <c r="F3" s="555" t="s">
        <v>842</v>
      </c>
      <c r="G3" s="36"/>
      <c r="N3" s="70"/>
    </row>
    <row r="4" spans="5:14" ht="15" customHeight="1">
      <c r="F4" s="555" t="str">
        <f>SubmissionType</f>
        <v>Actual 12 Months Ended December 31, 2016</v>
      </c>
      <c r="H4" s="39"/>
      <c r="N4" s="71"/>
    </row>
    <row r="5" spans="5:14">
      <c r="F5" s="62"/>
      <c r="H5" s="63"/>
      <c r="I5" s="72"/>
      <c r="J5" s="72"/>
      <c r="K5" s="72"/>
      <c r="N5" s="72"/>
    </row>
    <row r="6" spans="5:14">
      <c r="E6" s="7" t="s">
        <v>0</v>
      </c>
      <c r="F6" s="565" t="s">
        <v>92</v>
      </c>
      <c r="G6" s="62" t="s">
        <v>76</v>
      </c>
      <c r="H6" s="39"/>
      <c r="I6" s="71"/>
      <c r="J6" s="71"/>
      <c r="K6" s="71"/>
      <c r="N6" s="71"/>
    </row>
    <row r="7" spans="5:14">
      <c r="E7" s="12">
        <v>1</v>
      </c>
      <c r="F7" s="41" t="s">
        <v>93</v>
      </c>
      <c r="G7" s="28">
        <v>30113</v>
      </c>
      <c r="H7" s="39"/>
      <c r="I7" s="73"/>
      <c r="J7" s="73"/>
      <c r="K7" s="73"/>
      <c r="L7" s="74"/>
      <c r="M7" s="75"/>
      <c r="N7" s="73"/>
    </row>
    <row r="8" spans="5:14" s="8" customFormat="1">
      <c r="E8" s="12">
        <f t="shared" ref="E8:E39" si="0">E7+1</f>
        <v>2</v>
      </c>
      <c r="F8" s="41" t="s">
        <v>94</v>
      </c>
      <c r="G8" s="28">
        <v>0</v>
      </c>
      <c r="H8" s="39"/>
      <c r="I8" s="45"/>
      <c r="J8" s="45"/>
      <c r="K8" s="45"/>
      <c r="L8" s="74"/>
      <c r="M8" s="75"/>
      <c r="N8" s="45"/>
    </row>
    <row r="9" spans="5:14">
      <c r="E9" s="12">
        <f t="shared" si="0"/>
        <v>3</v>
      </c>
      <c r="F9" s="41" t="s">
        <v>95</v>
      </c>
      <c r="G9" s="28">
        <v>0</v>
      </c>
      <c r="H9" s="39" t="s">
        <v>96</v>
      </c>
      <c r="I9" s="45"/>
      <c r="J9" s="45"/>
      <c r="K9" s="45"/>
      <c r="L9" s="74"/>
      <c r="M9" s="75"/>
      <c r="N9" s="45"/>
    </row>
    <row r="10" spans="5:14">
      <c r="E10" s="12">
        <f t="shared" si="0"/>
        <v>4</v>
      </c>
      <c r="F10" s="41" t="s">
        <v>97</v>
      </c>
      <c r="G10" s="28">
        <v>0</v>
      </c>
      <c r="H10" s="39" t="s">
        <v>96</v>
      </c>
      <c r="I10" s="45"/>
      <c r="J10" s="45"/>
      <c r="K10" s="45"/>
      <c r="L10" s="74"/>
      <c r="M10" s="75"/>
      <c r="N10" s="45"/>
    </row>
    <row r="11" spans="5:14">
      <c r="E11" s="12">
        <f t="shared" si="0"/>
        <v>5</v>
      </c>
      <c r="F11" s="41" t="s">
        <v>98</v>
      </c>
      <c r="G11" s="533">
        <v>0</v>
      </c>
      <c r="H11" s="39" t="s">
        <v>96</v>
      </c>
      <c r="I11" s="45"/>
      <c r="J11" s="45"/>
      <c r="K11" s="45"/>
      <c r="L11" s="74"/>
      <c r="M11" s="75"/>
      <c r="N11" s="45"/>
    </row>
    <row r="12" spans="5:14">
      <c r="E12" s="12">
        <f t="shared" si="0"/>
        <v>6</v>
      </c>
      <c r="F12" s="41" t="s">
        <v>99</v>
      </c>
      <c r="G12" s="533">
        <v>0</v>
      </c>
      <c r="H12" s="39" t="s">
        <v>100</v>
      </c>
      <c r="I12" s="45"/>
      <c r="J12" s="45"/>
      <c r="K12" s="45"/>
      <c r="L12" s="74"/>
      <c r="M12" s="75"/>
      <c r="N12" s="45"/>
    </row>
    <row r="13" spans="5:14">
      <c r="E13" s="12">
        <f t="shared" si="0"/>
        <v>7</v>
      </c>
      <c r="F13" s="41" t="s">
        <v>101</v>
      </c>
      <c r="G13" s="533">
        <v>89747.26</v>
      </c>
      <c r="H13" s="39"/>
      <c r="I13" s="45"/>
      <c r="J13" s="45"/>
      <c r="K13" s="45"/>
      <c r="L13" s="74"/>
      <c r="M13" s="75"/>
      <c r="N13" s="45"/>
    </row>
    <row r="14" spans="5:14">
      <c r="E14" s="12">
        <f t="shared" si="0"/>
        <v>8</v>
      </c>
      <c r="F14" s="41" t="s">
        <v>102</v>
      </c>
      <c r="G14" s="533">
        <v>0</v>
      </c>
      <c r="H14" s="39"/>
      <c r="I14" s="45"/>
      <c r="J14" s="45"/>
      <c r="K14" s="45"/>
      <c r="L14" s="74"/>
      <c r="M14" s="75"/>
      <c r="N14" s="45"/>
    </row>
    <row r="15" spans="5:14">
      <c r="E15" s="12">
        <f t="shared" si="0"/>
        <v>9</v>
      </c>
      <c r="F15" s="41" t="s">
        <v>103</v>
      </c>
      <c r="G15" s="533">
        <v>0</v>
      </c>
      <c r="H15" s="39"/>
      <c r="I15" s="45"/>
      <c r="J15" s="45"/>
      <c r="K15" s="45"/>
      <c r="L15" s="74"/>
      <c r="M15" s="75"/>
      <c r="N15" s="45"/>
    </row>
    <row r="16" spans="5:14">
      <c r="E16" s="12">
        <f t="shared" si="0"/>
        <v>10</v>
      </c>
      <c r="F16" s="41" t="s">
        <v>104</v>
      </c>
      <c r="G16" s="533">
        <v>0</v>
      </c>
      <c r="H16" s="39" t="s">
        <v>100</v>
      </c>
      <c r="I16" s="45"/>
      <c r="J16" s="45"/>
      <c r="K16" s="45"/>
      <c r="L16" s="74"/>
      <c r="M16" s="75"/>
      <c r="N16" s="45"/>
    </row>
    <row r="17" spans="5:16">
      <c r="E17" s="12">
        <f t="shared" si="0"/>
        <v>11</v>
      </c>
      <c r="F17" s="41" t="s">
        <v>105</v>
      </c>
      <c r="G17" s="533">
        <v>0</v>
      </c>
      <c r="H17" s="39"/>
      <c r="I17" s="45"/>
      <c r="J17" s="45"/>
      <c r="K17" s="45"/>
      <c r="L17" s="74"/>
      <c r="M17" s="75"/>
      <c r="N17" s="45"/>
    </row>
    <row r="18" spans="5:16">
      <c r="E18" s="12">
        <f t="shared" si="0"/>
        <v>12</v>
      </c>
      <c r="F18" s="41" t="s">
        <v>106</v>
      </c>
      <c r="G18" s="533">
        <v>0</v>
      </c>
      <c r="H18" s="39"/>
      <c r="I18" s="45"/>
      <c r="J18" s="45"/>
      <c r="K18" s="45"/>
      <c r="L18" s="74"/>
      <c r="M18" s="75"/>
      <c r="N18" s="45"/>
    </row>
    <row r="19" spans="5:16">
      <c r="E19" s="12">
        <f t="shared" si="0"/>
        <v>13</v>
      </c>
      <c r="F19" s="41" t="s">
        <v>107</v>
      </c>
      <c r="G19" s="533">
        <v>0</v>
      </c>
      <c r="H19" s="39"/>
      <c r="I19" s="45"/>
      <c r="J19" s="45"/>
      <c r="K19" s="45"/>
      <c r="L19" s="74"/>
      <c r="M19" s="75"/>
      <c r="N19" s="45"/>
    </row>
    <row r="20" spans="5:16">
      <c r="E20" s="12">
        <f t="shared" si="0"/>
        <v>14</v>
      </c>
      <c r="F20" s="41" t="s">
        <v>108</v>
      </c>
      <c r="G20" s="533">
        <v>0</v>
      </c>
      <c r="H20" s="39" t="s">
        <v>109</v>
      </c>
      <c r="I20" s="45"/>
      <c r="J20" s="45"/>
      <c r="K20" s="45"/>
      <c r="L20" s="74"/>
      <c r="M20" s="90"/>
      <c r="N20" s="91"/>
      <c r="O20" s="92"/>
      <c r="P20" s="92"/>
    </row>
    <row r="21" spans="5:16">
      <c r="E21" s="12">
        <f t="shared" si="0"/>
        <v>15</v>
      </c>
      <c r="F21" s="58" t="s">
        <v>191</v>
      </c>
      <c r="G21" s="533">
        <v>1768603.25</v>
      </c>
      <c r="H21" s="39"/>
      <c r="I21" s="45"/>
      <c r="J21" s="45"/>
      <c r="K21" s="45"/>
      <c r="L21" s="74"/>
      <c r="M21" s="28"/>
      <c r="N21" s="91"/>
      <c r="O21" s="513"/>
      <c r="P21" s="514"/>
    </row>
    <row r="22" spans="5:16">
      <c r="E22" s="12">
        <f t="shared" si="0"/>
        <v>16</v>
      </c>
      <c r="F22" s="41" t="s">
        <v>110</v>
      </c>
      <c r="G22" s="533">
        <v>0</v>
      </c>
      <c r="H22" s="39"/>
      <c r="I22" s="45"/>
      <c r="J22" s="45"/>
      <c r="K22" s="45"/>
      <c r="L22" s="74"/>
      <c r="M22" s="93"/>
      <c r="N22" s="512"/>
      <c r="O22" s="515"/>
      <c r="P22" s="96"/>
    </row>
    <row r="23" spans="5:16">
      <c r="E23" s="12">
        <f t="shared" si="0"/>
        <v>17</v>
      </c>
      <c r="F23" s="53" t="s">
        <v>111</v>
      </c>
      <c r="G23" s="533">
        <v>0</v>
      </c>
      <c r="H23" s="39"/>
      <c r="I23" s="45"/>
      <c r="J23" s="45"/>
      <c r="K23" s="45"/>
      <c r="L23" s="74"/>
      <c r="M23" s="93"/>
      <c r="N23" s="512"/>
      <c r="O23" s="515"/>
      <c r="P23" s="96"/>
    </row>
    <row r="24" spans="5:16">
      <c r="E24" s="12">
        <f t="shared" si="0"/>
        <v>18</v>
      </c>
      <c r="F24" s="41" t="s">
        <v>112</v>
      </c>
      <c r="G24" s="533">
        <v>0</v>
      </c>
      <c r="I24" s="45"/>
      <c r="J24" s="45"/>
      <c r="K24" s="45"/>
      <c r="L24" s="74"/>
      <c r="M24" s="93"/>
      <c r="N24" s="91"/>
      <c r="O24" s="515"/>
      <c r="P24" s="96"/>
    </row>
    <row r="25" spans="5:16">
      <c r="E25" s="12">
        <f t="shared" si="0"/>
        <v>19</v>
      </c>
      <c r="F25" s="41" t="s">
        <v>113</v>
      </c>
      <c r="G25" s="533">
        <v>0</v>
      </c>
      <c r="H25" s="39"/>
      <c r="I25" s="45"/>
      <c r="J25" s="45"/>
      <c r="K25" s="45"/>
      <c r="L25" s="74"/>
      <c r="M25" s="93"/>
      <c r="N25" s="516"/>
      <c r="O25" s="515"/>
    </row>
    <row r="26" spans="5:16">
      <c r="E26" s="12">
        <f t="shared" si="0"/>
        <v>20</v>
      </c>
      <c r="F26" s="41" t="s">
        <v>114</v>
      </c>
      <c r="G26" s="28">
        <v>0</v>
      </c>
      <c r="H26" s="39"/>
      <c r="I26" s="45"/>
      <c r="J26" s="45"/>
      <c r="K26" s="45"/>
      <c r="L26" s="74"/>
      <c r="M26" s="93"/>
      <c r="N26" s="516"/>
      <c r="O26" s="515"/>
    </row>
    <row r="27" spans="5:16">
      <c r="E27" s="12">
        <f t="shared" si="0"/>
        <v>21</v>
      </c>
      <c r="F27" s="41" t="s">
        <v>115</v>
      </c>
      <c r="G27" s="28">
        <v>0</v>
      </c>
      <c r="H27" s="39"/>
      <c r="I27" s="45"/>
      <c r="J27" s="45"/>
      <c r="K27" s="45"/>
      <c r="L27" s="74"/>
      <c r="M27" s="89"/>
      <c r="N27" s="45"/>
    </row>
    <row r="28" spans="5:16">
      <c r="E28" s="12">
        <f t="shared" si="0"/>
        <v>22</v>
      </c>
      <c r="F28" s="41" t="s">
        <v>116</v>
      </c>
      <c r="G28" s="28">
        <v>0</v>
      </c>
      <c r="H28" s="39"/>
      <c r="I28" s="45"/>
      <c r="J28" s="45"/>
      <c r="K28" s="45"/>
      <c r="L28" s="74"/>
      <c r="M28" s="75"/>
      <c r="N28" s="45"/>
    </row>
    <row r="29" spans="5:16">
      <c r="E29" s="12">
        <f t="shared" si="0"/>
        <v>23</v>
      </c>
      <c r="F29" s="41" t="s">
        <v>117</v>
      </c>
      <c r="G29" s="28">
        <v>0</v>
      </c>
      <c r="H29" s="39"/>
      <c r="I29" s="45"/>
      <c r="J29" s="45"/>
      <c r="K29" s="45"/>
      <c r="L29" s="74"/>
      <c r="M29" s="75"/>
      <c r="N29" s="45"/>
    </row>
    <row r="30" spans="5:16">
      <c r="E30" s="12">
        <f t="shared" si="0"/>
        <v>24</v>
      </c>
      <c r="F30" s="41" t="s">
        <v>118</v>
      </c>
      <c r="G30" s="28">
        <v>0</v>
      </c>
      <c r="H30" s="39"/>
      <c r="I30" s="45"/>
      <c r="J30" s="45"/>
      <c r="K30" s="45"/>
      <c r="L30" s="74"/>
      <c r="M30" s="75"/>
      <c r="N30" s="45"/>
    </row>
    <row r="31" spans="5:16">
      <c r="E31" s="12">
        <f t="shared" si="0"/>
        <v>25</v>
      </c>
      <c r="F31" s="41" t="s">
        <v>119</v>
      </c>
      <c r="G31" s="28">
        <v>0</v>
      </c>
      <c r="H31" s="39"/>
      <c r="I31" s="45"/>
      <c r="J31" s="45"/>
      <c r="K31" s="45"/>
      <c r="L31" s="74"/>
      <c r="M31" s="75"/>
      <c r="N31" s="45"/>
    </row>
    <row r="32" spans="5:16">
      <c r="E32" s="12">
        <f t="shared" si="0"/>
        <v>26</v>
      </c>
      <c r="F32" s="41" t="s">
        <v>120</v>
      </c>
      <c r="G32" s="28">
        <v>0</v>
      </c>
      <c r="H32" s="39"/>
      <c r="I32" s="45"/>
      <c r="J32" s="45"/>
      <c r="K32" s="45"/>
      <c r="L32" s="74"/>
      <c r="M32" s="75"/>
      <c r="N32" s="45"/>
    </row>
    <row r="33" spans="5:14" ht="17.25">
      <c r="E33" s="12">
        <f t="shared" si="0"/>
        <v>27</v>
      </c>
      <c r="F33" s="41" t="s">
        <v>121</v>
      </c>
      <c r="G33" s="67">
        <v>0</v>
      </c>
      <c r="H33" s="39"/>
      <c r="I33" s="76"/>
      <c r="J33" s="76"/>
      <c r="K33" s="76"/>
      <c r="L33" s="74"/>
      <c r="M33" s="75"/>
      <c r="N33" s="76"/>
    </row>
    <row r="34" spans="5:14">
      <c r="E34" s="12">
        <f t="shared" si="0"/>
        <v>28</v>
      </c>
      <c r="F34" s="39"/>
      <c r="H34" s="39"/>
      <c r="I34" s="56"/>
      <c r="J34" s="56"/>
      <c r="K34" s="56"/>
      <c r="N34" s="56"/>
    </row>
    <row r="35" spans="5:14" ht="17.25">
      <c r="E35" s="12">
        <f t="shared" si="0"/>
        <v>29</v>
      </c>
      <c r="F35" s="58" t="s">
        <v>74</v>
      </c>
      <c r="G35" s="279">
        <f>SUM(G7:G34)</f>
        <v>1888463.51</v>
      </c>
      <c r="H35" s="39" t="s">
        <v>122</v>
      </c>
      <c r="I35" s="56"/>
      <c r="J35" s="56"/>
      <c r="K35" s="56"/>
      <c r="N35" s="56"/>
    </row>
    <row r="36" spans="5:14">
      <c r="E36" s="12">
        <f t="shared" si="0"/>
        <v>30</v>
      </c>
      <c r="F36" s="41"/>
      <c r="H36" s="39"/>
      <c r="I36" s="56"/>
      <c r="J36" s="56"/>
      <c r="K36" s="56"/>
      <c r="N36" s="56"/>
    </row>
    <row r="37" spans="5:14" ht="17.25">
      <c r="E37" s="12">
        <f t="shared" si="0"/>
        <v>31</v>
      </c>
      <c r="F37" s="59" t="s">
        <v>125</v>
      </c>
      <c r="G37" s="530">
        <v>1793000</v>
      </c>
      <c r="H37" s="522"/>
      <c r="I37" s="77"/>
      <c r="J37" s="77"/>
      <c r="K37" s="77"/>
      <c r="N37" s="77"/>
    </row>
    <row r="38" spans="5:14">
      <c r="E38" s="12">
        <f t="shared" si="0"/>
        <v>32</v>
      </c>
      <c r="F38" s="48"/>
      <c r="G38" s="18"/>
      <c r="H38" s="39"/>
      <c r="I38" s="78"/>
      <c r="J38" s="78"/>
      <c r="K38" s="78"/>
      <c r="N38" s="78"/>
    </row>
    <row r="39" spans="5:14" ht="17.25">
      <c r="E39" s="12">
        <f t="shared" si="0"/>
        <v>33</v>
      </c>
      <c r="F39" s="59" t="s">
        <v>189</v>
      </c>
      <c r="G39" s="35">
        <f>G35-G37</f>
        <v>95463.510000000009</v>
      </c>
      <c r="H39" s="39"/>
      <c r="I39" s="79"/>
      <c r="J39" s="80"/>
      <c r="K39" s="79"/>
      <c r="N39" s="80"/>
    </row>
    <row r="40" spans="5:14" ht="17.25">
      <c r="E40" s="12">
        <f t="shared" ref="E40:E41" si="1">E39+1</f>
        <v>34</v>
      </c>
      <c r="F40" s="48"/>
      <c r="G40" s="35"/>
      <c r="H40" s="39"/>
      <c r="I40" s="79"/>
      <c r="J40" s="80"/>
      <c r="K40" s="79"/>
      <c r="N40" s="80"/>
    </row>
    <row r="41" spans="5:14">
      <c r="E41" s="12">
        <f t="shared" si="1"/>
        <v>35</v>
      </c>
      <c r="F41" s="22" t="s">
        <v>54</v>
      </c>
      <c r="G41" s="10">
        <v>0</v>
      </c>
      <c r="H41" s="39" t="s">
        <v>100</v>
      </c>
      <c r="N41" s="68"/>
    </row>
    <row r="42" spans="5:14" ht="7.5" customHeight="1">
      <c r="E42" s="12"/>
      <c r="F42" s="25"/>
      <c r="G42" s="30"/>
      <c r="H42" s="85"/>
      <c r="N42" s="68"/>
    </row>
    <row r="43" spans="5:14" ht="7.5" customHeight="1"/>
    <row r="46" spans="5:14">
      <c r="F46" s="57"/>
      <c r="H46" s="47"/>
      <c r="I46" s="75"/>
      <c r="J46" s="74"/>
      <c r="N46" s="82"/>
    </row>
    <row r="47" spans="5:14">
      <c r="F47" s="41"/>
      <c r="H47" s="47"/>
      <c r="I47" s="75"/>
      <c r="J47" s="74"/>
      <c r="N47" s="82"/>
    </row>
    <row r="48" spans="5:14">
      <c r="F48" s="53"/>
      <c r="H48" s="47"/>
      <c r="I48" s="75"/>
      <c r="J48" s="74"/>
      <c r="N48" s="82"/>
    </row>
    <row r="49" spans="6:14">
      <c r="F49" s="41"/>
      <c r="H49" s="47"/>
      <c r="I49" s="75"/>
      <c r="J49" s="74"/>
      <c r="N49" s="82"/>
    </row>
    <row r="50" spans="6:14">
      <c r="F50" s="54"/>
      <c r="H50" s="47"/>
      <c r="I50" s="75"/>
      <c r="J50" s="74"/>
      <c r="N50" s="83"/>
    </row>
    <row r="51" spans="6:14">
      <c r="F51" s="51"/>
      <c r="H51" s="47"/>
      <c r="I51" s="75"/>
      <c r="J51" s="74"/>
      <c r="N51" s="82"/>
    </row>
    <row r="52" spans="6:14">
      <c r="F52" s="41"/>
      <c r="H52" s="39"/>
      <c r="I52" s="75"/>
      <c r="N52" s="71"/>
    </row>
    <row r="53" spans="6:14">
      <c r="F53" s="41"/>
      <c r="H53" s="47"/>
      <c r="J53" s="45"/>
      <c r="N53" s="71"/>
    </row>
    <row r="54" spans="6:14">
      <c r="F54" s="41"/>
      <c r="H54" s="39"/>
      <c r="N54" s="71"/>
    </row>
    <row r="55" spans="6:14">
      <c r="F55" s="41"/>
      <c r="H55" s="39"/>
      <c r="N55" s="71"/>
    </row>
  </sheetData>
  <printOptions horizontalCentered="1" verticalCentered="1"/>
  <pageMargins left="0.45" right="0.45" top="0.5" bottom="0.25" header="0.3" footer="0.3"/>
  <pageSetup scale="92" orientation="landscape" r:id="rId1"/>
  <headerFooter>
    <oddHeader>&amp;L&amp;"-,Bold"&amp;12Central Minnesota Municipal Power Agency
2014 Attachment O Workpapers&amp;R&amp;"-,Bold"&amp;12Exhibit CMMPA-11
Page 10 of 13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U42"/>
  <sheetViews>
    <sheetView showGridLines="0" zoomScale="80" zoomScaleNormal="80" workbookViewId="0">
      <selection activeCell="F6" sqref="F6"/>
    </sheetView>
  </sheetViews>
  <sheetFormatPr defaultRowHeight="15"/>
  <cols>
    <col min="1" max="2" width="9.140625" style="4"/>
    <col min="3" max="4" width="2" style="4" customWidth="1"/>
    <col min="5" max="5" width="9.140625" style="4"/>
    <col min="6" max="6" width="57.7109375" style="4" customWidth="1"/>
    <col min="7" max="7" width="11.5703125" style="4" bestFit="1" customWidth="1"/>
    <col min="8" max="8" width="17.7109375" style="4" bestFit="1" customWidth="1"/>
    <col min="9" max="9" width="40.5703125" style="4" customWidth="1"/>
    <col min="10" max="11" width="1.5703125" style="4" customWidth="1"/>
    <col min="12" max="19" width="9.140625" style="4"/>
    <col min="20" max="21" width="11.5703125" style="4" bestFit="1" customWidth="1"/>
    <col min="22" max="16384" width="9.140625" style="4"/>
  </cols>
  <sheetData>
    <row r="1" spans="5:21" ht="5.25" customHeight="1"/>
    <row r="2" spans="5:21" ht="5.25" customHeight="1"/>
    <row r="3" spans="5:21" ht="15.75">
      <c r="E3" s="627" t="str">
        <f>Coversheet!D3</f>
        <v>Central Minnesota Municipal PowerAgency</v>
      </c>
      <c r="F3" s="627"/>
      <c r="G3" s="3"/>
      <c r="H3" s="3"/>
    </row>
    <row r="4" spans="5:21" ht="15.75">
      <c r="E4" s="98"/>
      <c r="F4" s="84" t="s">
        <v>124</v>
      </c>
      <c r="G4" s="3"/>
      <c r="H4" s="3"/>
    </row>
    <row r="5" spans="5:21" ht="15.75">
      <c r="E5" s="627" t="str">
        <f>SubmissionType</f>
        <v>Actual 12 Months Ended December 31, 2016</v>
      </c>
      <c r="F5" s="627"/>
      <c r="G5" s="6"/>
    </row>
    <row r="6" spans="5:21" ht="15.75">
      <c r="E6" s="3"/>
      <c r="F6" s="3"/>
      <c r="G6" s="3"/>
      <c r="H6" s="6"/>
    </row>
    <row r="7" spans="5:21" s="8" customFormat="1" ht="35.25" customHeight="1">
      <c r="E7" s="7" t="s">
        <v>0</v>
      </c>
      <c r="F7" s="7" t="s">
        <v>75</v>
      </c>
      <c r="G7" s="7" t="s">
        <v>2</v>
      </c>
      <c r="H7" s="7" t="s">
        <v>816</v>
      </c>
    </row>
    <row r="8" spans="5:21">
      <c r="E8" s="12">
        <v>1</v>
      </c>
      <c r="F8" s="41" t="s">
        <v>78</v>
      </c>
      <c r="G8" s="40"/>
      <c r="H8" s="534">
        <v>837230.52</v>
      </c>
      <c r="T8" s="42"/>
      <c r="U8" s="42"/>
    </row>
    <row r="9" spans="5:21">
      <c r="E9" s="12">
        <f>E8+1</f>
        <v>2</v>
      </c>
      <c r="F9" s="41" t="s">
        <v>79</v>
      </c>
      <c r="G9" s="40"/>
      <c r="H9" s="60">
        <v>244047.14</v>
      </c>
      <c r="T9" s="43"/>
      <c r="U9" s="43"/>
    </row>
    <row r="10" spans="5:21">
      <c r="E10" s="12">
        <f t="shared" ref="E10:E31" si="0">E9+1</f>
        <v>3</v>
      </c>
      <c r="F10" s="41" t="s">
        <v>80</v>
      </c>
      <c r="G10" s="40"/>
      <c r="H10" s="60">
        <v>0</v>
      </c>
      <c r="T10" s="43"/>
      <c r="U10" s="43"/>
    </row>
    <row r="11" spans="5:21">
      <c r="E11" s="12">
        <f t="shared" si="0"/>
        <v>4</v>
      </c>
      <c r="F11" s="41" t="s">
        <v>81</v>
      </c>
      <c r="G11" s="40"/>
      <c r="H11" s="60">
        <v>353328.95</v>
      </c>
      <c r="T11" s="43"/>
      <c r="U11" s="43"/>
    </row>
    <row r="12" spans="5:21">
      <c r="E12" s="12">
        <f t="shared" si="0"/>
        <v>5</v>
      </c>
      <c r="F12" s="41" t="s">
        <v>82</v>
      </c>
      <c r="G12" s="40"/>
      <c r="H12" s="60">
        <v>23638.58</v>
      </c>
      <c r="T12" s="43"/>
      <c r="U12" s="43"/>
    </row>
    <row r="13" spans="5:21">
      <c r="E13" s="12">
        <f t="shared" si="0"/>
        <v>6</v>
      </c>
      <c r="F13" s="41" t="s">
        <v>83</v>
      </c>
      <c r="G13" s="40"/>
      <c r="H13" s="60">
        <v>0</v>
      </c>
      <c r="T13" s="60"/>
      <c r="U13" s="60"/>
    </row>
    <row r="14" spans="5:21">
      <c r="E14" s="12">
        <f t="shared" si="0"/>
        <v>7</v>
      </c>
      <c r="F14" s="41" t="s">
        <v>84</v>
      </c>
      <c r="G14" s="40"/>
      <c r="H14" s="60">
        <f>-39460.92+391922.92</f>
        <v>352462</v>
      </c>
      <c r="T14" s="43"/>
      <c r="U14" s="43"/>
    </row>
    <row r="15" spans="5:21">
      <c r="E15" s="12">
        <f t="shared" si="0"/>
        <v>8</v>
      </c>
      <c r="F15" s="41" t="s">
        <v>85</v>
      </c>
      <c r="G15" s="40"/>
      <c r="H15" s="60">
        <v>0</v>
      </c>
      <c r="T15" s="43"/>
      <c r="U15" s="43"/>
    </row>
    <row r="16" spans="5:21">
      <c r="E16" s="12">
        <f t="shared" si="0"/>
        <v>9</v>
      </c>
      <c r="F16" s="41" t="s">
        <v>86</v>
      </c>
      <c r="G16" s="40"/>
      <c r="H16" s="60">
        <v>0</v>
      </c>
      <c r="T16" s="43"/>
      <c r="U16" s="43"/>
    </row>
    <row r="17" spans="5:21">
      <c r="E17" s="12">
        <f t="shared" si="0"/>
        <v>10</v>
      </c>
      <c r="F17" s="41" t="s">
        <v>87</v>
      </c>
      <c r="G17" s="40"/>
      <c r="H17" s="60">
        <v>0</v>
      </c>
      <c r="T17" s="43"/>
      <c r="U17" s="43"/>
    </row>
    <row r="18" spans="5:21">
      <c r="E18" s="12">
        <f t="shared" si="0"/>
        <v>11</v>
      </c>
      <c r="F18" s="41" t="s">
        <v>88</v>
      </c>
      <c r="G18" s="40"/>
      <c r="H18" s="535">
        <v>15316.34</v>
      </c>
      <c r="T18" s="44"/>
      <c r="U18" s="44"/>
    </row>
    <row r="19" spans="5:21">
      <c r="E19" s="12">
        <f t="shared" si="0"/>
        <v>12</v>
      </c>
      <c r="F19" s="41" t="s">
        <v>89</v>
      </c>
      <c r="G19" s="39"/>
      <c r="H19" s="535">
        <v>100564.25</v>
      </c>
      <c r="T19" s="44"/>
      <c r="U19" s="44"/>
    </row>
    <row r="20" spans="5:21">
      <c r="E20" s="12">
        <f t="shared" si="0"/>
        <v>13</v>
      </c>
      <c r="F20" s="41" t="s">
        <v>90</v>
      </c>
      <c r="G20" s="39"/>
      <c r="H20" s="45"/>
      <c r="T20" s="45"/>
      <c r="U20" s="45"/>
    </row>
    <row r="21" spans="5:21">
      <c r="E21" s="12">
        <f t="shared" si="0"/>
        <v>14</v>
      </c>
      <c r="F21" s="41" t="s">
        <v>91</v>
      </c>
      <c r="G21" s="39"/>
      <c r="H21" s="46">
        <v>39669.199999999997</v>
      </c>
      <c r="T21" s="46"/>
      <c r="U21" s="46"/>
    </row>
    <row r="22" spans="5:21">
      <c r="E22" s="12">
        <f t="shared" si="0"/>
        <v>15</v>
      </c>
      <c r="F22" s="38" t="s">
        <v>77</v>
      </c>
      <c r="G22" s="39"/>
      <c r="H22" s="46">
        <f>SUM(H8:H21)</f>
        <v>1966256.9800000002</v>
      </c>
      <c r="I22" s="39" t="s">
        <v>134</v>
      </c>
      <c r="T22" s="46"/>
      <c r="U22" s="46"/>
    </row>
    <row r="23" spans="5:21">
      <c r="E23" s="12">
        <f t="shared" si="0"/>
        <v>16</v>
      </c>
      <c r="F23" s="39"/>
      <c r="G23" s="39"/>
      <c r="H23" s="47"/>
      <c r="U23" s="28"/>
    </row>
    <row r="24" spans="5:21">
      <c r="E24" s="12">
        <f t="shared" si="0"/>
        <v>17</v>
      </c>
      <c r="F24" s="59" t="s">
        <v>123</v>
      </c>
      <c r="G24" s="39"/>
      <c r="H24" s="49">
        <v>1945365</v>
      </c>
    </row>
    <row r="25" spans="5:21">
      <c r="E25" s="12">
        <f t="shared" si="0"/>
        <v>18</v>
      </c>
      <c r="F25" s="48"/>
      <c r="G25" s="39"/>
      <c r="H25" s="50"/>
    </row>
    <row r="26" spans="5:21">
      <c r="E26" s="12">
        <f t="shared" si="0"/>
        <v>19</v>
      </c>
      <c r="F26" s="59" t="s">
        <v>189</v>
      </c>
      <c r="G26" s="39"/>
      <c r="H26" s="61">
        <f>H24-H22</f>
        <v>-20891.980000000214</v>
      </c>
    </row>
    <row r="27" spans="5:21">
      <c r="E27" s="12">
        <f t="shared" si="0"/>
        <v>20</v>
      </c>
      <c r="F27" s="48"/>
      <c r="G27" s="39"/>
      <c r="H27" s="61"/>
    </row>
    <row r="28" spans="5:21">
      <c r="E28" s="12">
        <f t="shared" si="0"/>
        <v>21</v>
      </c>
      <c r="F28" s="62" t="s">
        <v>184</v>
      </c>
      <c r="G28" s="52"/>
      <c r="H28" s="51"/>
    </row>
    <row r="29" spans="5:21">
      <c r="E29" s="12">
        <f t="shared" si="0"/>
        <v>22</v>
      </c>
      <c r="F29" s="22" t="s">
        <v>55</v>
      </c>
      <c r="G29" s="12"/>
      <c r="H29" s="10">
        <v>0</v>
      </c>
      <c r="I29" s="39" t="s">
        <v>137</v>
      </c>
      <c r="L29" s="39"/>
    </row>
    <row r="30" spans="5:21">
      <c r="E30" s="12">
        <f t="shared" si="0"/>
        <v>23</v>
      </c>
      <c r="F30" s="22" t="s">
        <v>56</v>
      </c>
      <c r="H30" s="10">
        <f>H18+H16</f>
        <v>15316.34</v>
      </c>
      <c r="I30" s="39" t="s">
        <v>136</v>
      </c>
    </row>
    <row r="31" spans="5:21">
      <c r="E31" s="12">
        <f t="shared" si="0"/>
        <v>24</v>
      </c>
      <c r="F31" s="22" t="s">
        <v>57</v>
      </c>
      <c r="H31" s="10">
        <f>H16</f>
        <v>0</v>
      </c>
      <c r="I31" s="39" t="s">
        <v>135</v>
      </c>
    </row>
    <row r="32" spans="5:21" ht="6" customHeight="1"/>
    <row r="33" spans="8:9" ht="6" customHeight="1"/>
    <row r="36" spans="8:9">
      <c r="H36" s="96"/>
      <c r="I36" s="28"/>
    </row>
    <row r="37" spans="8:9">
      <c r="H37" s="96"/>
    </row>
    <row r="38" spans="8:9">
      <c r="H38" s="96"/>
    </row>
    <row r="39" spans="8:9">
      <c r="H39" s="96"/>
    </row>
    <row r="41" spans="8:9">
      <c r="H41" s="96"/>
    </row>
    <row r="42" spans="8:9">
      <c r="H42" s="96"/>
    </row>
  </sheetData>
  <mergeCells count="2">
    <mergeCell ref="E3:F3"/>
    <mergeCell ref="E5:F5"/>
  </mergeCells>
  <printOptions horizontalCentered="1" verticalCentered="1"/>
  <pageMargins left="0.2" right="0.2" top="0.5" bottom="0.5" header="0.3" footer="0.3"/>
  <pageSetup scale="96" orientation="landscape" r:id="rId1"/>
  <headerFooter>
    <oddHeader>&amp;L&amp;"-,Bold"&amp;12Central Minnesota Municipal Power Agency
2014 Attachment O Workpapers&amp;R&amp;"-,Bold"&amp;12Exhibit CMMPA-11
Page 11 of 13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P45"/>
  <sheetViews>
    <sheetView showGridLines="0" zoomScale="80" zoomScaleNormal="80" zoomScalePageLayoutView="70" workbookViewId="0">
      <selection activeCell="D5" sqref="D5:F5"/>
    </sheetView>
  </sheetViews>
  <sheetFormatPr defaultRowHeight="15"/>
  <cols>
    <col min="1" max="1" width="9.140625" style="4"/>
    <col min="2" max="3" width="1.140625" style="4" customWidth="1"/>
    <col min="4" max="4" width="9.140625" style="4"/>
    <col min="5" max="5" width="79.28515625" style="4" bestFit="1" customWidth="1"/>
    <col min="6" max="6" width="8" style="4" customWidth="1"/>
    <col min="7" max="7" width="19.85546875" style="4" customWidth="1"/>
    <col min="8" max="8" width="21" style="4" customWidth="1"/>
    <col min="9" max="10" width="1.85546875" style="4" customWidth="1"/>
    <col min="11" max="16384" width="9.140625" style="4"/>
  </cols>
  <sheetData>
    <row r="3" spans="4:8" ht="3" customHeight="1"/>
    <row r="4" spans="4:8" ht="3" customHeight="1"/>
    <row r="5" spans="4:8" ht="15.75">
      <c r="D5" s="627" t="str">
        <f>Coversheet!D3</f>
        <v>Central Minnesota Municipal PowerAgency</v>
      </c>
      <c r="E5" s="627"/>
      <c r="F5" s="627"/>
      <c r="G5" s="3"/>
    </row>
    <row r="6" spans="4:8" ht="15.75">
      <c r="D6" s="5"/>
      <c r="E6" s="84" t="s">
        <v>159</v>
      </c>
      <c r="F6" s="3"/>
      <c r="G6" s="3"/>
    </row>
    <row r="7" spans="4:8" ht="15.75">
      <c r="D7" s="627" t="str">
        <f>SubmissionType</f>
        <v>Actual 12 Months Ended December 31, 2016</v>
      </c>
      <c r="E7" s="627"/>
      <c r="F7" s="6"/>
    </row>
    <row r="8" spans="4:8" ht="15.75">
      <c r="D8" s="3"/>
      <c r="E8" s="3"/>
      <c r="F8" s="3"/>
      <c r="G8" s="6"/>
    </row>
    <row r="9" spans="4:8" s="8" customFormat="1" ht="35.25" customHeight="1">
      <c r="D9" s="7" t="s">
        <v>0</v>
      </c>
      <c r="E9" s="7" t="s">
        <v>53</v>
      </c>
      <c r="F9" s="7" t="s">
        <v>2</v>
      </c>
      <c r="G9" s="7" t="s">
        <v>817</v>
      </c>
    </row>
    <row r="10" spans="4:8">
      <c r="D10" s="12">
        <v>1</v>
      </c>
      <c r="E10" s="22" t="s">
        <v>55</v>
      </c>
      <c r="F10" s="12">
        <f t="shared" ref="F10:F21" si="0">CurrentYear</f>
        <v>2016</v>
      </c>
      <c r="G10" s="10">
        <v>0</v>
      </c>
      <c r="H10" s="39" t="s">
        <v>137</v>
      </c>
    </row>
    <row r="11" spans="4:8">
      <c r="D11" s="12">
        <f>D10+1</f>
        <v>2</v>
      </c>
      <c r="E11" s="22" t="s">
        <v>58</v>
      </c>
      <c r="F11" s="12">
        <f t="shared" si="0"/>
        <v>2016</v>
      </c>
      <c r="G11" s="10">
        <v>0</v>
      </c>
      <c r="H11" s="39" t="s">
        <v>146</v>
      </c>
    </row>
    <row r="12" spans="4:8">
      <c r="D12" s="12">
        <f t="shared" ref="D12:D43" si="1">D11+1</f>
        <v>3</v>
      </c>
      <c r="E12" s="22" t="s">
        <v>59</v>
      </c>
      <c r="F12" s="12">
        <f t="shared" si="0"/>
        <v>2016</v>
      </c>
      <c r="G12" s="30">
        <v>0</v>
      </c>
      <c r="H12" s="39" t="s">
        <v>147</v>
      </c>
    </row>
    <row r="13" spans="4:8">
      <c r="D13" s="12">
        <f t="shared" si="1"/>
        <v>4</v>
      </c>
      <c r="E13" s="22" t="s">
        <v>60</v>
      </c>
      <c r="F13" s="12">
        <f t="shared" si="0"/>
        <v>2016</v>
      </c>
      <c r="G13" s="30">
        <v>638579</v>
      </c>
      <c r="H13" s="39" t="s">
        <v>148</v>
      </c>
    </row>
    <row r="14" spans="4:8">
      <c r="D14" s="12">
        <f t="shared" si="1"/>
        <v>5</v>
      </c>
      <c r="E14" s="22" t="s">
        <v>61</v>
      </c>
      <c r="F14" s="12">
        <f t="shared" si="0"/>
        <v>2016</v>
      </c>
      <c r="G14" s="30">
        <v>147086</v>
      </c>
      <c r="H14" s="39" t="s">
        <v>149</v>
      </c>
    </row>
    <row r="15" spans="4:8">
      <c r="D15" s="12">
        <f t="shared" si="1"/>
        <v>6</v>
      </c>
      <c r="E15" s="22" t="s">
        <v>62</v>
      </c>
      <c r="F15" s="12">
        <f t="shared" si="0"/>
        <v>2016</v>
      </c>
      <c r="G15" s="30">
        <v>0</v>
      </c>
      <c r="H15" s="39" t="s">
        <v>150</v>
      </c>
    </row>
    <row r="16" spans="4:8">
      <c r="D16" s="12">
        <f t="shared" si="1"/>
        <v>7</v>
      </c>
      <c r="E16" s="22" t="s">
        <v>63</v>
      </c>
      <c r="F16" s="12">
        <f t="shared" si="0"/>
        <v>2016</v>
      </c>
      <c r="G16" s="30">
        <v>0</v>
      </c>
      <c r="H16" s="39" t="s">
        <v>151</v>
      </c>
    </row>
    <row r="17" spans="4:8">
      <c r="D17" s="12">
        <f t="shared" si="1"/>
        <v>8</v>
      </c>
      <c r="E17" s="22" t="s">
        <v>64</v>
      </c>
      <c r="F17" s="12">
        <f t="shared" si="0"/>
        <v>2016</v>
      </c>
      <c r="G17" s="30">
        <v>0</v>
      </c>
      <c r="H17" s="39" t="s">
        <v>152</v>
      </c>
    </row>
    <row r="18" spans="4:8">
      <c r="D18" s="12">
        <f t="shared" si="1"/>
        <v>9</v>
      </c>
      <c r="E18" s="22" t="s">
        <v>65</v>
      </c>
      <c r="F18" s="12">
        <f t="shared" si="0"/>
        <v>2016</v>
      </c>
      <c r="G18" s="30">
        <v>14216</v>
      </c>
      <c r="H18" s="39" t="s">
        <v>153</v>
      </c>
    </row>
    <row r="19" spans="4:8">
      <c r="D19" s="12">
        <f t="shared" si="1"/>
        <v>10</v>
      </c>
      <c r="E19" s="22" t="s">
        <v>66</v>
      </c>
      <c r="F19" s="12">
        <f t="shared" si="0"/>
        <v>2016</v>
      </c>
      <c r="G19" s="30">
        <v>0</v>
      </c>
      <c r="H19" s="39" t="s">
        <v>154</v>
      </c>
    </row>
    <row r="20" spans="4:8">
      <c r="D20" s="12">
        <f t="shared" si="1"/>
        <v>11</v>
      </c>
      <c r="E20" s="22" t="s">
        <v>67</v>
      </c>
      <c r="F20" s="12">
        <f t="shared" si="0"/>
        <v>2016</v>
      </c>
      <c r="G20" s="30">
        <v>0</v>
      </c>
      <c r="H20" s="39" t="s">
        <v>155</v>
      </c>
    </row>
    <row r="21" spans="4:8">
      <c r="D21" s="12">
        <f t="shared" si="1"/>
        <v>12</v>
      </c>
      <c r="E21" s="22" t="s">
        <v>68</v>
      </c>
      <c r="F21" s="12">
        <f t="shared" si="0"/>
        <v>2016</v>
      </c>
      <c r="G21" s="30">
        <v>0</v>
      </c>
      <c r="H21" s="39" t="s">
        <v>156</v>
      </c>
    </row>
    <row r="22" spans="4:8">
      <c r="D22" s="12">
        <f t="shared" si="1"/>
        <v>13</v>
      </c>
      <c r="E22" s="22"/>
      <c r="F22" s="12"/>
      <c r="G22" s="30"/>
      <c r="H22" s="39"/>
    </row>
    <row r="23" spans="4:8">
      <c r="D23" s="12">
        <f>D21+1</f>
        <v>13</v>
      </c>
      <c r="E23" s="22" t="s">
        <v>126</v>
      </c>
      <c r="F23" s="12">
        <f t="shared" ref="F23:F29" si="2">CurrentYear</f>
        <v>2016</v>
      </c>
      <c r="G23" s="30">
        <f>132576+1454639.93</f>
        <v>1587215.93</v>
      </c>
      <c r="H23" s="39" t="s">
        <v>157</v>
      </c>
    </row>
    <row r="24" spans="4:8">
      <c r="D24" s="12">
        <f t="shared" si="1"/>
        <v>14</v>
      </c>
      <c r="E24" s="22" t="s">
        <v>127</v>
      </c>
      <c r="F24" s="12">
        <f t="shared" si="2"/>
        <v>2016</v>
      </c>
      <c r="G24" s="30">
        <v>0</v>
      </c>
      <c r="H24" s="39" t="s">
        <v>157</v>
      </c>
    </row>
    <row r="25" spans="4:8">
      <c r="D25" s="12">
        <f t="shared" si="1"/>
        <v>15</v>
      </c>
      <c r="E25" s="22" t="s">
        <v>128</v>
      </c>
      <c r="F25" s="12">
        <f t="shared" si="2"/>
        <v>2016</v>
      </c>
      <c r="G25" s="30">
        <v>0</v>
      </c>
      <c r="H25" s="39" t="s">
        <v>157</v>
      </c>
    </row>
    <row r="26" spans="4:8">
      <c r="D26" s="12">
        <f t="shared" si="1"/>
        <v>16</v>
      </c>
      <c r="E26" s="22" t="s">
        <v>129</v>
      </c>
      <c r="F26" s="12">
        <f t="shared" si="2"/>
        <v>2016</v>
      </c>
      <c r="G26" s="30">
        <f>-11048*12</f>
        <v>-132576</v>
      </c>
      <c r="H26" s="39" t="s">
        <v>157</v>
      </c>
    </row>
    <row r="27" spans="4:8">
      <c r="D27" s="12">
        <f t="shared" si="1"/>
        <v>17</v>
      </c>
      <c r="E27" s="22" t="s">
        <v>130</v>
      </c>
      <c r="F27" s="12">
        <f t="shared" si="2"/>
        <v>2016</v>
      </c>
      <c r="G27" s="30">
        <v>0</v>
      </c>
      <c r="H27" s="39" t="s">
        <v>157</v>
      </c>
    </row>
    <row r="28" spans="4:8">
      <c r="D28" s="12">
        <f t="shared" si="1"/>
        <v>18</v>
      </c>
      <c r="E28" s="22" t="s">
        <v>131</v>
      </c>
      <c r="F28" s="12">
        <f t="shared" si="2"/>
        <v>2016</v>
      </c>
      <c r="G28" s="30">
        <v>0</v>
      </c>
      <c r="H28" s="39" t="s">
        <v>157</v>
      </c>
    </row>
    <row r="29" spans="4:8" ht="17.25">
      <c r="D29" s="12">
        <f t="shared" si="1"/>
        <v>19</v>
      </c>
      <c r="E29" s="22" t="s">
        <v>132</v>
      </c>
      <c r="F29" s="12">
        <f t="shared" si="2"/>
        <v>2016</v>
      </c>
      <c r="G29" s="536">
        <v>-381</v>
      </c>
      <c r="H29" s="39" t="s">
        <v>157</v>
      </c>
    </row>
    <row r="30" spans="4:8" ht="17.25">
      <c r="D30" s="12">
        <f t="shared" si="1"/>
        <v>20</v>
      </c>
      <c r="E30" s="12" t="s">
        <v>165</v>
      </c>
      <c r="F30" s="12"/>
      <c r="G30" s="537">
        <f>SUM(G23:G29)</f>
        <v>1454258.93</v>
      </c>
      <c r="H30" s="39" t="s">
        <v>157</v>
      </c>
    </row>
    <row r="31" spans="4:8">
      <c r="D31" s="12">
        <f t="shared" si="1"/>
        <v>21</v>
      </c>
      <c r="E31" s="22"/>
      <c r="F31" s="12"/>
      <c r="G31" s="30"/>
      <c r="H31" s="39"/>
    </row>
    <row r="32" spans="4:8">
      <c r="D32" s="12">
        <f>D29+1</f>
        <v>20</v>
      </c>
      <c r="E32" s="22" t="s">
        <v>133</v>
      </c>
      <c r="F32" s="12">
        <f>CurrentYear</f>
        <v>2016</v>
      </c>
      <c r="G32" s="30">
        <v>0</v>
      </c>
      <c r="H32" s="39" t="s">
        <v>158</v>
      </c>
    </row>
    <row r="33" spans="4:16">
      <c r="D33" s="12">
        <f t="shared" si="1"/>
        <v>21</v>
      </c>
      <c r="E33" s="22" t="s">
        <v>160</v>
      </c>
      <c r="F33" s="12"/>
      <c r="G33" s="30"/>
      <c r="H33" s="39"/>
    </row>
    <row r="34" spans="4:16">
      <c r="D34" s="12">
        <f t="shared" si="1"/>
        <v>22</v>
      </c>
      <c r="E34" s="22" t="s">
        <v>161</v>
      </c>
      <c r="F34" s="12">
        <f>CurrentYear</f>
        <v>2016</v>
      </c>
      <c r="G34" s="30">
        <v>6090419.6600000001</v>
      </c>
      <c r="H34" s="522" t="s">
        <v>138</v>
      </c>
      <c r="I34" s="523"/>
      <c r="J34" s="523"/>
      <c r="K34" s="523"/>
      <c r="L34" s="523"/>
      <c r="M34" s="523"/>
      <c r="N34" s="523"/>
      <c r="O34" s="523"/>
      <c r="P34" s="523"/>
    </row>
    <row r="35" spans="4:16">
      <c r="D35" s="12">
        <f t="shared" si="1"/>
        <v>23</v>
      </c>
      <c r="E35" s="22" t="s">
        <v>162</v>
      </c>
      <c r="F35" s="12">
        <f>CurrentYear</f>
        <v>2016</v>
      </c>
      <c r="G35" s="30">
        <v>0</v>
      </c>
      <c r="H35" s="522" t="s">
        <v>139</v>
      </c>
      <c r="I35" s="523"/>
      <c r="J35" s="523"/>
      <c r="K35" s="523"/>
      <c r="L35" s="523"/>
      <c r="M35" s="523"/>
      <c r="N35" s="523"/>
      <c r="O35" s="523"/>
      <c r="P35" s="523"/>
    </row>
    <row r="36" spans="4:16">
      <c r="D36" s="12">
        <f t="shared" si="1"/>
        <v>24</v>
      </c>
      <c r="E36" s="22" t="s">
        <v>163</v>
      </c>
      <c r="F36" s="12">
        <f>CurrentYear</f>
        <v>2016</v>
      </c>
      <c r="G36" s="30">
        <v>0</v>
      </c>
      <c r="H36" s="522" t="s">
        <v>140</v>
      </c>
      <c r="I36" s="523"/>
      <c r="J36" s="523"/>
      <c r="K36" s="523"/>
      <c r="L36" s="523"/>
      <c r="M36" s="523"/>
      <c r="N36" s="523"/>
      <c r="O36" s="523"/>
      <c r="P36" s="523"/>
    </row>
    <row r="37" spans="4:16">
      <c r="D37" s="12">
        <f t="shared" si="1"/>
        <v>25</v>
      </c>
      <c r="E37" s="22" t="s">
        <v>164</v>
      </c>
      <c r="F37" s="12">
        <f>CurrentYear</f>
        <v>2016</v>
      </c>
      <c r="G37" s="30">
        <f>G34</f>
        <v>6090419.6600000001</v>
      </c>
      <c r="H37" s="522" t="s">
        <v>141</v>
      </c>
      <c r="I37" s="523"/>
      <c r="J37" s="523"/>
      <c r="K37" s="523"/>
      <c r="L37" s="523"/>
      <c r="M37" s="523"/>
      <c r="N37" s="523"/>
      <c r="O37" s="523"/>
      <c r="P37" s="523"/>
    </row>
    <row r="38" spans="4:16">
      <c r="D38" s="12">
        <f t="shared" si="1"/>
        <v>26</v>
      </c>
      <c r="E38" s="22"/>
      <c r="F38" s="12"/>
      <c r="G38" s="30"/>
      <c r="H38" s="39"/>
    </row>
    <row r="39" spans="4:16">
      <c r="D39" s="12">
        <f t="shared" si="1"/>
        <v>27</v>
      </c>
      <c r="E39" s="15" t="s">
        <v>69</v>
      </c>
      <c r="F39" s="12"/>
      <c r="G39" s="538"/>
    </row>
    <row r="40" spans="4:16">
      <c r="D40" s="12">
        <f t="shared" si="1"/>
        <v>28</v>
      </c>
      <c r="E40" s="24" t="s">
        <v>70</v>
      </c>
      <c r="F40" s="12">
        <f>CurrentYear</f>
        <v>2016</v>
      </c>
      <c r="G40" s="30">
        <v>0</v>
      </c>
      <c r="H40" s="39" t="s">
        <v>142</v>
      </c>
      <c r="I40" s="18"/>
    </row>
    <row r="41" spans="4:16">
      <c r="D41" s="12">
        <f t="shared" si="1"/>
        <v>29</v>
      </c>
      <c r="E41" s="24" t="s">
        <v>20</v>
      </c>
      <c r="F41" s="12">
        <f>CurrentYear</f>
        <v>2016</v>
      </c>
      <c r="G41" s="30">
        <v>89747.26</v>
      </c>
      <c r="H41" s="39" t="s">
        <v>143</v>
      </c>
      <c r="I41" s="18"/>
    </row>
    <row r="42" spans="4:16">
      <c r="D42" s="12">
        <f t="shared" si="1"/>
        <v>30</v>
      </c>
      <c r="E42" s="24" t="s">
        <v>21</v>
      </c>
      <c r="F42" s="12">
        <f>CurrentYear</f>
        <v>2016</v>
      </c>
      <c r="G42" s="30">
        <v>248999.31</v>
      </c>
      <c r="H42" s="39" t="s">
        <v>144</v>
      </c>
      <c r="I42" s="18"/>
    </row>
    <row r="43" spans="4:16">
      <c r="D43" s="12">
        <f t="shared" si="1"/>
        <v>31</v>
      </c>
      <c r="E43" s="24" t="s">
        <v>71</v>
      </c>
      <c r="F43" s="12">
        <f>CurrentYear</f>
        <v>2016</v>
      </c>
      <c r="G43" s="30">
        <v>183461.85</v>
      </c>
      <c r="H43" s="39" t="s">
        <v>145</v>
      </c>
      <c r="I43" s="18"/>
    </row>
    <row r="44" spans="4:16" ht="6" customHeight="1">
      <c r="G44" s="523"/>
      <c r="I44" s="18"/>
    </row>
    <row r="45" spans="4:16" ht="6" customHeight="1">
      <c r="G45" s="523"/>
    </row>
  </sheetData>
  <mergeCells count="2">
    <mergeCell ref="D5:F5"/>
    <mergeCell ref="D7:E7"/>
  </mergeCells>
  <pageMargins left="0.7" right="0.7" top="0.75" bottom="0.75" header="0.3" footer="0.3"/>
  <pageSetup scale="83" orientation="landscape" r:id="rId1"/>
  <headerFooter>
    <oddHeader>&amp;L&amp;"-,Bold"&amp;12Central Minnesota Municipal Power Agency
2014 Attachment O Workpapers&amp;R&amp;"-,Bold"&amp;12Exhibit CMMPA-1
Page 12 of 13</oddHeader>
  </headerFooter>
  <ignoredErrors>
    <ignoredError sqref="D32 D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zoomScale="80" zoomScaleNormal="80" zoomScaleSheetLayoutView="80" workbookViewId="0"/>
  </sheetViews>
  <sheetFormatPr defaultRowHeight="15.75"/>
  <cols>
    <col min="1" max="1" width="5.42578125" style="321" customWidth="1"/>
    <col min="2" max="2" width="68.5703125" style="321" customWidth="1"/>
    <col min="3" max="3" width="36.85546875" style="321" customWidth="1"/>
    <col min="4" max="4" width="21.85546875" style="321" customWidth="1"/>
    <col min="5" max="5" width="10.85546875" style="321" customWidth="1"/>
    <col min="6" max="6" width="10.7109375" style="321" customWidth="1"/>
    <col min="7" max="7" width="13.7109375" style="321" customWidth="1"/>
    <col min="8" max="8" width="8.28515625" style="321" customWidth="1"/>
    <col min="9" max="9" width="16" style="321" customWidth="1"/>
    <col min="10" max="10" width="1.85546875" style="321" customWidth="1"/>
    <col min="11" max="11" width="9.28515625" style="323" customWidth="1"/>
    <col min="12" max="12" width="9.140625" style="321"/>
    <col min="13" max="13" width="16" style="321" customWidth="1"/>
    <col min="14" max="16" width="9.140625" style="321"/>
    <col min="17" max="17" width="13.28515625" style="321" customWidth="1"/>
    <col min="18" max="18" width="9.140625" style="321"/>
    <col min="19" max="19" width="13.140625" style="321" customWidth="1"/>
    <col min="20" max="16384" width="9.140625" style="321"/>
  </cols>
  <sheetData>
    <row r="1" spans="1:17">
      <c r="B1" s="318"/>
      <c r="C1" s="318"/>
      <c r="D1" s="119"/>
      <c r="E1" s="318"/>
      <c r="F1" s="318"/>
      <c r="G1" s="120"/>
      <c r="H1" s="121"/>
      <c r="I1" s="121"/>
      <c r="J1" s="121"/>
      <c r="K1" s="121"/>
      <c r="M1" s="322"/>
      <c r="N1" s="322"/>
      <c r="O1" s="322"/>
      <c r="P1" s="322"/>
      <c r="Q1" s="322"/>
    </row>
    <row r="2" spans="1:17">
      <c r="B2" s="318"/>
      <c r="C2" s="318"/>
      <c r="D2" s="119"/>
      <c r="E2" s="318"/>
      <c r="F2" s="318"/>
      <c r="G2" s="120"/>
      <c r="H2" s="120"/>
      <c r="I2" s="120"/>
      <c r="J2" s="120"/>
      <c r="K2" s="120"/>
      <c r="M2" s="322"/>
      <c r="N2" s="322"/>
      <c r="O2" s="322"/>
      <c r="P2" s="322"/>
      <c r="Q2" s="322"/>
    </row>
    <row r="3" spans="1:17">
      <c r="M3" s="322"/>
      <c r="N3" s="322"/>
      <c r="O3" s="322"/>
      <c r="P3" s="322"/>
      <c r="Q3" s="322"/>
    </row>
    <row r="4" spans="1:17">
      <c r="B4" s="123"/>
      <c r="C4" s="318"/>
      <c r="D4" s="119"/>
      <c r="E4" s="318"/>
      <c r="F4" s="318"/>
      <c r="G4" s="318"/>
      <c r="H4" s="626" t="s">
        <v>207</v>
      </c>
      <c r="I4" s="626"/>
      <c r="J4" s="626"/>
      <c r="K4" s="626"/>
      <c r="M4" s="322"/>
      <c r="N4" s="322"/>
      <c r="O4" s="322"/>
      <c r="P4" s="322"/>
      <c r="Q4" s="322"/>
    </row>
    <row r="5" spans="1:17">
      <c r="B5" s="123"/>
      <c r="C5" s="318"/>
      <c r="D5" s="119"/>
      <c r="E5" s="318"/>
      <c r="F5" s="318"/>
      <c r="G5" s="318"/>
      <c r="H5" s="123"/>
      <c r="I5" s="123"/>
      <c r="J5" s="123"/>
      <c r="K5" s="120" t="s">
        <v>208</v>
      </c>
      <c r="M5" s="324"/>
      <c r="N5" s="324"/>
      <c r="O5" s="324"/>
      <c r="P5" s="324"/>
      <c r="Q5" s="324"/>
    </row>
    <row r="6" spans="1:17">
      <c r="B6" s="325"/>
      <c r="C6" s="318"/>
      <c r="D6" s="119"/>
      <c r="E6" s="318"/>
      <c r="F6" s="318"/>
      <c r="G6" s="318"/>
      <c r="H6" s="123"/>
      <c r="I6" s="123"/>
      <c r="J6" s="123"/>
      <c r="K6" s="131"/>
      <c r="M6" s="326"/>
      <c r="N6" s="326"/>
      <c r="O6" s="326"/>
      <c r="P6" s="326"/>
      <c r="Q6" s="326"/>
    </row>
    <row r="7" spans="1:17">
      <c r="B7" s="318" t="s">
        <v>209</v>
      </c>
      <c r="C7" s="318"/>
      <c r="D7" s="119" t="s">
        <v>210</v>
      </c>
      <c r="E7" s="318"/>
      <c r="F7" s="318"/>
      <c r="G7" s="318"/>
      <c r="H7" s="124"/>
      <c r="I7" s="327"/>
      <c r="J7" s="124"/>
      <c r="K7" s="125" t="s">
        <v>815</v>
      </c>
      <c r="M7" s="326"/>
      <c r="N7" s="326"/>
      <c r="O7" s="326"/>
      <c r="P7" s="326"/>
      <c r="Q7" s="326"/>
    </row>
    <row r="8" spans="1:17">
      <c r="B8" s="318"/>
      <c r="C8" s="328" t="s">
        <v>211</v>
      </c>
      <c r="D8" s="328" t="s">
        <v>212</v>
      </c>
      <c r="E8" s="328"/>
      <c r="F8" s="328"/>
      <c r="G8" s="328"/>
      <c r="H8" s="123"/>
      <c r="I8" s="123"/>
      <c r="J8" s="123"/>
      <c r="K8" s="131"/>
    </row>
    <row r="9" spans="1:17">
      <c r="B9" s="123"/>
      <c r="C9" s="123"/>
      <c r="D9" s="123"/>
      <c r="E9" s="123"/>
      <c r="F9" s="123"/>
      <c r="G9" s="123"/>
      <c r="H9" s="123"/>
      <c r="I9" s="123"/>
      <c r="J9" s="123"/>
      <c r="K9" s="131"/>
    </row>
    <row r="10" spans="1:17">
      <c r="A10" s="126"/>
      <c r="B10" s="123"/>
      <c r="C10" s="123"/>
      <c r="D10" s="329" t="s">
        <v>213</v>
      </c>
      <c r="E10" s="123"/>
      <c r="F10" s="123"/>
      <c r="G10" s="123"/>
      <c r="H10" s="123"/>
      <c r="I10" s="123"/>
      <c r="J10" s="123"/>
      <c r="K10" s="131"/>
    </row>
    <row r="11" spans="1:17">
      <c r="A11" s="126"/>
      <c r="B11" s="123"/>
      <c r="C11" s="123"/>
      <c r="D11" s="330"/>
      <c r="E11" s="123"/>
      <c r="F11" s="123"/>
      <c r="G11" s="123"/>
      <c r="H11" s="123"/>
      <c r="I11" s="123"/>
      <c r="J11" s="123"/>
      <c r="K11" s="131"/>
    </row>
    <row r="12" spans="1:17">
      <c r="A12" s="126" t="s">
        <v>214</v>
      </c>
      <c r="B12" s="123"/>
      <c r="C12" s="123"/>
      <c r="D12" s="330"/>
      <c r="E12" s="123"/>
      <c r="F12" s="123"/>
      <c r="G12" s="123"/>
      <c r="H12" s="123"/>
      <c r="I12" s="126" t="s">
        <v>215</v>
      </c>
      <c r="J12" s="123"/>
      <c r="K12" s="131"/>
    </row>
    <row r="13" spans="1:17" ht="16.5" thickBot="1">
      <c r="A13" s="127" t="s">
        <v>216</v>
      </c>
      <c r="B13" s="123"/>
      <c r="C13" s="123"/>
      <c r="D13" s="123"/>
      <c r="E13" s="123"/>
      <c r="F13" s="123"/>
      <c r="G13" s="123"/>
      <c r="H13" s="123"/>
      <c r="I13" s="127" t="s">
        <v>76</v>
      </c>
      <c r="J13" s="123"/>
      <c r="K13" s="131"/>
    </row>
    <row r="14" spans="1:17">
      <c r="A14" s="126">
        <v>1</v>
      </c>
      <c r="B14" s="123" t="s">
        <v>217</v>
      </c>
      <c r="C14" s="123"/>
      <c r="D14" s="331"/>
      <c r="E14" s="123"/>
      <c r="F14" s="123"/>
      <c r="G14" s="123"/>
      <c r="H14" s="123"/>
      <c r="I14" s="332">
        <f>+I227</f>
        <v>0</v>
      </c>
      <c r="J14" s="123"/>
      <c r="K14" s="131"/>
    </row>
    <row r="15" spans="1:17">
      <c r="A15" s="126"/>
      <c r="B15" s="123"/>
      <c r="C15" s="123"/>
      <c r="D15" s="123"/>
      <c r="E15" s="123"/>
      <c r="F15" s="123"/>
      <c r="G15" s="123"/>
      <c r="H15" s="123"/>
      <c r="I15" s="331"/>
      <c r="J15" s="123"/>
      <c r="K15" s="131"/>
    </row>
    <row r="16" spans="1:17" ht="16.5" thickBot="1">
      <c r="A16" s="126" t="s">
        <v>211</v>
      </c>
      <c r="B16" s="318" t="s">
        <v>218</v>
      </c>
      <c r="C16" s="151" t="s">
        <v>219</v>
      </c>
      <c r="D16" s="127" t="s">
        <v>220</v>
      </c>
      <c r="E16" s="328"/>
      <c r="F16" s="128" t="s">
        <v>221</v>
      </c>
      <c r="G16" s="128"/>
      <c r="H16" s="123"/>
      <c r="I16" s="331"/>
      <c r="J16" s="123"/>
      <c r="K16" s="131"/>
    </row>
    <row r="17" spans="1:11">
      <c r="A17" s="126">
        <v>2</v>
      </c>
      <c r="B17" s="318" t="s">
        <v>222</v>
      </c>
      <c r="C17" s="328" t="s">
        <v>223</v>
      </c>
      <c r="D17" s="162">
        <f>I307</f>
        <v>0</v>
      </c>
      <c r="E17" s="328"/>
      <c r="F17" s="333" t="s">
        <v>224</v>
      </c>
      <c r="G17" s="334">
        <f>I249</f>
        <v>1</v>
      </c>
      <c r="H17" s="328"/>
      <c r="I17" s="162">
        <f>+G17*D17</f>
        <v>0</v>
      </c>
      <c r="J17" s="123"/>
      <c r="K17" s="131"/>
    </row>
    <row r="18" spans="1:11">
      <c r="A18" s="126">
        <v>3</v>
      </c>
      <c r="B18" s="318" t="s">
        <v>225</v>
      </c>
      <c r="C18" s="328" t="s">
        <v>226</v>
      </c>
      <c r="D18" s="162">
        <f>I314</f>
        <v>0</v>
      </c>
      <c r="E18" s="328"/>
      <c r="F18" s="335" t="str">
        <f t="shared" ref="F18:G20" si="0">+F17</f>
        <v>TP</v>
      </c>
      <c r="G18" s="334">
        <f t="shared" si="0"/>
        <v>1</v>
      </c>
      <c r="H18" s="328"/>
      <c r="I18" s="162">
        <f>+G18*D18</f>
        <v>0</v>
      </c>
      <c r="J18" s="123"/>
      <c r="K18" s="131"/>
    </row>
    <row r="19" spans="1:11">
      <c r="A19" s="126">
        <v>4</v>
      </c>
      <c r="B19" s="336" t="s">
        <v>227</v>
      </c>
      <c r="C19" s="328"/>
      <c r="D19" s="337">
        <v>0</v>
      </c>
      <c r="E19" s="328"/>
      <c r="F19" s="335" t="str">
        <f t="shared" si="0"/>
        <v>TP</v>
      </c>
      <c r="G19" s="334">
        <f t="shared" si="0"/>
        <v>1</v>
      </c>
      <c r="H19" s="328"/>
      <c r="I19" s="162">
        <f>+G19*D19</f>
        <v>0</v>
      </c>
      <c r="J19" s="123"/>
      <c r="K19" s="131"/>
    </row>
    <row r="20" spans="1:11" ht="16.5" thickBot="1">
      <c r="A20" s="126">
        <v>5</v>
      </c>
      <c r="B20" s="336" t="s">
        <v>228</v>
      </c>
      <c r="C20" s="328"/>
      <c r="D20" s="338">
        <v>0</v>
      </c>
      <c r="E20" s="328"/>
      <c r="F20" s="335" t="str">
        <f t="shared" si="0"/>
        <v>TP</v>
      </c>
      <c r="G20" s="334">
        <f t="shared" si="0"/>
        <v>1</v>
      </c>
      <c r="H20" s="328"/>
      <c r="I20" s="339">
        <f>+G20*D20</f>
        <v>0</v>
      </c>
      <c r="J20" s="123"/>
      <c r="K20" s="131"/>
    </row>
    <row r="21" spans="1:11">
      <c r="A21" s="126">
        <v>6</v>
      </c>
      <c r="B21" s="318" t="s">
        <v>229</v>
      </c>
      <c r="C21" s="123"/>
      <c r="D21" s="340" t="s">
        <v>211</v>
      </c>
      <c r="E21" s="328"/>
      <c r="F21" s="328"/>
      <c r="G21" s="341"/>
      <c r="H21" s="328"/>
      <c r="I21" s="162">
        <f>SUM(I17:I20)</f>
        <v>0</v>
      </c>
      <c r="J21" s="123"/>
      <c r="K21" s="131"/>
    </row>
    <row r="22" spans="1:11">
      <c r="A22" s="126"/>
      <c r="B22" s="318"/>
      <c r="C22" s="123"/>
      <c r="D22" s="340"/>
      <c r="E22" s="328"/>
      <c r="F22" s="328"/>
      <c r="G22" s="341"/>
      <c r="H22" s="328"/>
      <c r="I22" s="328"/>
      <c r="J22" s="123"/>
      <c r="K22" s="131"/>
    </row>
    <row r="23" spans="1:11">
      <c r="A23" s="129" t="s">
        <v>230</v>
      </c>
      <c r="B23" s="138" t="s">
        <v>231</v>
      </c>
      <c r="C23" s="131"/>
      <c r="D23" s="342"/>
      <c r="E23" s="151"/>
      <c r="F23" s="151"/>
      <c r="G23" s="343"/>
      <c r="H23" s="151"/>
      <c r="I23" s="130">
        <v>0</v>
      </c>
      <c r="J23" s="123"/>
      <c r="K23" s="131"/>
    </row>
    <row r="24" spans="1:11">
      <c r="A24" s="129"/>
      <c r="B24" s="138"/>
      <c r="C24" s="131"/>
      <c r="D24" s="323"/>
      <c r="E24" s="323"/>
      <c r="F24" s="323"/>
      <c r="G24" s="323"/>
      <c r="H24" s="323"/>
      <c r="I24" s="151"/>
      <c r="J24" s="123"/>
      <c r="K24" s="131"/>
    </row>
    <row r="25" spans="1:11" s="344" customFormat="1">
      <c r="A25" s="126" t="s">
        <v>232</v>
      </c>
      <c r="B25" s="318" t="s">
        <v>233</v>
      </c>
      <c r="C25" s="123"/>
      <c r="D25" s="323" t="s">
        <v>234</v>
      </c>
      <c r="E25" s="323"/>
      <c r="F25" s="323"/>
      <c r="H25" s="345"/>
      <c r="I25" s="346">
        <v>0</v>
      </c>
      <c r="J25" s="123"/>
      <c r="K25" s="131"/>
    </row>
    <row r="26" spans="1:11" s="344" customFormat="1" ht="16.5" thickBot="1">
      <c r="A26" s="129" t="s">
        <v>235</v>
      </c>
      <c r="B26" s="138" t="s">
        <v>236</v>
      </c>
      <c r="C26" s="123"/>
      <c r="D26" s="323" t="s">
        <v>234</v>
      </c>
      <c r="E26" s="345"/>
      <c r="F26" s="345"/>
      <c r="H26" s="345"/>
      <c r="I26" s="347">
        <v>0</v>
      </c>
      <c r="J26" s="123"/>
      <c r="K26" s="131"/>
    </row>
    <row r="27" spans="1:11" s="344" customFormat="1">
      <c r="A27" s="129" t="s">
        <v>237</v>
      </c>
      <c r="B27" s="138" t="s">
        <v>238</v>
      </c>
      <c r="C27" s="123"/>
      <c r="D27" s="321" t="s">
        <v>239</v>
      </c>
      <c r="E27" s="345"/>
      <c r="F27" s="345"/>
      <c r="G27" s="345"/>
      <c r="H27" s="345"/>
      <c r="I27" s="348">
        <f>I25-I26</f>
        <v>0</v>
      </c>
      <c r="J27" s="123"/>
      <c r="K27" s="131"/>
    </row>
    <row r="28" spans="1:11" s="344" customFormat="1">
      <c r="A28" s="129"/>
      <c r="B28" s="138"/>
      <c r="C28" s="123"/>
      <c r="D28" s="321"/>
      <c r="E28" s="345"/>
      <c r="F28" s="345"/>
      <c r="G28" s="345"/>
      <c r="H28" s="345"/>
      <c r="I28" s="349"/>
      <c r="J28" s="123"/>
      <c r="K28" s="131"/>
    </row>
    <row r="29" spans="1:11" s="344" customFormat="1">
      <c r="A29" s="129" t="s">
        <v>240</v>
      </c>
      <c r="B29" s="138" t="s">
        <v>241</v>
      </c>
      <c r="C29" s="123"/>
      <c r="D29" s="321"/>
      <c r="E29" s="345"/>
      <c r="F29" s="345"/>
      <c r="G29" s="345"/>
      <c r="H29" s="345"/>
      <c r="I29" s="350">
        <v>0</v>
      </c>
      <c r="J29" s="123"/>
      <c r="K29" s="131"/>
    </row>
    <row r="30" spans="1:11">
      <c r="A30" s="129"/>
      <c r="B30" s="138"/>
      <c r="C30" s="131"/>
      <c r="D30" s="323"/>
      <c r="E30" s="323"/>
      <c r="F30" s="323"/>
      <c r="G30" s="323"/>
      <c r="H30" s="323"/>
      <c r="I30" s="151"/>
      <c r="J30" s="123"/>
      <c r="K30" s="131"/>
    </row>
    <row r="31" spans="1:11" ht="16.5" thickBot="1">
      <c r="A31" s="126">
        <v>7</v>
      </c>
      <c r="B31" s="318" t="s">
        <v>242</v>
      </c>
      <c r="D31" s="131" t="s">
        <v>243</v>
      </c>
      <c r="E31" s="151"/>
      <c r="F31" s="151"/>
      <c r="G31" s="151"/>
      <c r="H31" s="151"/>
      <c r="I31" s="351">
        <f>I14-I21+I27+I29</f>
        <v>0</v>
      </c>
      <c r="J31" s="123"/>
      <c r="K31" s="131"/>
    </row>
    <row r="32" spans="1:11" ht="16.5" thickTop="1">
      <c r="A32" s="126"/>
      <c r="C32" s="123"/>
      <c r="D32" s="340"/>
      <c r="E32" s="328"/>
      <c r="F32" s="328"/>
      <c r="G32" s="328"/>
      <c r="H32" s="328"/>
      <c r="J32" s="123"/>
      <c r="K32" s="131"/>
    </row>
    <row r="33" spans="1:11">
      <c r="A33" s="126"/>
      <c r="B33" s="318" t="s">
        <v>244</v>
      </c>
      <c r="C33" s="123"/>
      <c r="D33" s="331"/>
      <c r="E33" s="123"/>
      <c r="F33" s="123"/>
      <c r="G33" s="123"/>
      <c r="H33" s="123"/>
      <c r="I33" s="331"/>
      <c r="J33" s="123"/>
      <c r="K33" s="131"/>
    </row>
    <row r="34" spans="1:11">
      <c r="A34" s="126">
        <v>8</v>
      </c>
      <c r="B34" s="318" t="s">
        <v>245</v>
      </c>
      <c r="D34" s="331"/>
      <c r="E34" s="123"/>
      <c r="F34" s="123"/>
      <c r="G34" s="131" t="s">
        <v>246</v>
      </c>
      <c r="H34" s="123"/>
      <c r="I34" s="346">
        <v>0</v>
      </c>
      <c r="J34" s="123"/>
      <c r="K34" s="131"/>
    </row>
    <row r="35" spans="1:11">
      <c r="A35" s="126">
        <v>9</v>
      </c>
      <c r="B35" s="318" t="s">
        <v>247</v>
      </c>
      <c r="C35" s="328"/>
      <c r="D35" s="328"/>
      <c r="E35" s="328"/>
      <c r="F35" s="328"/>
      <c r="G35" s="151" t="s">
        <v>248</v>
      </c>
      <c r="H35" s="328"/>
      <c r="I35" s="350">
        <v>0</v>
      </c>
      <c r="J35" s="123"/>
      <c r="K35" s="131"/>
    </row>
    <row r="36" spans="1:11">
      <c r="A36" s="126">
        <v>10</v>
      </c>
      <c r="B36" s="336" t="s">
        <v>249</v>
      </c>
      <c r="C36" s="123"/>
      <c r="D36" s="123"/>
      <c r="E36" s="123"/>
      <c r="G36" s="131" t="s">
        <v>250</v>
      </c>
      <c r="H36" s="123"/>
      <c r="I36" s="350">
        <v>0</v>
      </c>
      <c r="J36" s="123"/>
      <c r="K36" s="131"/>
    </row>
    <row r="37" spans="1:11">
      <c r="A37" s="126">
        <v>11</v>
      </c>
      <c r="B37" s="318" t="s">
        <v>251</v>
      </c>
      <c r="C37" s="123"/>
      <c r="D37" s="123"/>
      <c r="E37" s="123"/>
      <c r="G37" s="131" t="s">
        <v>252</v>
      </c>
      <c r="H37" s="123"/>
      <c r="I37" s="352">
        <v>0</v>
      </c>
      <c r="J37" s="123"/>
      <c r="K37" s="131"/>
    </row>
    <row r="38" spans="1:11">
      <c r="A38" s="126">
        <v>12</v>
      </c>
      <c r="B38" s="336" t="s">
        <v>253</v>
      </c>
      <c r="C38" s="123"/>
      <c r="D38" s="123"/>
      <c r="E38" s="123"/>
      <c r="F38" s="123"/>
      <c r="G38" s="123"/>
      <c r="H38" s="123"/>
      <c r="I38" s="352">
        <v>0</v>
      </c>
      <c r="J38" s="123"/>
      <c r="K38" s="131"/>
    </row>
    <row r="39" spans="1:11">
      <c r="A39" s="126">
        <v>13</v>
      </c>
      <c r="B39" s="336" t="s">
        <v>254</v>
      </c>
      <c r="C39" s="123"/>
      <c r="D39" s="123"/>
      <c r="E39" s="123"/>
      <c r="F39" s="123"/>
      <c r="G39" s="131"/>
      <c r="H39" s="123"/>
      <c r="I39" s="352">
        <v>0</v>
      </c>
      <c r="J39" s="123"/>
      <c r="K39" s="131"/>
    </row>
    <row r="40" spans="1:11" ht="16.5" thickBot="1">
      <c r="A40" s="126">
        <v>14</v>
      </c>
      <c r="B40" s="336" t="s">
        <v>255</v>
      </c>
      <c r="C40" s="123"/>
      <c r="D40" s="123"/>
      <c r="E40" s="123"/>
      <c r="F40" s="123"/>
      <c r="G40" s="123"/>
      <c r="H40" s="123"/>
      <c r="I40" s="347">
        <v>0</v>
      </c>
      <c r="J40" s="123"/>
      <c r="K40" s="131"/>
    </row>
    <row r="41" spans="1:11">
      <c r="A41" s="126">
        <v>15</v>
      </c>
      <c r="B41" s="318" t="s">
        <v>256</v>
      </c>
      <c r="C41" s="123"/>
      <c r="D41" s="123"/>
      <c r="E41" s="123"/>
      <c r="F41" s="123"/>
      <c r="G41" s="123"/>
      <c r="H41" s="123"/>
      <c r="I41" s="353">
        <f>SUM(I34:I40)</f>
        <v>0</v>
      </c>
      <c r="J41" s="123"/>
      <c r="K41" s="131"/>
    </row>
    <row r="42" spans="1:11">
      <c r="A42" s="126"/>
      <c r="B42" s="318"/>
      <c r="C42" s="123"/>
      <c r="D42" s="123"/>
      <c r="E42" s="123"/>
      <c r="F42" s="123"/>
      <c r="G42" s="123"/>
      <c r="H42" s="123"/>
      <c r="I42" s="331"/>
      <c r="J42" s="123"/>
      <c r="K42" s="131"/>
    </row>
    <row r="43" spans="1:11">
      <c r="A43" s="126">
        <v>16</v>
      </c>
      <c r="B43" s="318" t="s">
        <v>257</v>
      </c>
      <c r="C43" s="123" t="s">
        <v>258</v>
      </c>
      <c r="D43" s="354">
        <f>IF(I41&gt;0,I31/I41,0)</f>
        <v>0</v>
      </c>
      <c r="E43" s="123"/>
      <c r="F43" s="123"/>
      <c r="G43" s="123"/>
      <c r="H43" s="123"/>
      <c r="J43" s="123"/>
      <c r="K43" s="131"/>
    </row>
    <row r="44" spans="1:11">
      <c r="A44" s="126">
        <v>17</v>
      </c>
      <c r="B44" s="318" t="s">
        <v>259</v>
      </c>
      <c r="C44" s="123" t="s">
        <v>260</v>
      </c>
      <c r="D44" s="354">
        <f>+D43/12</f>
        <v>0</v>
      </c>
      <c r="E44" s="123"/>
      <c r="F44" s="123"/>
      <c r="G44" s="123"/>
      <c r="H44" s="123"/>
      <c r="J44" s="123"/>
      <c r="K44" s="131"/>
    </row>
    <row r="45" spans="1:11">
      <c r="A45" s="126"/>
      <c r="B45" s="318"/>
      <c r="C45" s="123"/>
      <c r="D45" s="160"/>
      <c r="E45" s="123"/>
      <c r="F45" s="123"/>
      <c r="G45" s="123"/>
      <c r="H45" s="123"/>
      <c r="J45" s="123"/>
      <c r="K45" s="131"/>
    </row>
    <row r="46" spans="1:11">
      <c r="A46" s="126"/>
      <c r="B46" s="318"/>
      <c r="C46" s="123"/>
      <c r="D46" s="355" t="s">
        <v>261</v>
      </c>
      <c r="E46" s="123"/>
      <c r="F46" s="123"/>
      <c r="G46" s="123"/>
      <c r="H46" s="123"/>
      <c r="I46" s="356" t="s">
        <v>262</v>
      </c>
      <c r="J46" s="123"/>
      <c r="K46" s="131"/>
    </row>
    <row r="47" spans="1:11">
      <c r="A47" s="126">
        <v>18</v>
      </c>
      <c r="B47" s="318" t="s">
        <v>263</v>
      </c>
      <c r="C47" s="119" t="s">
        <v>264</v>
      </c>
      <c r="D47" s="354">
        <f>+D43/52</f>
        <v>0</v>
      </c>
      <c r="E47" s="123"/>
      <c r="F47" s="123"/>
      <c r="G47" s="123"/>
      <c r="H47" s="123"/>
      <c r="I47" s="357">
        <f>+D43/52</f>
        <v>0</v>
      </c>
      <c r="J47" s="123"/>
      <c r="K47" s="131"/>
    </row>
    <row r="48" spans="1:11">
      <c r="A48" s="126">
        <v>19</v>
      </c>
      <c r="B48" s="318" t="s">
        <v>265</v>
      </c>
      <c r="C48" s="358" t="s">
        <v>266</v>
      </c>
      <c r="D48" s="354">
        <f>+D43/260</f>
        <v>0</v>
      </c>
      <c r="E48" s="123" t="s">
        <v>267</v>
      </c>
      <c r="G48" s="123"/>
      <c r="H48" s="123"/>
      <c r="I48" s="357">
        <f>+D43/365</f>
        <v>0</v>
      </c>
      <c r="J48" s="123"/>
      <c r="K48" s="131"/>
    </row>
    <row r="49" spans="1:11">
      <c r="A49" s="126">
        <v>20</v>
      </c>
      <c r="B49" s="318" t="s">
        <v>268</v>
      </c>
      <c r="C49" s="358" t="s">
        <v>269</v>
      </c>
      <c r="D49" s="354">
        <f>+D43/4160*1000</f>
        <v>0</v>
      </c>
      <c r="E49" s="123" t="s">
        <v>270</v>
      </c>
      <c r="G49" s="123"/>
      <c r="H49" s="123"/>
      <c r="I49" s="359">
        <f>+D43/8760*1000</f>
        <v>0</v>
      </c>
      <c r="J49" s="123"/>
      <c r="K49" s="131" t="s">
        <v>211</v>
      </c>
    </row>
    <row r="50" spans="1:11">
      <c r="A50" s="126"/>
      <c r="B50" s="318"/>
      <c r="C50" s="123" t="s">
        <v>271</v>
      </c>
      <c r="D50" s="123"/>
      <c r="E50" s="123" t="s">
        <v>272</v>
      </c>
      <c r="G50" s="123"/>
      <c r="H50" s="123"/>
      <c r="J50" s="123"/>
      <c r="K50" s="131" t="s">
        <v>211</v>
      </c>
    </row>
    <row r="51" spans="1:11">
      <c r="A51" s="126"/>
      <c r="B51" s="318"/>
      <c r="C51" s="123"/>
      <c r="D51" s="123"/>
      <c r="E51" s="123"/>
      <c r="G51" s="123"/>
      <c r="H51" s="123"/>
      <c r="J51" s="123"/>
      <c r="K51" s="131" t="s">
        <v>211</v>
      </c>
    </row>
    <row r="52" spans="1:11">
      <c r="A52" s="126">
        <v>21</v>
      </c>
      <c r="B52" s="318" t="s">
        <v>273</v>
      </c>
      <c r="C52" s="123" t="s">
        <v>274</v>
      </c>
      <c r="D52" s="132">
        <v>0</v>
      </c>
      <c r="E52" s="133" t="s">
        <v>275</v>
      </c>
      <c r="F52" s="133"/>
      <c r="G52" s="133"/>
      <c r="H52" s="133"/>
      <c r="I52" s="360">
        <f>D52</f>
        <v>0</v>
      </c>
      <c r="J52" s="133" t="s">
        <v>275</v>
      </c>
      <c r="K52" s="131"/>
    </row>
    <row r="53" spans="1:11">
      <c r="A53" s="126">
        <v>22</v>
      </c>
      <c r="B53" s="318"/>
      <c r="C53" s="123"/>
      <c r="D53" s="132">
        <v>0</v>
      </c>
      <c r="E53" s="133" t="s">
        <v>276</v>
      </c>
      <c r="F53" s="133"/>
      <c r="G53" s="133"/>
      <c r="H53" s="133"/>
      <c r="I53" s="360">
        <f>D53</f>
        <v>0</v>
      </c>
      <c r="J53" s="133" t="s">
        <v>276</v>
      </c>
      <c r="K53" s="131"/>
    </row>
    <row r="54" spans="1:11" s="323" customFormat="1">
      <c r="A54" s="129"/>
      <c r="B54" s="138"/>
      <c r="C54" s="131"/>
      <c r="D54" s="134"/>
      <c r="E54" s="134"/>
      <c r="F54" s="134"/>
      <c r="G54" s="134"/>
      <c r="H54" s="134"/>
      <c r="I54" s="134"/>
      <c r="J54" s="134"/>
      <c r="K54" s="131"/>
    </row>
    <row r="55" spans="1:11" s="323" customFormat="1">
      <c r="A55" s="129"/>
      <c r="B55" s="138"/>
      <c r="C55" s="131"/>
      <c r="D55" s="134"/>
      <c r="E55" s="134"/>
      <c r="F55" s="134"/>
      <c r="G55" s="134"/>
      <c r="H55" s="134"/>
      <c r="I55" s="134"/>
      <c r="J55" s="134"/>
      <c r="K55" s="131"/>
    </row>
    <row r="56" spans="1:11" s="323" customFormat="1">
      <c r="A56" s="129"/>
      <c r="B56" s="138"/>
      <c r="C56" s="131"/>
      <c r="D56" s="134"/>
      <c r="E56" s="134"/>
      <c r="F56" s="134"/>
      <c r="G56" s="134"/>
      <c r="H56" s="134"/>
      <c r="I56" s="134"/>
      <c r="J56" s="134"/>
      <c r="K56" s="131"/>
    </row>
    <row r="57" spans="1:11" s="323" customFormat="1">
      <c r="A57" s="129"/>
      <c r="B57" s="138"/>
      <c r="C57" s="131"/>
      <c r="D57" s="134"/>
      <c r="E57" s="134"/>
      <c r="F57" s="134"/>
      <c r="G57" s="134"/>
      <c r="H57" s="134"/>
      <c r="I57" s="134"/>
      <c r="J57" s="134"/>
      <c r="K57" s="131"/>
    </row>
    <row r="58" spans="1:11" s="323" customFormat="1">
      <c r="A58" s="129"/>
      <c r="B58" s="138"/>
      <c r="C58" s="131"/>
      <c r="D58" s="134"/>
      <c r="E58" s="134"/>
      <c r="F58" s="134"/>
      <c r="G58" s="134"/>
      <c r="H58" s="134"/>
      <c r="I58" s="134"/>
      <c r="J58" s="134"/>
      <c r="K58" s="131"/>
    </row>
    <row r="59" spans="1:11" s="323" customFormat="1">
      <c r="A59" s="129"/>
      <c r="B59" s="138"/>
      <c r="C59" s="131"/>
      <c r="D59" s="134"/>
      <c r="E59" s="134"/>
      <c r="F59" s="134"/>
      <c r="G59" s="134"/>
      <c r="H59" s="134"/>
      <c r="I59" s="134"/>
      <c r="J59" s="134"/>
      <c r="K59" s="131"/>
    </row>
    <row r="60" spans="1:11" s="323" customFormat="1">
      <c r="A60" s="129"/>
      <c r="B60" s="138"/>
      <c r="C60" s="131"/>
      <c r="D60" s="134"/>
      <c r="E60" s="134"/>
      <c r="F60" s="134"/>
      <c r="G60" s="134"/>
      <c r="H60" s="134"/>
      <c r="I60" s="134"/>
      <c r="J60" s="134"/>
      <c r="K60" s="131"/>
    </row>
    <row r="61" spans="1:11" s="323" customFormat="1">
      <c r="A61" s="129"/>
      <c r="B61" s="138"/>
      <c r="C61" s="131"/>
      <c r="D61" s="134"/>
      <c r="E61" s="134"/>
      <c r="F61" s="134"/>
      <c r="G61" s="134"/>
      <c r="H61" s="134"/>
      <c r="I61" s="134"/>
      <c r="J61" s="134"/>
      <c r="K61" s="131"/>
    </row>
    <row r="62" spans="1:11" s="323" customFormat="1">
      <c r="A62" s="129"/>
      <c r="B62" s="138"/>
      <c r="C62" s="131"/>
      <c r="D62" s="134"/>
      <c r="E62" s="134"/>
      <c r="F62" s="134"/>
      <c r="G62" s="134"/>
      <c r="H62" s="134"/>
      <c r="I62" s="134"/>
      <c r="J62" s="134"/>
      <c r="K62" s="131"/>
    </row>
    <row r="63" spans="1:11" s="323" customFormat="1">
      <c r="A63" s="129"/>
      <c r="B63" s="138"/>
      <c r="C63" s="131"/>
      <c r="D63" s="134"/>
      <c r="E63" s="134"/>
      <c r="F63" s="134"/>
      <c r="G63" s="134"/>
      <c r="H63" s="134"/>
      <c r="I63" s="134"/>
      <c r="J63" s="134"/>
      <c r="K63" s="131"/>
    </row>
    <row r="64" spans="1:11" s="323" customFormat="1">
      <c r="A64" s="129"/>
      <c r="B64" s="138"/>
      <c r="C64" s="131"/>
      <c r="D64" s="134"/>
      <c r="E64" s="134"/>
      <c r="F64" s="134"/>
      <c r="G64" s="134"/>
      <c r="H64" s="134"/>
      <c r="I64" s="134"/>
      <c r="J64" s="134"/>
      <c r="K64" s="131"/>
    </row>
    <row r="65" spans="1:11" s="323" customFormat="1">
      <c r="A65" s="129"/>
      <c r="B65" s="138"/>
      <c r="C65" s="131"/>
      <c r="D65" s="134"/>
      <c r="E65" s="134"/>
      <c r="F65" s="134"/>
      <c r="G65" s="134"/>
      <c r="H65" s="134"/>
      <c r="I65" s="134"/>
      <c r="J65" s="134"/>
      <c r="K65" s="131"/>
    </row>
    <row r="66" spans="1:11" s="323" customFormat="1">
      <c r="A66" s="129"/>
      <c r="B66" s="138"/>
      <c r="C66" s="131"/>
      <c r="D66" s="134"/>
      <c r="E66" s="134"/>
      <c r="F66" s="134"/>
      <c r="G66" s="134"/>
      <c r="H66" s="134"/>
      <c r="I66" s="134"/>
      <c r="J66" s="134"/>
      <c r="K66" s="131"/>
    </row>
    <row r="67" spans="1:11" s="323" customFormat="1">
      <c r="A67" s="129"/>
      <c r="B67" s="138"/>
      <c r="C67" s="131"/>
      <c r="D67" s="134"/>
      <c r="E67" s="134"/>
      <c r="F67" s="134"/>
      <c r="G67" s="134"/>
      <c r="H67" s="134"/>
      <c r="I67" s="134"/>
      <c r="J67" s="134"/>
      <c r="K67" s="131"/>
    </row>
    <row r="68" spans="1:11" s="323" customFormat="1">
      <c r="A68" s="129"/>
      <c r="B68" s="138"/>
      <c r="C68" s="131"/>
      <c r="D68" s="134"/>
      <c r="E68" s="134"/>
      <c r="F68" s="134"/>
      <c r="G68" s="134"/>
      <c r="H68" s="134"/>
      <c r="I68" s="134"/>
      <c r="J68" s="134"/>
      <c r="K68" s="131"/>
    </row>
    <row r="69" spans="1:11" s="323" customFormat="1">
      <c r="A69" s="129"/>
      <c r="B69" s="138"/>
      <c r="C69" s="131"/>
      <c r="D69" s="134"/>
      <c r="E69" s="134"/>
      <c r="F69" s="134"/>
      <c r="G69" s="134"/>
      <c r="H69" s="134"/>
      <c r="I69" s="134"/>
      <c r="J69" s="134"/>
      <c r="K69" s="131"/>
    </row>
    <row r="70" spans="1:11" s="323" customFormat="1">
      <c r="A70" s="129"/>
      <c r="B70" s="138"/>
      <c r="C70" s="131"/>
      <c r="D70" s="134"/>
      <c r="E70" s="134"/>
      <c r="F70" s="134"/>
      <c r="G70" s="134"/>
      <c r="H70" s="134"/>
      <c r="I70" s="134"/>
      <c r="J70" s="134"/>
      <c r="K70" s="131"/>
    </row>
    <row r="71" spans="1:11" s="323" customFormat="1">
      <c r="A71" s="129"/>
      <c r="B71" s="138"/>
      <c r="C71" s="131"/>
      <c r="D71" s="134"/>
      <c r="E71" s="134"/>
      <c r="F71" s="134"/>
      <c r="G71" s="134"/>
      <c r="H71" s="134"/>
      <c r="I71" s="134"/>
      <c r="J71" s="134"/>
      <c r="K71" s="131"/>
    </row>
    <row r="72" spans="1:11" s="323" customFormat="1">
      <c r="A72" s="129"/>
      <c r="B72" s="138"/>
      <c r="C72" s="131"/>
      <c r="D72" s="134"/>
      <c r="E72" s="134"/>
      <c r="F72" s="134"/>
      <c r="G72" s="134"/>
      <c r="H72" s="134"/>
      <c r="I72" s="134"/>
      <c r="J72" s="134"/>
      <c r="K72" s="131"/>
    </row>
    <row r="73" spans="1:11" s="323" customFormat="1">
      <c r="A73" s="129"/>
      <c r="B73" s="138"/>
      <c r="C73" s="131"/>
      <c r="D73" s="134"/>
      <c r="E73" s="134"/>
      <c r="F73" s="134"/>
      <c r="G73" s="134"/>
      <c r="H73" s="134"/>
      <c r="I73" s="134"/>
      <c r="J73" s="134"/>
      <c r="K73" s="131"/>
    </row>
    <row r="74" spans="1:11" s="323" customFormat="1">
      <c r="A74" s="129"/>
      <c r="B74" s="138"/>
      <c r="C74" s="131"/>
      <c r="D74" s="134"/>
      <c r="E74" s="134"/>
      <c r="F74" s="134"/>
      <c r="G74" s="134"/>
      <c r="H74" s="134"/>
      <c r="I74" s="134"/>
      <c r="J74" s="134"/>
      <c r="K74" s="131"/>
    </row>
    <row r="75" spans="1:11" s="323" customFormat="1">
      <c r="A75" s="129"/>
      <c r="B75" s="138"/>
      <c r="C75" s="131"/>
      <c r="D75" s="134"/>
      <c r="E75" s="134"/>
      <c r="F75" s="134"/>
      <c r="G75" s="134"/>
      <c r="H75" s="134"/>
      <c r="I75" s="134"/>
      <c r="J75" s="134"/>
      <c r="K75" s="131"/>
    </row>
    <row r="76" spans="1:11" s="323" customFormat="1">
      <c r="A76" s="318"/>
      <c r="B76" s="318"/>
      <c r="C76" s="318"/>
      <c r="D76" s="361"/>
      <c r="E76" s="328"/>
      <c r="F76" s="328"/>
      <c r="G76" s="164"/>
      <c r="H76" s="164"/>
      <c r="I76" s="164"/>
      <c r="J76" s="164"/>
      <c r="K76" s="164"/>
    </row>
    <row r="77" spans="1:11" s="323" customFormat="1">
      <c r="A77" s="318"/>
      <c r="B77" s="318"/>
      <c r="C77" s="318"/>
      <c r="D77" s="361"/>
      <c r="E77" s="328"/>
      <c r="F77" s="328"/>
      <c r="G77" s="362"/>
      <c r="H77" s="328"/>
      <c r="I77" s="361"/>
      <c r="J77" s="328"/>
      <c r="K77" s="164"/>
    </row>
    <row r="78" spans="1:11">
      <c r="B78" s="318"/>
      <c r="C78" s="318"/>
      <c r="D78" s="119"/>
      <c r="E78" s="318"/>
      <c r="F78" s="318"/>
      <c r="G78" s="318"/>
      <c r="H78" s="622" t="str">
        <f>H4</f>
        <v>Attachment O-CMMPA Agency</v>
      </c>
      <c r="I78" s="622"/>
      <c r="J78" s="622"/>
      <c r="K78" s="622"/>
    </row>
    <row r="79" spans="1:11">
      <c r="B79" s="318"/>
      <c r="C79" s="318"/>
      <c r="D79" s="119"/>
      <c r="E79" s="318"/>
      <c r="F79" s="318"/>
      <c r="G79" s="318"/>
      <c r="H79" s="123"/>
      <c r="I79" s="123"/>
      <c r="J79" s="620" t="s">
        <v>277</v>
      </c>
      <c r="K79" s="620"/>
    </row>
    <row r="80" spans="1:11">
      <c r="B80" s="318"/>
      <c r="C80" s="318"/>
      <c r="D80" s="119"/>
      <c r="E80" s="318"/>
      <c r="F80" s="318"/>
      <c r="G80" s="318"/>
      <c r="H80" s="123"/>
      <c r="I80" s="123"/>
      <c r="J80" s="123"/>
      <c r="K80" s="120"/>
    </row>
    <row r="81" spans="1:15">
      <c r="B81" s="318" t="s">
        <v>209</v>
      </c>
      <c r="C81" s="318"/>
      <c r="D81" s="119" t="s">
        <v>210</v>
      </c>
      <c r="E81" s="318"/>
      <c r="F81" s="318"/>
      <c r="G81" s="318"/>
      <c r="H81" s="135"/>
      <c r="I81" s="135"/>
      <c r="J81" s="135"/>
      <c r="K81" s="363" t="str">
        <f>K7</f>
        <v>For the 12 months ended 12/31/2016</v>
      </c>
    </row>
    <row r="82" spans="1:15">
      <c r="B82" s="318"/>
      <c r="C82" s="328" t="s">
        <v>211</v>
      </c>
      <c r="D82" s="328" t="s">
        <v>212</v>
      </c>
      <c r="E82" s="328"/>
      <c r="F82" s="328"/>
      <c r="G82" s="328"/>
      <c r="H82" s="123"/>
      <c r="I82" s="123"/>
      <c r="J82" s="123"/>
      <c r="K82" s="131"/>
    </row>
    <row r="83" spans="1:15">
      <c r="B83" s="318"/>
      <c r="C83" s="328"/>
      <c r="D83" s="328"/>
      <c r="E83" s="328"/>
      <c r="F83" s="328"/>
      <c r="G83" s="328"/>
      <c r="H83" s="123"/>
      <c r="I83" s="123"/>
      <c r="J83" s="123"/>
      <c r="K83" s="131"/>
    </row>
    <row r="84" spans="1:15">
      <c r="B84" s="318"/>
      <c r="C84" s="123"/>
      <c r="D84" s="162" t="str">
        <f>D10</f>
        <v>CMMPA Agency</v>
      </c>
      <c r="E84" s="328"/>
      <c r="F84" s="328"/>
      <c r="G84" s="328"/>
      <c r="H84" s="328"/>
      <c r="I84" s="328"/>
      <c r="J84" s="328"/>
      <c r="K84" s="151"/>
    </row>
    <row r="85" spans="1:15">
      <c r="B85" s="126" t="s">
        <v>278</v>
      </c>
      <c r="C85" s="126" t="s">
        <v>279</v>
      </c>
      <c r="D85" s="126" t="s">
        <v>280</v>
      </c>
      <c r="E85" s="328" t="s">
        <v>211</v>
      </c>
      <c r="F85" s="328"/>
      <c r="G85" s="364" t="s">
        <v>281</v>
      </c>
      <c r="H85" s="328"/>
      <c r="I85" s="365" t="s">
        <v>282</v>
      </c>
      <c r="J85" s="328"/>
      <c r="K85" s="129"/>
    </row>
    <row r="86" spans="1:15">
      <c r="B86" s="318"/>
      <c r="C86" s="366" t="s">
        <v>283</v>
      </c>
      <c r="D86" s="328"/>
      <c r="E86" s="328"/>
      <c r="F86" s="328"/>
      <c r="G86" s="126"/>
      <c r="H86" s="328"/>
      <c r="I86" s="136" t="s">
        <v>20</v>
      </c>
      <c r="J86" s="328"/>
      <c r="K86" s="129"/>
    </row>
    <row r="87" spans="1:15">
      <c r="A87" s="126" t="s">
        <v>214</v>
      </c>
      <c r="B87" s="318"/>
      <c r="C87" s="367" t="s">
        <v>284</v>
      </c>
      <c r="D87" s="136" t="s">
        <v>285</v>
      </c>
      <c r="E87" s="368"/>
      <c r="F87" s="136" t="s">
        <v>286</v>
      </c>
      <c r="H87" s="368"/>
      <c r="I87" s="126" t="s">
        <v>287</v>
      </c>
      <c r="J87" s="328"/>
      <c r="K87" s="129"/>
    </row>
    <row r="88" spans="1:15" ht="16.5" thickBot="1">
      <c r="A88" s="127" t="s">
        <v>216</v>
      </c>
      <c r="B88" s="369" t="s">
        <v>288</v>
      </c>
      <c r="C88" s="328"/>
      <c r="D88" s="328"/>
      <c r="E88" s="328"/>
      <c r="F88" s="328"/>
      <c r="G88" s="328"/>
      <c r="H88" s="328"/>
      <c r="I88" s="328"/>
      <c r="J88" s="328"/>
      <c r="K88" s="151"/>
    </row>
    <row r="89" spans="1:15">
      <c r="A89" s="126"/>
      <c r="B89" s="138" t="s">
        <v>289</v>
      </c>
      <c r="C89" s="328"/>
      <c r="D89" s="328"/>
      <c r="E89" s="328"/>
      <c r="F89" s="328"/>
      <c r="G89" s="328"/>
      <c r="H89" s="328"/>
      <c r="I89" s="328"/>
      <c r="J89" s="328"/>
      <c r="K89" s="151"/>
    </row>
    <row r="90" spans="1:15">
      <c r="A90" s="126">
        <v>1</v>
      </c>
      <c r="B90" s="138" t="s">
        <v>290</v>
      </c>
      <c r="C90" s="151" t="s">
        <v>291</v>
      </c>
      <c r="D90" s="338">
        <f>+Plant!G24</f>
        <v>347728.25</v>
      </c>
      <c r="E90" s="151"/>
      <c r="F90" s="333" t="s">
        <v>292</v>
      </c>
      <c r="G90" s="370"/>
      <c r="H90" s="328"/>
      <c r="I90" s="371"/>
      <c r="J90" s="328"/>
      <c r="K90" s="151"/>
    </row>
    <row r="91" spans="1:15">
      <c r="A91" s="126">
        <v>2</v>
      </c>
      <c r="B91" s="138" t="s">
        <v>293</v>
      </c>
      <c r="C91" s="151" t="s">
        <v>294</v>
      </c>
      <c r="D91" s="338">
        <v>0</v>
      </c>
      <c r="E91" s="151"/>
      <c r="F91" s="333" t="s">
        <v>224</v>
      </c>
      <c r="G91" s="372">
        <f>I249</f>
        <v>1</v>
      </c>
      <c r="H91" s="328"/>
      <c r="I91" s="162">
        <f>+G91*D91</f>
        <v>0</v>
      </c>
      <c r="J91" s="328"/>
      <c r="K91" s="151"/>
      <c r="M91" s="323"/>
      <c r="N91" s="323"/>
      <c r="O91" s="323"/>
    </row>
    <row r="92" spans="1:15">
      <c r="A92" s="137" t="s">
        <v>295</v>
      </c>
      <c r="B92" s="373" t="s">
        <v>296</v>
      </c>
      <c r="C92" s="374"/>
      <c r="D92" s="338">
        <f>+Plant!H24</f>
        <v>25543167.009999994</v>
      </c>
      <c r="E92" s="424"/>
      <c r="F92" s="377" t="s">
        <v>292</v>
      </c>
      <c r="G92" s="378">
        <v>1</v>
      </c>
      <c r="H92" s="376"/>
      <c r="I92" s="379">
        <f>+G92*D92</f>
        <v>25543167.009999994</v>
      </c>
      <c r="J92" s="328"/>
      <c r="K92" s="151"/>
      <c r="M92" s="323"/>
      <c r="N92" s="323"/>
      <c r="O92" s="323"/>
    </row>
    <row r="93" spans="1:15">
      <c r="A93" s="126">
        <v>3</v>
      </c>
      <c r="B93" s="138" t="s">
        <v>297</v>
      </c>
      <c r="C93" s="151" t="s">
        <v>298</v>
      </c>
      <c r="D93" s="338">
        <v>0</v>
      </c>
      <c r="E93" s="151"/>
      <c r="F93" s="333" t="s">
        <v>292</v>
      </c>
      <c r="G93" s="370"/>
      <c r="H93" s="328"/>
      <c r="I93" s="371"/>
      <c r="J93" s="328"/>
      <c r="K93" s="151"/>
    </row>
    <row r="94" spans="1:15">
      <c r="A94" s="126">
        <v>4</v>
      </c>
      <c r="B94" s="138" t="s">
        <v>299</v>
      </c>
      <c r="C94" s="151" t="s">
        <v>300</v>
      </c>
      <c r="D94" s="338">
        <f>+Plant!J24</f>
        <v>1582870.4038461542</v>
      </c>
      <c r="E94" s="424"/>
      <c r="F94" s="333" t="s">
        <v>301</v>
      </c>
      <c r="G94" s="372">
        <f>I266</f>
        <v>0.17186099756874848</v>
      </c>
      <c r="H94" s="328"/>
      <c r="I94" s="162">
        <f>+G94*D94</f>
        <v>272033.68662704783</v>
      </c>
      <c r="J94" s="328"/>
      <c r="K94" s="151"/>
    </row>
    <row r="95" spans="1:15" ht="16.5" thickBot="1">
      <c r="A95" s="126">
        <v>5</v>
      </c>
      <c r="B95" s="138" t="s">
        <v>302</v>
      </c>
      <c r="C95" s="151" t="s">
        <v>303</v>
      </c>
      <c r="D95" s="380">
        <v>0</v>
      </c>
      <c r="E95" s="151"/>
      <c r="F95" s="333" t="s">
        <v>304</v>
      </c>
      <c r="G95" s="372">
        <f>K270</f>
        <v>0.17186099756874848</v>
      </c>
      <c r="H95" s="328"/>
      <c r="I95" s="339">
        <f>+G95*D95</f>
        <v>0</v>
      </c>
      <c r="J95" s="328"/>
      <c r="K95" s="151"/>
    </row>
    <row r="96" spans="1:15">
      <c r="A96" s="126">
        <v>6</v>
      </c>
      <c r="B96" s="138" t="s">
        <v>305</v>
      </c>
      <c r="C96" s="151"/>
      <c r="D96" s="162">
        <f>SUM(D90:D95)</f>
        <v>27473765.66384615</v>
      </c>
      <c r="E96" s="151"/>
      <c r="F96" s="333" t="s">
        <v>306</v>
      </c>
      <c r="G96" s="381">
        <f>IF(I96&gt;0,I96/D96,0)</f>
        <v>0.93963095603593649</v>
      </c>
      <c r="H96" s="328"/>
      <c r="I96" s="162">
        <f>SUM(I90:I95)</f>
        <v>25815200.696627043</v>
      </c>
      <c r="J96" s="328"/>
      <c r="K96" s="382"/>
    </row>
    <row r="97" spans="1:11">
      <c r="B97" s="138"/>
      <c r="C97" s="151"/>
      <c r="D97" s="328"/>
      <c r="E97" s="151"/>
      <c r="F97" s="333"/>
      <c r="G97" s="362"/>
      <c r="H97" s="328"/>
      <c r="I97" s="328"/>
      <c r="J97" s="328"/>
      <c r="K97" s="382"/>
    </row>
    <row r="98" spans="1:11">
      <c r="B98" s="138" t="s">
        <v>307</v>
      </c>
      <c r="C98" s="151"/>
      <c r="D98" s="328"/>
      <c r="E98" s="328"/>
      <c r="F98" s="333"/>
      <c r="G98" s="328"/>
      <c r="H98" s="328"/>
      <c r="I98" s="328"/>
      <c r="J98" s="328"/>
      <c r="K98" s="151"/>
    </row>
    <row r="99" spans="1:11">
      <c r="A99" s="126">
        <v>7</v>
      </c>
      <c r="B99" s="383" t="str">
        <f>+B90</f>
        <v xml:space="preserve">  Production</v>
      </c>
      <c r="C99" s="151" t="s">
        <v>308</v>
      </c>
      <c r="D99" s="338">
        <f>+Plant!G42</f>
        <v>62280.640000000007</v>
      </c>
      <c r="E99" s="328"/>
      <c r="F99" s="335" t="str">
        <f>+F90</f>
        <v>NA</v>
      </c>
      <c r="G99" s="370"/>
      <c r="H99" s="328"/>
      <c r="I99" s="371"/>
      <c r="J99" s="328"/>
      <c r="K99" s="151"/>
    </row>
    <row r="100" spans="1:11">
      <c r="A100" s="126">
        <v>8</v>
      </c>
      <c r="B100" s="383" t="str">
        <f>+B91</f>
        <v xml:space="preserve">  Transmission</v>
      </c>
      <c r="C100" s="151" t="s">
        <v>309</v>
      </c>
      <c r="D100" s="338">
        <v>0</v>
      </c>
      <c r="E100" s="328"/>
      <c r="F100" s="335" t="str">
        <f>+F91</f>
        <v>TP</v>
      </c>
      <c r="G100" s="372">
        <f>+G91</f>
        <v>1</v>
      </c>
      <c r="H100" s="328"/>
      <c r="I100" s="162">
        <f>+G100*D100</f>
        <v>0</v>
      </c>
      <c r="J100" s="328"/>
      <c r="K100" s="151"/>
    </row>
    <row r="101" spans="1:11">
      <c r="A101" s="137" t="s">
        <v>310</v>
      </c>
      <c r="B101" s="373" t="s">
        <v>296</v>
      </c>
      <c r="C101" s="384"/>
      <c r="D101" s="338">
        <f>+Plant!H42</f>
        <v>1229414.6592307694</v>
      </c>
      <c r="E101" s="376"/>
      <c r="F101" s="377" t="s">
        <v>292</v>
      </c>
      <c r="G101" s="378">
        <v>1</v>
      </c>
      <c r="H101" s="376"/>
      <c r="I101" s="379">
        <f>+G101*D101</f>
        <v>1229414.6592307694</v>
      </c>
      <c r="J101" s="328"/>
      <c r="K101" s="151"/>
    </row>
    <row r="102" spans="1:11">
      <c r="A102" s="126">
        <v>9</v>
      </c>
      <c r="B102" s="386" t="str">
        <f>+B93</f>
        <v xml:space="preserve">  Distribution</v>
      </c>
      <c r="C102" s="151" t="s">
        <v>311</v>
      </c>
      <c r="D102" s="338">
        <v>0</v>
      </c>
      <c r="E102" s="328"/>
      <c r="F102" s="335" t="str">
        <f t="shared" ref="F102:G104" si="1">+F93</f>
        <v>NA</v>
      </c>
      <c r="G102" s="370"/>
      <c r="H102" s="328"/>
      <c r="I102" s="371"/>
      <c r="J102" s="328"/>
      <c r="K102" s="151"/>
    </row>
    <row r="103" spans="1:11">
      <c r="A103" s="126">
        <v>10</v>
      </c>
      <c r="B103" s="386" t="str">
        <f>+B94</f>
        <v xml:space="preserve">  General &amp; Intangible</v>
      </c>
      <c r="C103" s="151" t="s">
        <v>312</v>
      </c>
      <c r="D103" s="338">
        <f>+Plant!J42</f>
        <v>906466.9384615384</v>
      </c>
      <c r="E103" s="328"/>
      <c r="F103" s="335" t="str">
        <f t="shared" si="1"/>
        <v>W/S</v>
      </c>
      <c r="G103" s="372">
        <f t="shared" si="1"/>
        <v>0.17186099756874848</v>
      </c>
      <c r="H103" s="328"/>
      <c r="I103" s="162">
        <f>+G103*D103</f>
        <v>155786.31230708933</v>
      </c>
      <c r="J103" s="328"/>
      <c r="K103" s="151"/>
    </row>
    <row r="104" spans="1:11" ht="16.5" thickBot="1">
      <c r="A104" s="126">
        <v>11</v>
      </c>
      <c r="B104" s="386" t="str">
        <f>+B95</f>
        <v xml:space="preserve">  Common</v>
      </c>
      <c r="C104" s="151" t="s">
        <v>303</v>
      </c>
      <c r="D104" s="380">
        <v>0</v>
      </c>
      <c r="E104" s="328"/>
      <c r="F104" s="335" t="str">
        <f t="shared" si="1"/>
        <v>CE</v>
      </c>
      <c r="G104" s="372">
        <f t="shared" si="1"/>
        <v>0.17186099756874848</v>
      </c>
      <c r="H104" s="328"/>
      <c r="I104" s="339">
        <f>+G104*D104</f>
        <v>0</v>
      </c>
      <c r="J104" s="328"/>
      <c r="K104" s="151"/>
    </row>
    <row r="105" spans="1:11">
      <c r="A105" s="126">
        <v>12</v>
      </c>
      <c r="B105" s="318" t="s">
        <v>313</v>
      </c>
      <c r="C105" s="328"/>
      <c r="D105" s="162">
        <f>SUM(D99:D104)</f>
        <v>2198162.2376923077</v>
      </c>
      <c r="E105" s="328"/>
      <c r="F105" s="328"/>
      <c r="G105" s="328"/>
      <c r="H105" s="328"/>
      <c r="I105" s="162">
        <f>SUM(I99:I104)</f>
        <v>1385200.9715378587</v>
      </c>
      <c r="J105" s="328"/>
      <c r="K105" s="151"/>
    </row>
    <row r="106" spans="1:11">
      <c r="A106" s="126"/>
      <c r="C106" s="328" t="s">
        <v>211</v>
      </c>
      <c r="E106" s="328"/>
      <c r="F106" s="328"/>
      <c r="G106" s="362"/>
      <c r="H106" s="328"/>
      <c r="J106" s="328"/>
      <c r="K106" s="382"/>
    </row>
    <row r="107" spans="1:11">
      <c r="A107" s="126"/>
      <c r="B107" s="318" t="s">
        <v>314</v>
      </c>
      <c r="C107" s="328"/>
      <c r="D107" s="328"/>
      <c r="E107" s="328"/>
      <c r="F107" s="328"/>
      <c r="G107" s="328"/>
      <c r="H107" s="328"/>
      <c r="I107" s="328"/>
      <c r="J107" s="328"/>
      <c r="K107" s="151"/>
    </row>
    <row r="108" spans="1:11">
      <c r="A108" s="126">
        <v>13</v>
      </c>
      <c r="B108" s="386" t="str">
        <f>+B99</f>
        <v xml:space="preserve">  Production</v>
      </c>
      <c r="C108" s="328" t="s">
        <v>315</v>
      </c>
      <c r="D108" s="162">
        <f t="shared" ref="D108:D113" si="2">D90-D99</f>
        <v>285447.61</v>
      </c>
      <c r="E108" s="328"/>
      <c r="F108" s="328"/>
      <c r="G108" s="362"/>
      <c r="H108" s="328"/>
      <c r="I108" s="328" t="s">
        <v>211</v>
      </c>
      <c r="J108" s="328"/>
      <c r="K108" s="382"/>
    </row>
    <row r="109" spans="1:11">
      <c r="A109" s="126">
        <v>14</v>
      </c>
      <c r="B109" s="386" t="str">
        <f>+B100</f>
        <v xml:space="preserve">  Transmission</v>
      </c>
      <c r="C109" s="328" t="s">
        <v>316</v>
      </c>
      <c r="D109" s="162">
        <f t="shared" si="2"/>
        <v>0</v>
      </c>
      <c r="E109" s="328"/>
      <c r="F109" s="328"/>
      <c r="G109" s="387"/>
      <c r="H109" s="328"/>
      <c r="I109" s="162">
        <f>I91-I100</f>
        <v>0</v>
      </c>
      <c r="J109" s="328"/>
      <c r="K109" s="382"/>
    </row>
    <row r="110" spans="1:11">
      <c r="A110" s="137" t="s">
        <v>317</v>
      </c>
      <c r="B110" s="373" t="s">
        <v>318</v>
      </c>
      <c r="C110" s="374"/>
      <c r="D110" s="379">
        <f t="shared" si="2"/>
        <v>24313752.350769226</v>
      </c>
      <c r="E110" s="376"/>
      <c r="F110" s="376"/>
      <c r="G110" s="388"/>
      <c r="H110" s="376"/>
      <c r="I110" s="379">
        <f>I92-I101</f>
        <v>24313752.350769226</v>
      </c>
      <c r="J110" s="328"/>
      <c r="K110" s="382"/>
    </row>
    <row r="111" spans="1:11">
      <c r="A111" s="126">
        <v>15</v>
      </c>
      <c r="B111" s="386" t="str">
        <f>+B102</f>
        <v xml:space="preserve">  Distribution</v>
      </c>
      <c r="C111" s="328" t="s">
        <v>319</v>
      </c>
      <c r="D111" s="162">
        <f t="shared" si="2"/>
        <v>0</v>
      </c>
      <c r="E111" s="328"/>
      <c r="F111" s="328"/>
      <c r="G111" s="370"/>
      <c r="H111" s="328"/>
      <c r="I111" s="371"/>
      <c r="J111" s="328"/>
      <c r="K111" s="382"/>
    </row>
    <row r="112" spans="1:11">
      <c r="A112" s="126">
        <v>16</v>
      </c>
      <c r="B112" s="386" t="str">
        <f>+B103</f>
        <v xml:space="preserve">  General &amp; Intangible</v>
      </c>
      <c r="C112" s="328" t="s">
        <v>320</v>
      </c>
      <c r="D112" s="162">
        <f t="shared" si="2"/>
        <v>676403.46538461582</v>
      </c>
      <c r="E112" s="328"/>
      <c r="F112" s="328"/>
      <c r="G112" s="362"/>
      <c r="H112" s="328"/>
      <c r="I112" s="162">
        <f>I94-I103</f>
        <v>116247.3743199585</v>
      </c>
      <c r="J112" s="328"/>
      <c r="K112" s="382"/>
    </row>
    <row r="113" spans="1:11" ht="16.5" thickBot="1">
      <c r="A113" s="126">
        <v>17</v>
      </c>
      <c r="B113" s="386" t="str">
        <f>+B104</f>
        <v xml:space="preserve">  Common</v>
      </c>
      <c r="C113" s="328" t="s">
        <v>321</v>
      </c>
      <c r="D113" s="339">
        <f t="shared" si="2"/>
        <v>0</v>
      </c>
      <c r="E113" s="328"/>
      <c r="F113" s="328"/>
      <c r="G113" s="362"/>
      <c r="H113" s="328"/>
      <c r="I113" s="339">
        <f>I95-I104</f>
        <v>0</v>
      </c>
      <c r="J113" s="328"/>
      <c r="K113" s="382"/>
    </row>
    <row r="114" spans="1:11">
      <c r="A114" s="126">
        <v>18</v>
      </c>
      <c r="B114" s="318" t="s">
        <v>322</v>
      </c>
      <c r="C114" s="328"/>
      <c r="D114" s="162">
        <f>SUM(D108:D113)</f>
        <v>25275603.426153842</v>
      </c>
      <c r="E114" s="328"/>
      <c r="F114" s="333" t="s">
        <v>323</v>
      </c>
      <c r="G114" s="381">
        <f>IF(I114&gt;0,I114/D114,0)</f>
        <v>0.96654466812097262</v>
      </c>
      <c r="H114" s="328"/>
      <c r="I114" s="162">
        <f>SUM(I108:I113)</f>
        <v>24429999.725089185</v>
      </c>
      <c r="J114" s="328"/>
      <c r="K114" s="151"/>
    </row>
    <row r="115" spans="1:11">
      <c r="A115" s="126"/>
      <c r="B115" s="138"/>
      <c r="C115" s="151"/>
      <c r="D115" s="328"/>
      <c r="E115" s="328"/>
      <c r="F115" s="333"/>
      <c r="G115" s="362"/>
      <c r="H115" s="328"/>
      <c r="I115" s="328"/>
      <c r="J115" s="328"/>
      <c r="K115" s="151"/>
    </row>
    <row r="116" spans="1:11">
      <c r="A116" s="137" t="s">
        <v>324</v>
      </c>
      <c r="B116" s="373" t="s">
        <v>325</v>
      </c>
      <c r="C116" s="374"/>
      <c r="D116" s="385">
        <f>+CWIP!K24</f>
        <v>25517.600000000009</v>
      </c>
      <c r="E116" s="376"/>
      <c r="F116" s="389" t="s">
        <v>292</v>
      </c>
      <c r="G116" s="388">
        <v>1</v>
      </c>
      <c r="H116" s="376"/>
      <c r="I116" s="379">
        <f>G116*D116</f>
        <v>25517.600000000009</v>
      </c>
      <c r="J116" s="328"/>
      <c r="K116" s="151"/>
    </row>
    <row r="117" spans="1:11">
      <c r="A117" s="126"/>
      <c r="C117" s="328"/>
      <c r="E117" s="328"/>
      <c r="F117" s="390"/>
      <c r="H117" s="328"/>
      <c r="J117" s="328"/>
      <c r="K117" s="382"/>
    </row>
    <row r="118" spans="1:11">
      <c r="A118" s="126"/>
      <c r="B118" s="318" t="s">
        <v>326</v>
      </c>
      <c r="C118" s="328"/>
      <c r="D118" s="328"/>
      <c r="E118" s="328"/>
      <c r="F118" s="333"/>
      <c r="G118" s="328"/>
      <c r="H118" s="328"/>
      <c r="I118" s="328"/>
      <c r="J118" s="328"/>
      <c r="K118" s="151"/>
    </row>
    <row r="119" spans="1:11">
      <c r="A119" s="126">
        <v>19</v>
      </c>
      <c r="B119" s="318" t="s">
        <v>327</v>
      </c>
      <c r="C119" s="328" t="s">
        <v>328</v>
      </c>
      <c r="D119" s="338">
        <v>0</v>
      </c>
      <c r="E119" s="151"/>
      <c r="F119" s="391" t="str">
        <f>+F99</f>
        <v>NA</v>
      </c>
      <c r="G119" s="392" t="s">
        <v>329</v>
      </c>
      <c r="H119" s="328"/>
      <c r="I119" s="328">
        <v>0</v>
      </c>
      <c r="J119" s="328"/>
      <c r="K119" s="382"/>
    </row>
    <row r="120" spans="1:11">
      <c r="A120" s="126">
        <v>20</v>
      </c>
      <c r="B120" s="318" t="s">
        <v>330</v>
      </c>
      <c r="C120" s="328" t="s">
        <v>331</v>
      </c>
      <c r="D120" s="338">
        <v>0</v>
      </c>
      <c r="E120" s="328"/>
      <c r="F120" s="333" t="s">
        <v>332</v>
      </c>
      <c r="G120" s="372">
        <f>+G114</f>
        <v>0.96654466812097262</v>
      </c>
      <c r="H120" s="328"/>
      <c r="I120" s="162">
        <f>D120*G120</f>
        <v>0</v>
      </c>
      <c r="J120" s="328"/>
      <c r="K120" s="382"/>
    </row>
    <row r="121" spans="1:11">
      <c r="A121" s="126">
        <v>21</v>
      </c>
      <c r="B121" s="318" t="s">
        <v>333</v>
      </c>
      <c r="C121" s="328" t="s">
        <v>334</v>
      </c>
      <c r="D121" s="393">
        <v>0</v>
      </c>
      <c r="E121" s="328"/>
      <c r="F121" s="333" t="s">
        <v>332</v>
      </c>
      <c r="G121" s="372">
        <f>+G120</f>
        <v>0.96654466812097262</v>
      </c>
      <c r="H121" s="328"/>
      <c r="I121" s="162">
        <f>D121*G121</f>
        <v>0</v>
      </c>
      <c r="J121" s="328"/>
      <c r="K121" s="382"/>
    </row>
    <row r="122" spans="1:11">
      <c r="A122" s="126">
        <v>22</v>
      </c>
      <c r="B122" s="318" t="s">
        <v>335</v>
      </c>
      <c r="C122" s="328" t="s">
        <v>336</v>
      </c>
      <c r="D122" s="393">
        <v>0</v>
      </c>
      <c r="E122" s="328"/>
      <c r="F122" s="335" t="str">
        <f>+F121</f>
        <v>NP</v>
      </c>
      <c r="G122" s="372">
        <f>+G121</f>
        <v>0.96654466812097262</v>
      </c>
      <c r="H122" s="328"/>
      <c r="I122" s="162">
        <f>D122*G122</f>
        <v>0</v>
      </c>
      <c r="J122" s="328"/>
      <c r="K122" s="382"/>
    </row>
    <row r="123" spans="1:11">
      <c r="A123" s="126">
        <v>23</v>
      </c>
      <c r="B123" s="321" t="s">
        <v>337</v>
      </c>
      <c r="C123" s="321" t="s">
        <v>338</v>
      </c>
      <c r="D123" s="393">
        <v>0</v>
      </c>
      <c r="E123" s="361"/>
      <c r="F123" s="394" t="s">
        <v>332</v>
      </c>
      <c r="G123" s="395">
        <f>+G121</f>
        <v>0.96654466812097262</v>
      </c>
      <c r="H123" s="361"/>
      <c r="I123" s="396">
        <f>D123*G123</f>
        <v>0</v>
      </c>
      <c r="J123" s="328"/>
      <c r="K123" s="382"/>
    </row>
    <row r="124" spans="1:11">
      <c r="A124" s="137" t="s">
        <v>339</v>
      </c>
      <c r="B124" s="373" t="s">
        <v>340</v>
      </c>
      <c r="C124" s="384"/>
      <c r="D124" s="375">
        <v>0</v>
      </c>
      <c r="E124" s="397"/>
      <c r="F124" s="398" t="s">
        <v>292</v>
      </c>
      <c r="G124" s="399">
        <v>1</v>
      </c>
      <c r="H124" s="397"/>
      <c r="I124" s="400">
        <f>D124*G124</f>
        <v>0</v>
      </c>
      <c r="J124" s="328"/>
      <c r="K124" s="382"/>
    </row>
    <row r="125" spans="1:11">
      <c r="A125" s="137" t="s">
        <v>341</v>
      </c>
      <c r="B125" s="373" t="s">
        <v>342</v>
      </c>
      <c r="C125" s="384"/>
      <c r="D125" s="375">
        <v>0</v>
      </c>
      <c r="E125" s="376"/>
      <c r="F125" s="377" t="s">
        <v>292</v>
      </c>
      <c r="G125" s="378">
        <v>1</v>
      </c>
      <c r="H125" s="376"/>
      <c r="I125" s="400">
        <f>G125*D125</f>
        <v>0</v>
      </c>
      <c r="J125" s="328"/>
      <c r="K125" s="382"/>
    </row>
    <row r="126" spans="1:11" ht="16.5" thickBot="1">
      <c r="A126" s="137" t="s">
        <v>343</v>
      </c>
      <c r="B126" s="373" t="s">
        <v>344</v>
      </c>
      <c r="C126" s="384"/>
      <c r="D126" s="401">
        <f>+'Regulatory Asset'!J25</f>
        <v>3955202.2769230762</v>
      </c>
      <c r="E126" s="376"/>
      <c r="F126" s="398" t="s">
        <v>292</v>
      </c>
      <c r="G126" s="399">
        <v>1</v>
      </c>
      <c r="H126" s="376"/>
      <c r="I126" s="402">
        <f>G126*D126</f>
        <v>3955202.2769230762</v>
      </c>
      <c r="J126" s="328"/>
      <c r="K126" s="382"/>
    </row>
    <row r="127" spans="1:11">
      <c r="A127" s="126">
        <v>24</v>
      </c>
      <c r="B127" s="138" t="s">
        <v>345</v>
      </c>
      <c r="C127" s="151"/>
      <c r="D127" s="162">
        <f>SUM(D119:D126)</f>
        <v>3955202.2769230762</v>
      </c>
      <c r="E127" s="328"/>
      <c r="F127" s="333"/>
      <c r="G127" s="328"/>
      <c r="H127" s="328"/>
      <c r="I127" s="162">
        <f>SUM(I119:I126)</f>
        <v>3955202.2769230762</v>
      </c>
      <c r="J127" s="328"/>
      <c r="K127" s="151"/>
    </row>
    <row r="128" spans="1:11">
      <c r="A128" s="126"/>
      <c r="B128" s="323"/>
      <c r="C128" s="151"/>
      <c r="E128" s="328"/>
      <c r="F128" s="333"/>
      <c r="G128" s="362"/>
      <c r="H128" s="328"/>
      <c r="J128" s="328"/>
      <c r="K128" s="382"/>
    </row>
    <row r="129" spans="1:13">
      <c r="A129" s="126">
        <v>25</v>
      </c>
      <c r="B129" s="138" t="s">
        <v>346</v>
      </c>
      <c r="C129" s="151" t="s">
        <v>347</v>
      </c>
      <c r="D129" s="338">
        <v>0</v>
      </c>
      <c r="E129" s="328"/>
      <c r="F129" s="335" t="str">
        <f>+F100</f>
        <v>TP</v>
      </c>
      <c r="G129" s="372">
        <f>+G100</f>
        <v>1</v>
      </c>
      <c r="H129" s="328"/>
      <c r="I129" s="162">
        <f>+G129*D129</f>
        <v>0</v>
      </c>
      <c r="J129" s="328"/>
      <c r="K129" s="151"/>
    </row>
    <row r="130" spans="1:13">
      <c r="A130" s="126"/>
      <c r="B130" s="138"/>
      <c r="C130" s="151"/>
      <c r="D130" s="328"/>
      <c r="E130" s="328"/>
      <c r="F130" s="333"/>
      <c r="G130" s="328"/>
      <c r="H130" s="328"/>
      <c r="I130" s="328"/>
      <c r="J130" s="328"/>
      <c r="K130" s="151"/>
    </row>
    <row r="131" spans="1:13">
      <c r="A131" s="126"/>
      <c r="B131" s="138" t="s">
        <v>348</v>
      </c>
      <c r="C131" s="151" t="s">
        <v>211</v>
      </c>
      <c r="D131" s="328"/>
      <c r="E131" s="328"/>
      <c r="F131" s="333"/>
      <c r="G131" s="328"/>
      <c r="H131" s="328"/>
      <c r="I131" s="328"/>
      <c r="J131" s="328"/>
      <c r="K131" s="151"/>
    </row>
    <row r="132" spans="1:13">
      <c r="A132" s="126">
        <v>26</v>
      </c>
      <c r="B132" s="138" t="s">
        <v>349</v>
      </c>
      <c r="C132" s="323" t="s">
        <v>350</v>
      </c>
      <c r="D132" s="162">
        <f>+D180/8</f>
        <v>479925.51875000005</v>
      </c>
      <c r="E132" s="328"/>
      <c r="F132" s="333"/>
      <c r="G132" s="362"/>
      <c r="H132" s="328"/>
      <c r="I132" s="162">
        <f>+I180/8</f>
        <v>277969.26432347659</v>
      </c>
      <c r="J132" s="123"/>
      <c r="K132" s="382"/>
    </row>
    <row r="133" spans="1:13">
      <c r="A133" s="126">
        <v>27</v>
      </c>
      <c r="B133" s="138" t="s">
        <v>351</v>
      </c>
      <c r="C133" s="151" t="s">
        <v>352</v>
      </c>
      <c r="D133" s="338">
        <v>0</v>
      </c>
      <c r="E133" s="328"/>
      <c r="F133" s="333" t="s">
        <v>353</v>
      </c>
      <c r="G133" s="372">
        <f>I258</f>
        <v>1</v>
      </c>
      <c r="H133" s="328"/>
      <c r="I133" s="162">
        <f>+G133*D133</f>
        <v>0</v>
      </c>
      <c r="J133" s="328" t="s">
        <v>211</v>
      </c>
      <c r="K133" s="382"/>
    </row>
    <row r="134" spans="1:13" ht="16.5" thickBot="1">
      <c r="A134" s="126">
        <v>28</v>
      </c>
      <c r="B134" s="138" t="s">
        <v>354</v>
      </c>
      <c r="C134" s="151" t="s">
        <v>355</v>
      </c>
      <c r="D134" s="380">
        <f>+'Materials and Prepayments'!H24</f>
        <v>39835.67769230769</v>
      </c>
      <c r="E134" s="328"/>
      <c r="F134" s="333" t="s">
        <v>356</v>
      </c>
      <c r="G134" s="372">
        <f>+G96</f>
        <v>0.93963095603593649</v>
      </c>
      <c r="H134" s="328"/>
      <c r="I134" s="339">
        <f>+G134*D134</f>
        <v>37430.835914362506</v>
      </c>
      <c r="J134" s="328"/>
      <c r="K134" s="382"/>
      <c r="M134" s="526">
        <f>+G134</f>
        <v>0.93963095603593649</v>
      </c>
    </row>
    <row r="135" spans="1:13">
      <c r="A135" s="126">
        <v>29</v>
      </c>
      <c r="B135" s="138" t="s">
        <v>357</v>
      </c>
      <c r="C135" s="131"/>
      <c r="D135" s="162">
        <f>D132+D133+D134</f>
        <v>519761.19644230773</v>
      </c>
      <c r="E135" s="123"/>
      <c r="F135" s="123"/>
      <c r="G135" s="123"/>
      <c r="H135" s="123"/>
      <c r="I135" s="162">
        <f>I132+I133+I134</f>
        <v>315400.1002378391</v>
      </c>
      <c r="J135" s="123"/>
      <c r="K135" s="131"/>
    </row>
    <row r="136" spans="1:13" ht="16.5" thickBot="1">
      <c r="B136" s="323"/>
      <c r="C136" s="151"/>
      <c r="D136" s="324"/>
      <c r="E136" s="328"/>
      <c r="F136" s="328"/>
      <c r="G136" s="328"/>
      <c r="H136" s="328"/>
      <c r="I136" s="324"/>
      <c r="J136" s="328"/>
      <c r="K136" s="151"/>
    </row>
    <row r="137" spans="1:13" ht="16.5" thickBot="1">
      <c r="A137" s="139">
        <v>30</v>
      </c>
      <c r="B137" s="373" t="s">
        <v>358</v>
      </c>
      <c r="C137" s="374"/>
      <c r="D137" s="403">
        <f>D114+D127+D129+D135-D110-D124-D125-D126</f>
        <v>1481612.271826922</v>
      </c>
      <c r="E137" s="376"/>
      <c r="F137" s="376"/>
      <c r="G137" s="404"/>
      <c r="H137" s="376"/>
      <c r="I137" s="403">
        <f>I114+I127+I129+I135-I110-I124-I125-I126</f>
        <v>431647.47455779742</v>
      </c>
      <c r="J137" s="328"/>
      <c r="K137" s="382"/>
    </row>
    <row r="138" spans="1:13" ht="16.5" thickBot="1">
      <c r="A138" s="139"/>
      <c r="B138" s="405"/>
      <c r="C138" s="374"/>
      <c r="D138" s="406"/>
      <c r="E138" s="376"/>
      <c r="F138" s="376"/>
      <c r="G138" s="376"/>
      <c r="H138" s="376"/>
      <c r="I138" s="406"/>
      <c r="J138" s="328"/>
      <c r="K138" s="382"/>
    </row>
    <row r="139" spans="1:13" ht="16.5" thickBot="1">
      <c r="A139" s="137" t="s">
        <v>359</v>
      </c>
      <c r="B139" s="373" t="s">
        <v>360</v>
      </c>
      <c r="C139" s="374"/>
      <c r="D139" s="407">
        <f>D110+D116+D124+D125+D126</f>
        <v>28294472.227692302</v>
      </c>
      <c r="E139" s="376"/>
      <c r="F139" s="376"/>
      <c r="G139" s="376"/>
      <c r="H139" s="376"/>
      <c r="I139" s="407">
        <f>I110+I116+I124+I125+I126</f>
        <v>28294472.227692302</v>
      </c>
      <c r="J139" s="328"/>
      <c r="K139" s="382"/>
    </row>
    <row r="140" spans="1:13" ht="16.5" hidden="1" thickTop="1">
      <c r="A140" s="126"/>
      <c r="B140" s="318"/>
      <c r="C140" s="328"/>
      <c r="D140" s="361"/>
      <c r="E140" s="328"/>
      <c r="F140" s="328"/>
      <c r="G140" s="362"/>
      <c r="H140" s="328"/>
      <c r="I140" s="361"/>
      <c r="J140" s="328"/>
      <c r="K140" s="382"/>
    </row>
    <row r="141" spans="1:13" ht="16.5" hidden="1" thickTop="1">
      <c r="A141" s="126" t="s">
        <v>211</v>
      </c>
      <c r="B141" s="318"/>
      <c r="C141" s="328"/>
      <c r="D141" s="361"/>
      <c r="E141" s="328"/>
      <c r="F141" s="328"/>
      <c r="G141" s="362"/>
      <c r="H141" s="328"/>
      <c r="I141" s="361"/>
      <c r="J141" s="328"/>
      <c r="K141" s="382"/>
    </row>
    <row r="142" spans="1:13" ht="16.5" hidden="1" thickTop="1">
      <c r="A142" s="126"/>
      <c r="B142" s="318"/>
      <c r="C142" s="328"/>
      <c r="D142" s="361"/>
      <c r="E142" s="328"/>
      <c r="F142" s="328"/>
      <c r="G142" s="362"/>
      <c r="H142" s="328"/>
      <c r="I142" s="361"/>
      <c r="J142" s="328"/>
      <c r="K142" s="382"/>
    </row>
    <row r="143" spans="1:13" ht="16.5" hidden="1" thickTop="1">
      <c r="A143" s="126"/>
      <c r="B143" s="318"/>
      <c r="C143" s="328"/>
      <c r="D143" s="361"/>
      <c r="E143" s="328"/>
      <c r="F143" s="328"/>
      <c r="G143" s="362"/>
      <c r="H143" s="328"/>
      <c r="I143" s="361"/>
      <c r="J143" s="328"/>
      <c r="K143" s="382"/>
    </row>
    <row r="144" spans="1:13" ht="16.5" hidden="1" thickTop="1">
      <c r="A144" s="126"/>
      <c r="B144" s="318"/>
      <c r="C144" s="328"/>
      <c r="D144" s="361"/>
      <c r="E144" s="328"/>
      <c r="F144" s="328"/>
      <c r="G144" s="362"/>
      <c r="H144" s="328"/>
      <c r="I144" s="361"/>
      <c r="J144" s="328"/>
      <c r="K144" s="382"/>
    </row>
    <row r="145" spans="1:11" ht="16.5" hidden="1" thickTop="1">
      <c r="A145" s="126"/>
      <c r="B145" s="318"/>
      <c r="C145" s="328"/>
      <c r="D145" s="361"/>
      <c r="E145" s="328"/>
      <c r="F145" s="328"/>
      <c r="G145" s="362"/>
      <c r="H145" s="328"/>
      <c r="I145" s="361"/>
      <c r="J145" s="328"/>
      <c r="K145" s="382"/>
    </row>
    <row r="146" spans="1:11" ht="16.5" hidden="1" thickTop="1">
      <c r="A146" s="126"/>
      <c r="B146" s="318"/>
      <c r="C146" s="328"/>
      <c r="D146" s="361"/>
      <c r="E146" s="328"/>
      <c r="F146" s="328"/>
      <c r="G146" s="362"/>
      <c r="H146" s="328"/>
      <c r="I146" s="361"/>
      <c r="J146" s="328"/>
      <c r="K146" s="382"/>
    </row>
    <row r="147" spans="1:11" ht="16.5" hidden="1" thickTop="1">
      <c r="A147" s="126"/>
      <c r="B147" s="318"/>
      <c r="C147" s="328"/>
      <c r="D147" s="361"/>
      <c r="E147" s="328"/>
      <c r="F147" s="328"/>
      <c r="G147" s="362"/>
      <c r="H147" s="328"/>
      <c r="I147" s="361"/>
      <c r="J147" s="328"/>
      <c r="K147" s="382"/>
    </row>
    <row r="148" spans="1:11" ht="16.5" hidden="1" thickTop="1">
      <c r="A148" s="126"/>
      <c r="B148" s="318"/>
      <c r="C148" s="328"/>
      <c r="D148" s="361"/>
      <c r="E148" s="328"/>
      <c r="F148" s="328"/>
      <c r="G148" s="362"/>
      <c r="H148" s="328"/>
      <c r="I148" s="361"/>
      <c r="J148" s="328"/>
      <c r="K148" s="382"/>
    </row>
    <row r="149" spans="1:11" ht="16.5" hidden="1" thickTop="1">
      <c r="A149" s="126"/>
      <c r="B149" s="318"/>
      <c r="C149" s="328"/>
      <c r="D149" s="361"/>
      <c r="E149" s="328"/>
      <c r="F149" s="328"/>
      <c r="G149" s="362"/>
      <c r="H149" s="328"/>
      <c r="I149" s="361"/>
      <c r="J149" s="328"/>
      <c r="K149" s="382"/>
    </row>
    <row r="150" spans="1:11" ht="16.5" hidden="1" thickTop="1">
      <c r="A150" s="126"/>
      <c r="B150" s="318"/>
      <c r="C150" s="328"/>
      <c r="D150" s="361"/>
      <c r="E150" s="328"/>
      <c r="F150" s="328"/>
      <c r="G150" s="362"/>
      <c r="H150" s="328"/>
      <c r="I150" s="361"/>
      <c r="J150" s="328"/>
      <c r="K150" s="382"/>
    </row>
    <row r="151" spans="1:11" ht="16.5" hidden="1" thickTop="1">
      <c r="A151" s="126"/>
      <c r="B151" s="318"/>
      <c r="C151" s="328"/>
      <c r="D151" s="361"/>
      <c r="E151" s="328"/>
      <c r="F151" s="328"/>
      <c r="G151" s="362"/>
      <c r="H151" s="328"/>
      <c r="I151" s="361"/>
      <c r="J151" s="328"/>
      <c r="K151" s="382"/>
    </row>
    <row r="152" spans="1:11" ht="16.5" hidden="1" thickTop="1">
      <c r="A152" s="126"/>
      <c r="B152" s="318"/>
      <c r="C152" s="328"/>
      <c r="D152" s="361"/>
      <c r="E152" s="328"/>
      <c r="F152" s="328"/>
      <c r="G152" s="362"/>
      <c r="H152" s="328"/>
      <c r="I152" s="361"/>
      <c r="J152" s="328"/>
      <c r="K152" s="382"/>
    </row>
    <row r="153" spans="1:11" ht="16.5" hidden="1" thickTop="1">
      <c r="A153" s="126"/>
      <c r="B153" s="318"/>
      <c r="C153" s="328"/>
      <c r="D153" s="361"/>
      <c r="E153" s="328"/>
      <c r="F153" s="328"/>
      <c r="G153" s="362"/>
      <c r="H153" s="328"/>
      <c r="I153" s="361"/>
      <c r="J153" s="328"/>
      <c r="K153" s="382"/>
    </row>
    <row r="154" spans="1:11" ht="16.5" thickTop="1">
      <c r="A154" s="126"/>
      <c r="B154" s="318"/>
      <c r="C154" s="328"/>
      <c r="D154" s="361"/>
      <c r="E154" s="328"/>
      <c r="F154" s="328"/>
      <c r="G154" s="362"/>
      <c r="H154" s="328"/>
      <c r="I154" s="361"/>
      <c r="J154" s="328"/>
      <c r="K154" s="382"/>
    </row>
    <row r="155" spans="1:11">
      <c r="B155" s="318"/>
      <c r="C155" s="318"/>
      <c r="D155" s="119"/>
      <c r="E155" s="318"/>
      <c r="F155" s="318"/>
      <c r="G155" s="318"/>
      <c r="H155" s="123"/>
      <c r="I155" s="140"/>
      <c r="J155" s="140"/>
      <c r="K155" s="120"/>
    </row>
    <row r="156" spans="1:11">
      <c r="B156" s="318"/>
      <c r="C156" s="318"/>
      <c r="D156" s="119"/>
      <c r="E156" s="318"/>
      <c r="F156" s="318"/>
      <c r="G156" s="318"/>
      <c r="H156" s="123"/>
      <c r="I156" s="140"/>
      <c r="J156" s="140"/>
      <c r="K156" s="120"/>
    </row>
    <row r="157" spans="1:11">
      <c r="B157" s="318"/>
      <c r="C157" s="318"/>
      <c r="D157" s="119"/>
      <c r="E157" s="318"/>
      <c r="F157" s="318"/>
      <c r="G157" s="318"/>
      <c r="H157" s="123"/>
      <c r="I157" s="140"/>
      <c r="J157" s="140"/>
      <c r="K157" s="120"/>
    </row>
    <row r="158" spans="1:11" s="408" customFormat="1">
      <c r="A158" s="621"/>
      <c r="B158" s="621"/>
      <c r="C158" s="621"/>
      <c r="D158" s="361"/>
      <c r="E158" s="328"/>
      <c r="F158" s="328"/>
      <c r="G158" s="362"/>
      <c r="H158" s="328"/>
      <c r="I158" s="164"/>
      <c r="J158" s="164"/>
      <c r="K158" s="164"/>
    </row>
    <row r="159" spans="1:11" s="408" customFormat="1">
      <c r="A159" s="621"/>
      <c r="B159" s="621"/>
      <c r="C159" s="328"/>
      <c r="D159" s="361"/>
      <c r="E159" s="328"/>
      <c r="F159" s="328"/>
      <c r="G159" s="362"/>
      <c r="H159" s="328"/>
      <c r="I159" s="361"/>
      <c r="J159" s="328"/>
      <c r="K159" s="164"/>
    </row>
    <row r="160" spans="1:11">
      <c r="B160" s="318"/>
      <c r="C160" s="318"/>
      <c r="D160" s="119"/>
      <c r="E160" s="318"/>
      <c r="F160" s="318"/>
      <c r="G160" s="318"/>
      <c r="H160" s="622" t="str">
        <f>H4</f>
        <v>Attachment O-CMMPA Agency</v>
      </c>
      <c r="I160" s="622"/>
      <c r="J160" s="622"/>
      <c r="K160" s="622"/>
    </row>
    <row r="161" spans="1:11">
      <c r="B161" s="318"/>
      <c r="C161" s="318"/>
      <c r="D161" s="119"/>
      <c r="E161" s="318"/>
      <c r="F161" s="318"/>
      <c r="G161" s="318"/>
      <c r="H161" s="123"/>
      <c r="I161" s="123"/>
      <c r="J161" s="620" t="s">
        <v>361</v>
      </c>
      <c r="K161" s="620"/>
    </row>
    <row r="162" spans="1:11">
      <c r="B162" s="318"/>
      <c r="C162" s="318"/>
      <c r="D162" s="119"/>
      <c r="E162" s="318"/>
      <c r="F162" s="318"/>
      <c r="G162" s="318"/>
      <c r="H162" s="123"/>
      <c r="I162" s="123"/>
      <c r="J162" s="123"/>
      <c r="K162" s="120"/>
    </row>
    <row r="163" spans="1:11">
      <c r="B163" s="318" t="s">
        <v>209</v>
      </c>
      <c r="C163" s="318"/>
      <c r="D163" s="119" t="s">
        <v>362</v>
      </c>
      <c r="E163" s="318"/>
      <c r="F163" s="318"/>
      <c r="G163" s="318"/>
      <c r="H163" s="135"/>
      <c r="I163" s="135"/>
      <c r="J163" s="135"/>
      <c r="K163" s="363" t="str">
        <f>K7</f>
        <v>For the 12 months ended 12/31/2016</v>
      </c>
    </row>
    <row r="164" spans="1:11">
      <c r="B164" s="318"/>
      <c r="C164" s="328" t="s">
        <v>211</v>
      </c>
      <c r="D164" s="328" t="s">
        <v>363</v>
      </c>
      <c r="E164" s="328"/>
      <c r="F164" s="328"/>
      <c r="G164" s="328"/>
      <c r="H164" s="123"/>
      <c r="I164" s="123"/>
      <c r="J164" s="123"/>
      <c r="K164" s="131"/>
    </row>
    <row r="165" spans="1:11">
      <c r="B165" s="318"/>
      <c r="C165" s="328"/>
      <c r="D165" s="328"/>
      <c r="E165" s="328"/>
      <c r="F165" s="328"/>
      <c r="G165" s="328"/>
      <c r="H165" s="123"/>
      <c r="I165" s="123"/>
      <c r="J165" s="123"/>
      <c r="K165" s="131"/>
    </row>
    <row r="166" spans="1:11">
      <c r="A166" s="126"/>
      <c r="D166" s="409" t="str">
        <f>D10</f>
        <v>CMMPA Agency</v>
      </c>
      <c r="J166" s="328"/>
      <c r="K166" s="151"/>
    </row>
    <row r="167" spans="1:11">
      <c r="A167" s="126"/>
      <c r="B167" s="126" t="s">
        <v>278</v>
      </c>
      <c r="C167" s="126" t="s">
        <v>279</v>
      </c>
      <c r="D167" s="126" t="s">
        <v>280</v>
      </c>
      <c r="E167" s="328" t="s">
        <v>211</v>
      </c>
      <c r="F167" s="328"/>
      <c r="G167" s="364" t="s">
        <v>281</v>
      </c>
      <c r="H167" s="328"/>
      <c r="I167" s="365" t="s">
        <v>282</v>
      </c>
      <c r="J167" s="328"/>
      <c r="K167" s="151"/>
    </row>
    <row r="168" spans="1:11">
      <c r="A168" s="126" t="s">
        <v>214</v>
      </c>
      <c r="B168" s="318"/>
      <c r="C168" s="366" t="s">
        <v>283</v>
      </c>
      <c r="D168" s="328"/>
      <c r="E168" s="328"/>
      <c r="F168" s="328"/>
      <c r="G168" s="126"/>
      <c r="H168" s="328"/>
      <c r="I168" s="136" t="s">
        <v>20</v>
      </c>
      <c r="J168" s="328"/>
      <c r="K168" s="141"/>
    </row>
    <row r="169" spans="1:11" ht="16.5" thickBot="1">
      <c r="A169" s="127" t="s">
        <v>216</v>
      </c>
      <c r="B169" s="318"/>
      <c r="C169" s="367" t="s">
        <v>284</v>
      </c>
      <c r="D169" s="136" t="s">
        <v>285</v>
      </c>
      <c r="E169" s="368"/>
      <c r="F169" s="136" t="s">
        <v>286</v>
      </c>
      <c r="H169" s="368"/>
      <c r="I169" s="126" t="s">
        <v>287</v>
      </c>
      <c r="J169" s="328"/>
      <c r="K169" s="141"/>
    </row>
    <row r="170" spans="1:11">
      <c r="A170" s="126"/>
      <c r="B170" s="138" t="s">
        <v>364</v>
      </c>
      <c r="C170" s="151"/>
      <c r="D170" s="328"/>
      <c r="E170" s="328"/>
      <c r="F170" s="328"/>
      <c r="G170" s="328"/>
      <c r="H170" s="328"/>
      <c r="I170" s="328"/>
      <c r="J170" s="328"/>
      <c r="K170" s="151"/>
    </row>
    <row r="171" spans="1:11">
      <c r="A171" s="139">
        <v>1</v>
      </c>
      <c r="B171" s="138" t="s">
        <v>365</v>
      </c>
      <c r="C171" s="151" t="s">
        <v>366</v>
      </c>
      <c r="D171" s="338">
        <f>+Trans_OM!G35</f>
        <v>1888463.51</v>
      </c>
      <c r="E171" s="328"/>
      <c r="F171" s="333" t="s">
        <v>353</v>
      </c>
      <c r="G171" s="372">
        <f>I258</f>
        <v>1</v>
      </c>
      <c r="H171" s="328"/>
      <c r="I171" s="162">
        <f>+G171*D171</f>
        <v>1888463.51</v>
      </c>
      <c r="J171" s="123"/>
      <c r="K171" s="151"/>
    </row>
    <row r="172" spans="1:11">
      <c r="A172" s="129" t="s">
        <v>367</v>
      </c>
      <c r="B172" s="138" t="s">
        <v>368</v>
      </c>
      <c r="C172" s="151"/>
      <c r="D172" s="338">
        <v>0</v>
      </c>
      <c r="E172" s="328"/>
      <c r="F172" s="410"/>
      <c r="G172" s="387">
        <v>1</v>
      </c>
      <c r="H172" s="328"/>
      <c r="I172" s="162">
        <f>+G172*D172</f>
        <v>0</v>
      </c>
      <c r="J172" s="123"/>
      <c r="K172" s="151"/>
    </row>
    <row r="173" spans="1:11">
      <c r="A173" s="126">
        <v>2</v>
      </c>
      <c r="B173" s="138" t="s">
        <v>369</v>
      </c>
      <c r="C173" s="151" t="s">
        <v>370</v>
      </c>
      <c r="D173" s="338">
        <v>0</v>
      </c>
      <c r="E173" s="328"/>
      <c r="F173" s="333" t="s">
        <v>353</v>
      </c>
      <c r="G173" s="372">
        <f>+G171</f>
        <v>1</v>
      </c>
      <c r="H173" s="328"/>
      <c r="I173" s="162">
        <f t="shared" ref="I173:I179" si="3">+G173*D173</f>
        <v>0</v>
      </c>
      <c r="J173" s="123"/>
      <c r="K173" s="151"/>
    </row>
    <row r="174" spans="1:11">
      <c r="A174" s="126">
        <v>3</v>
      </c>
      <c r="B174" s="138" t="s">
        <v>371</v>
      </c>
      <c r="C174" s="151" t="s">
        <v>372</v>
      </c>
      <c r="D174" s="338">
        <f>+'A&amp;G'!H22</f>
        <v>1966256.9800000002</v>
      </c>
      <c r="E174" s="328"/>
      <c r="F174" s="333" t="s">
        <v>301</v>
      </c>
      <c r="G174" s="372">
        <f>+G103</f>
        <v>0.17186099756874848</v>
      </c>
      <c r="H174" s="328"/>
      <c r="I174" s="162">
        <f t="shared" si="3"/>
        <v>337922.88605931477</v>
      </c>
      <c r="J174" s="328"/>
      <c r="K174" s="151" t="s">
        <v>211</v>
      </c>
    </row>
    <row r="175" spans="1:11">
      <c r="A175" s="126">
        <v>4</v>
      </c>
      <c r="B175" s="138" t="s">
        <v>373</v>
      </c>
      <c r="C175" s="151"/>
      <c r="D175" s="338">
        <v>0</v>
      </c>
      <c r="E175" s="328"/>
      <c r="F175" s="335" t="str">
        <f>+F174</f>
        <v>W/S</v>
      </c>
      <c r="G175" s="372">
        <f>+G174</f>
        <v>0.17186099756874848</v>
      </c>
      <c r="H175" s="328"/>
      <c r="I175" s="162">
        <f t="shared" si="3"/>
        <v>0</v>
      </c>
      <c r="J175" s="328"/>
      <c r="K175" s="151"/>
    </row>
    <row r="176" spans="1:11">
      <c r="A176" s="126">
        <v>5</v>
      </c>
      <c r="B176" s="138" t="s">
        <v>374</v>
      </c>
      <c r="C176" s="151"/>
      <c r="D176" s="338">
        <f>+'A&amp;G'!H30</f>
        <v>15316.34</v>
      </c>
      <c r="E176" s="328"/>
      <c r="F176" s="335" t="str">
        <f>+F175</f>
        <v>W/S</v>
      </c>
      <c r="G176" s="372">
        <f>+G175</f>
        <v>0.17186099756874848</v>
      </c>
      <c r="H176" s="328"/>
      <c r="I176" s="162">
        <f t="shared" si="3"/>
        <v>2632.281471502125</v>
      </c>
      <c r="J176" s="328"/>
      <c r="K176" s="151"/>
    </row>
    <row r="177" spans="1:15">
      <c r="A177" s="126" t="s">
        <v>375</v>
      </c>
      <c r="B177" s="138" t="s">
        <v>376</v>
      </c>
      <c r="C177" s="151"/>
      <c r="D177" s="338">
        <v>0</v>
      </c>
      <c r="E177" s="328"/>
      <c r="F177" s="411" t="str">
        <f>+F171</f>
        <v>TE</v>
      </c>
      <c r="G177" s="412">
        <f>+G171</f>
        <v>1</v>
      </c>
      <c r="H177" s="328"/>
      <c r="I177" s="162">
        <f>+G177*D177</f>
        <v>0</v>
      </c>
      <c r="J177" s="328"/>
      <c r="K177" s="151"/>
    </row>
    <row r="178" spans="1:15">
      <c r="A178" s="126">
        <v>6</v>
      </c>
      <c r="B178" s="138" t="s">
        <v>302</v>
      </c>
      <c r="C178" s="171" t="str">
        <f>+C104</f>
        <v>356.1</v>
      </c>
      <c r="D178" s="338">
        <v>0</v>
      </c>
      <c r="E178" s="328"/>
      <c r="F178" s="333" t="s">
        <v>304</v>
      </c>
      <c r="G178" s="372">
        <f>+G104</f>
        <v>0.17186099756874848</v>
      </c>
      <c r="H178" s="328"/>
      <c r="I178" s="162">
        <f t="shared" si="3"/>
        <v>0</v>
      </c>
      <c r="J178" s="328"/>
      <c r="K178" s="151"/>
    </row>
    <row r="179" spans="1:15" ht="16.5" thickBot="1">
      <c r="A179" s="126">
        <v>7</v>
      </c>
      <c r="B179" s="138" t="s">
        <v>377</v>
      </c>
      <c r="C179" s="151"/>
      <c r="D179" s="380">
        <v>0</v>
      </c>
      <c r="E179" s="328"/>
      <c r="F179" s="333" t="s">
        <v>211</v>
      </c>
      <c r="G179" s="387">
        <v>1</v>
      </c>
      <c r="H179" s="328"/>
      <c r="I179" s="339">
        <f t="shared" si="3"/>
        <v>0</v>
      </c>
      <c r="J179" s="328"/>
      <c r="K179" s="151"/>
    </row>
    <row r="180" spans="1:15">
      <c r="A180" s="129">
        <v>8</v>
      </c>
      <c r="B180" s="138" t="s">
        <v>378</v>
      </c>
      <c r="C180" s="151"/>
      <c r="D180" s="171">
        <f>+D171-D173+D174-D175-D176-D172+D178+D179+D177</f>
        <v>3839404.1500000004</v>
      </c>
      <c r="E180" s="151"/>
      <c r="F180" s="164"/>
      <c r="G180" s="151"/>
      <c r="H180" s="151"/>
      <c r="I180" s="171">
        <f>+I171-I173+I174-I175-I176-I172+I178+I179+I177</f>
        <v>2223754.1145878127</v>
      </c>
      <c r="J180" s="151"/>
      <c r="K180" s="151"/>
      <c r="L180" s="323"/>
      <c r="M180" s="323"/>
      <c r="N180" s="323"/>
      <c r="O180" s="323"/>
    </row>
    <row r="181" spans="1:15">
      <c r="A181" s="126"/>
      <c r="B181" s="323"/>
      <c r="C181" s="151"/>
      <c r="E181" s="328"/>
      <c r="F181" s="333"/>
      <c r="G181" s="328"/>
      <c r="H181" s="328"/>
      <c r="J181" s="328"/>
      <c r="K181" s="151"/>
    </row>
    <row r="182" spans="1:15">
      <c r="A182" s="126"/>
      <c r="B182" s="138" t="s">
        <v>379</v>
      </c>
      <c r="C182" s="151"/>
      <c r="D182" s="328"/>
      <c r="E182" s="328"/>
      <c r="F182" s="333"/>
      <c r="G182" s="328"/>
      <c r="H182" s="328"/>
      <c r="I182" s="328"/>
      <c r="J182" s="328"/>
      <c r="K182" s="151"/>
    </row>
    <row r="183" spans="1:15">
      <c r="A183" s="137">
        <v>9</v>
      </c>
      <c r="B183" s="373" t="s">
        <v>20</v>
      </c>
      <c r="C183" s="151" t="s">
        <v>380</v>
      </c>
      <c r="D183" s="385">
        <f>+Other_Exp_Inc!G13</f>
        <v>638579</v>
      </c>
      <c r="E183" s="376"/>
      <c r="F183" s="389" t="s">
        <v>224</v>
      </c>
      <c r="G183" s="413">
        <f>+G129</f>
        <v>1</v>
      </c>
      <c r="H183" s="376"/>
      <c r="I183" s="379">
        <f>G183*D183</f>
        <v>638579</v>
      </c>
      <c r="J183" s="328"/>
      <c r="K183" s="382"/>
    </row>
    <row r="184" spans="1:15">
      <c r="A184" s="137" t="s">
        <v>381</v>
      </c>
      <c r="B184" s="373" t="s">
        <v>382</v>
      </c>
      <c r="C184" s="151"/>
      <c r="D184" s="385">
        <v>0</v>
      </c>
      <c r="E184" s="376"/>
      <c r="F184" s="377" t="s">
        <v>292</v>
      </c>
      <c r="G184" s="378">
        <v>1</v>
      </c>
      <c r="H184" s="376"/>
      <c r="I184" s="379">
        <f>G184*D184</f>
        <v>0</v>
      </c>
      <c r="J184" s="328"/>
      <c r="K184" s="382"/>
    </row>
    <row r="185" spans="1:15">
      <c r="A185" s="137" t="s">
        <v>383</v>
      </c>
      <c r="B185" s="373" t="s">
        <v>384</v>
      </c>
      <c r="C185" s="151"/>
      <c r="D185" s="385">
        <v>0</v>
      </c>
      <c r="E185" s="376"/>
      <c r="F185" s="377" t="s">
        <v>292</v>
      </c>
      <c r="G185" s="378">
        <v>1</v>
      </c>
      <c r="H185" s="376"/>
      <c r="I185" s="379">
        <f>+G185*D185</f>
        <v>0</v>
      </c>
      <c r="J185" s="328"/>
      <c r="K185" s="382"/>
    </row>
    <row r="186" spans="1:15">
      <c r="A186" s="139">
        <v>10</v>
      </c>
      <c r="B186" s="373" t="s">
        <v>299</v>
      </c>
      <c r="C186" s="151" t="s">
        <v>385</v>
      </c>
      <c r="D186" s="385">
        <f>+Other_Exp_Inc!G14</f>
        <v>147086</v>
      </c>
      <c r="E186" s="376"/>
      <c r="F186" s="389" t="s">
        <v>301</v>
      </c>
      <c r="G186" s="413">
        <f>+G174</f>
        <v>0.17186099756874848</v>
      </c>
      <c r="H186" s="376"/>
      <c r="I186" s="379">
        <f>+G186*D186</f>
        <v>25278.346688396938</v>
      </c>
      <c r="J186" s="328"/>
      <c r="K186" s="382"/>
    </row>
    <row r="187" spans="1:15" ht="16.5" thickBot="1">
      <c r="A187" s="126">
        <v>11</v>
      </c>
      <c r="B187" s="383" t="str">
        <f>+B178</f>
        <v xml:space="preserve">  Common</v>
      </c>
      <c r="C187" s="151" t="s">
        <v>386</v>
      </c>
      <c r="D187" s="401">
        <v>0</v>
      </c>
      <c r="E187" s="376"/>
      <c r="F187" s="389" t="s">
        <v>304</v>
      </c>
      <c r="G187" s="413">
        <f>+G178</f>
        <v>0.17186099756874848</v>
      </c>
      <c r="H187" s="376"/>
      <c r="I187" s="402">
        <f>+G187*D187</f>
        <v>0</v>
      </c>
      <c r="J187" s="328"/>
      <c r="K187" s="382"/>
    </row>
    <row r="188" spans="1:15">
      <c r="A188" s="126">
        <v>12</v>
      </c>
      <c r="B188" s="138" t="s">
        <v>387</v>
      </c>
      <c r="C188" s="151"/>
      <c r="D188" s="379">
        <f>SUM(D183:D187)</f>
        <v>785665</v>
      </c>
      <c r="E188" s="376"/>
      <c r="F188" s="389"/>
      <c r="G188" s="376"/>
      <c r="H188" s="376"/>
      <c r="I188" s="379">
        <f>SUM(I183:I187)</f>
        <v>663857.346688397</v>
      </c>
      <c r="J188" s="328"/>
      <c r="K188" s="151"/>
    </row>
    <row r="189" spans="1:15">
      <c r="A189" s="126"/>
      <c r="B189" s="138"/>
      <c r="C189" s="151"/>
      <c r="D189" s="328"/>
      <c r="E189" s="328"/>
      <c r="F189" s="333"/>
      <c r="G189" s="328"/>
      <c r="H189" s="328"/>
      <c r="I189" s="328"/>
      <c r="J189" s="328"/>
      <c r="K189" s="151"/>
    </row>
    <row r="190" spans="1:15">
      <c r="A190" s="126" t="s">
        <v>211</v>
      </c>
      <c r="B190" s="138" t="s">
        <v>388</v>
      </c>
      <c r="C190" s="323"/>
      <c r="D190" s="328"/>
      <c r="E190" s="328"/>
      <c r="F190" s="333"/>
      <c r="G190" s="328"/>
      <c r="H190" s="328"/>
      <c r="I190" s="328"/>
      <c r="J190" s="328"/>
      <c r="K190" s="151"/>
    </row>
    <row r="191" spans="1:15">
      <c r="A191" s="126"/>
      <c r="B191" s="138" t="s">
        <v>389</v>
      </c>
      <c r="C191" s="323"/>
      <c r="E191" s="328"/>
      <c r="F191" s="333"/>
      <c r="H191" s="328"/>
      <c r="J191" s="328"/>
      <c r="K191" s="382"/>
    </row>
    <row r="192" spans="1:15">
      <c r="A192" s="126">
        <v>13</v>
      </c>
      <c r="B192" s="138" t="s">
        <v>390</v>
      </c>
      <c r="C192" s="151" t="s">
        <v>391</v>
      </c>
      <c r="D192" s="338">
        <v>0</v>
      </c>
      <c r="E192" s="328"/>
      <c r="F192" s="333" t="s">
        <v>301</v>
      </c>
      <c r="G192" s="334">
        <f>+G186</f>
        <v>0.17186099756874848</v>
      </c>
      <c r="H192" s="328"/>
      <c r="I192" s="162">
        <f>+G192*D192</f>
        <v>0</v>
      </c>
      <c r="J192" s="328"/>
      <c r="K192" s="382"/>
    </row>
    <row r="193" spans="1:13">
      <c r="A193" s="126">
        <v>14</v>
      </c>
      <c r="B193" s="138" t="s">
        <v>392</v>
      </c>
      <c r="C193" s="171" t="str">
        <f>+C192</f>
        <v>263.i</v>
      </c>
      <c r="D193" s="338">
        <v>0</v>
      </c>
      <c r="E193" s="328"/>
      <c r="F193" s="335" t="str">
        <f>+F192</f>
        <v>W/S</v>
      </c>
      <c r="G193" s="334">
        <f>+G192</f>
        <v>0.17186099756874848</v>
      </c>
      <c r="H193" s="328"/>
      <c r="I193" s="162">
        <f>+G193*D193</f>
        <v>0</v>
      </c>
      <c r="J193" s="328"/>
      <c r="K193" s="382"/>
    </row>
    <row r="194" spans="1:13">
      <c r="A194" s="126">
        <v>15</v>
      </c>
      <c r="B194" s="318" t="s">
        <v>393</v>
      </c>
      <c r="C194" s="328" t="s">
        <v>211</v>
      </c>
      <c r="E194" s="328"/>
      <c r="F194" s="333"/>
      <c r="H194" s="328"/>
      <c r="J194" s="328"/>
      <c r="K194" s="382"/>
    </row>
    <row r="195" spans="1:13">
      <c r="A195" s="126">
        <v>16</v>
      </c>
      <c r="B195" s="318" t="s">
        <v>394</v>
      </c>
      <c r="C195" s="328" t="s">
        <v>391</v>
      </c>
      <c r="D195" s="338">
        <f>+Other_Exp_Inc!G18</f>
        <v>14216</v>
      </c>
      <c r="E195" s="328"/>
      <c r="F195" s="333" t="s">
        <v>356</v>
      </c>
      <c r="G195" s="334">
        <f>+G96</f>
        <v>0.93963095603593649</v>
      </c>
      <c r="H195" s="328"/>
      <c r="I195" s="162">
        <f>+G195*D195</f>
        <v>13357.793671006873</v>
      </c>
      <c r="J195" s="328"/>
      <c r="K195" s="382"/>
      <c r="M195" s="527">
        <f>+G195</f>
        <v>0.93963095603593649</v>
      </c>
    </row>
    <row r="196" spans="1:13">
      <c r="A196" s="126">
        <v>17</v>
      </c>
      <c r="B196" s="318" t="s">
        <v>395</v>
      </c>
      <c r="C196" s="328" t="s">
        <v>391</v>
      </c>
      <c r="D196" s="338">
        <v>0</v>
      </c>
      <c r="E196" s="328"/>
      <c r="F196" s="391" t="str">
        <f>+F119</f>
        <v>NA</v>
      </c>
      <c r="G196" s="414" t="s">
        <v>329</v>
      </c>
      <c r="H196" s="328"/>
      <c r="I196" s="328">
        <v>0</v>
      </c>
      <c r="J196" s="328"/>
      <c r="K196" s="382"/>
    </row>
    <row r="197" spans="1:13">
      <c r="A197" s="126">
        <v>18</v>
      </c>
      <c r="B197" s="318" t="s">
        <v>396</v>
      </c>
      <c r="C197" s="162" t="str">
        <f>+C196</f>
        <v>263.i</v>
      </c>
      <c r="D197" s="338">
        <v>0</v>
      </c>
      <c r="E197" s="328"/>
      <c r="F197" s="335" t="str">
        <f>+F195</f>
        <v>GP</v>
      </c>
      <c r="G197" s="334">
        <f>+G195</f>
        <v>0.93963095603593649</v>
      </c>
      <c r="H197" s="328"/>
      <c r="I197" s="162">
        <f>+G197*D197</f>
        <v>0</v>
      </c>
      <c r="J197" s="328"/>
      <c r="K197" s="382"/>
    </row>
    <row r="198" spans="1:13" ht="16.5" thickBot="1">
      <c r="A198" s="126">
        <v>19</v>
      </c>
      <c r="B198" s="318" t="s">
        <v>397</v>
      </c>
      <c r="C198" s="328"/>
      <c r="D198" s="380">
        <v>0</v>
      </c>
      <c r="E198" s="328"/>
      <c r="F198" s="333" t="s">
        <v>356</v>
      </c>
      <c r="G198" s="334">
        <f>+G195</f>
        <v>0.93963095603593649</v>
      </c>
      <c r="H198" s="328"/>
      <c r="I198" s="339">
        <f>+G198*D198</f>
        <v>0</v>
      </c>
      <c r="J198" s="328"/>
      <c r="K198" s="382"/>
    </row>
    <row r="199" spans="1:13">
      <c r="A199" s="126">
        <v>20</v>
      </c>
      <c r="B199" s="318" t="s">
        <v>398</v>
      </c>
      <c r="C199" s="328"/>
      <c r="D199" s="162">
        <f>SUM(D192:D198)</f>
        <v>14216</v>
      </c>
      <c r="E199" s="328"/>
      <c r="F199" s="328"/>
      <c r="G199" s="341"/>
      <c r="H199" s="328"/>
      <c r="I199" s="162">
        <f>SUM(I192:I198)</f>
        <v>13357.793671006873</v>
      </c>
      <c r="J199" s="328"/>
      <c r="K199" s="151"/>
    </row>
    <row r="200" spans="1:13">
      <c r="A200" s="126"/>
      <c r="B200" s="318"/>
      <c r="C200" s="328"/>
      <c r="D200" s="328"/>
      <c r="E200" s="328"/>
      <c r="F200" s="328"/>
      <c r="G200" s="341"/>
      <c r="H200" s="328"/>
      <c r="I200" s="328"/>
      <c r="J200" s="328"/>
      <c r="K200" s="151"/>
    </row>
    <row r="201" spans="1:13">
      <c r="A201" s="126" t="s">
        <v>211</v>
      </c>
      <c r="B201" s="318" t="s">
        <v>399</v>
      </c>
      <c r="C201" s="328" t="s">
        <v>400</v>
      </c>
      <c r="D201" s="328"/>
      <c r="E201" s="328"/>
      <c r="G201" s="150"/>
      <c r="H201" s="328"/>
      <c r="J201" s="328"/>
    </row>
    <row r="202" spans="1:13">
      <c r="A202" s="126">
        <v>21</v>
      </c>
      <c r="B202" s="142" t="s">
        <v>401</v>
      </c>
      <c r="C202" s="328"/>
      <c r="D202" s="415">
        <f>IF(D345&gt;0,1-(((1-D346)*(1-D345))/(1-D346*D345*D347)),0)</f>
        <v>0</v>
      </c>
      <c r="E202" s="328"/>
      <c r="G202" s="150"/>
      <c r="H202" s="328"/>
      <c r="J202" s="328"/>
    </row>
    <row r="203" spans="1:13">
      <c r="A203" s="126">
        <v>22</v>
      </c>
      <c r="B203" s="321" t="s">
        <v>402</v>
      </c>
      <c r="C203" s="328"/>
      <c r="D203" s="415">
        <f>IF(I289&gt;0,(D202/(1-D202))*(1-I286/I289),0)</f>
        <v>0</v>
      </c>
      <c r="E203" s="328"/>
      <c r="G203" s="150"/>
      <c r="H203" s="328"/>
      <c r="J203" s="328"/>
    </row>
    <row r="204" spans="1:13">
      <c r="A204" s="126"/>
      <c r="B204" s="318" t="s">
        <v>403</v>
      </c>
      <c r="C204" s="328"/>
      <c r="D204" s="328"/>
      <c r="E204" s="328"/>
      <c r="G204" s="150"/>
      <c r="H204" s="328"/>
      <c r="J204" s="328"/>
    </row>
    <row r="205" spans="1:13">
      <c r="A205" s="126"/>
      <c r="B205" s="318" t="s">
        <v>404</v>
      </c>
      <c r="C205" s="328"/>
      <c r="D205" s="328"/>
      <c r="E205" s="328"/>
      <c r="G205" s="150"/>
      <c r="H205" s="328"/>
      <c r="J205" s="328"/>
    </row>
    <row r="206" spans="1:13">
      <c r="A206" s="126">
        <v>23</v>
      </c>
      <c r="B206" s="142" t="s">
        <v>405</v>
      </c>
      <c r="C206" s="328"/>
      <c r="D206" s="416">
        <f>IF(D202&gt;0,1/(1-D202),0)</f>
        <v>0</v>
      </c>
      <c r="E206" s="328"/>
      <c r="G206" s="150"/>
      <c r="H206" s="328"/>
      <c r="J206" s="328"/>
    </row>
    <row r="207" spans="1:13">
      <c r="A207" s="126">
        <v>24</v>
      </c>
      <c r="B207" s="318" t="s">
        <v>406</v>
      </c>
      <c r="C207" s="328"/>
      <c r="D207" s="338">
        <v>0</v>
      </c>
      <c r="E207" s="328"/>
      <c r="G207" s="150"/>
      <c r="H207" s="328"/>
      <c r="J207" s="328"/>
    </row>
    <row r="208" spans="1:13">
      <c r="A208" s="126"/>
      <c r="B208" s="318"/>
      <c r="C208" s="328"/>
      <c r="D208" s="328"/>
      <c r="E208" s="328"/>
      <c r="G208" s="150"/>
      <c r="H208" s="328"/>
      <c r="J208" s="328"/>
    </row>
    <row r="209" spans="1:14">
      <c r="A209" s="126">
        <v>25</v>
      </c>
      <c r="B209" s="417" t="s">
        <v>407</v>
      </c>
      <c r="C209" s="418"/>
      <c r="D209" s="162">
        <f>D203*D213</f>
        <v>0</v>
      </c>
      <c r="E209" s="328"/>
      <c r="F209" s="333" t="s">
        <v>292</v>
      </c>
      <c r="G209" s="341"/>
      <c r="H209" s="328"/>
      <c r="I209" s="162">
        <f>D203*I213</f>
        <v>0</v>
      </c>
      <c r="J209" s="328"/>
      <c r="K209" s="419" t="s">
        <v>211</v>
      </c>
    </row>
    <row r="210" spans="1:14" ht="16.5" thickBot="1">
      <c r="A210" s="126">
        <v>26</v>
      </c>
      <c r="B210" s="321" t="s">
        <v>408</v>
      </c>
      <c r="C210" s="418"/>
      <c r="D210" s="339">
        <f>D206*D207</f>
        <v>0</v>
      </c>
      <c r="E210" s="328"/>
      <c r="F210" s="390" t="s">
        <v>332</v>
      </c>
      <c r="G210" s="334">
        <f>G114</f>
        <v>0.96654466812097262</v>
      </c>
      <c r="H210" s="328"/>
      <c r="I210" s="339">
        <f>G210*D210</f>
        <v>0</v>
      </c>
      <c r="J210" s="328"/>
      <c r="K210" s="419"/>
    </row>
    <row r="211" spans="1:14">
      <c r="A211" s="126">
        <v>27</v>
      </c>
      <c r="B211" s="142" t="s">
        <v>409</v>
      </c>
      <c r="C211" s="321" t="s">
        <v>410</v>
      </c>
      <c r="D211" s="391">
        <f>+D209+D210</f>
        <v>0</v>
      </c>
      <c r="E211" s="328"/>
      <c r="F211" s="328" t="s">
        <v>211</v>
      </c>
      <c r="G211" s="341" t="s">
        <v>211</v>
      </c>
      <c r="H211" s="328"/>
      <c r="I211" s="391">
        <f>+I209+I210</f>
        <v>0</v>
      </c>
      <c r="J211" s="328"/>
      <c r="K211" s="151"/>
    </row>
    <row r="212" spans="1:14">
      <c r="A212" s="126" t="s">
        <v>211</v>
      </c>
      <c r="C212" s="420"/>
      <c r="D212" s="328"/>
      <c r="E212" s="328"/>
      <c r="F212" s="328"/>
      <c r="G212" s="341"/>
      <c r="H212" s="328"/>
      <c r="I212" s="328"/>
      <c r="J212" s="328"/>
      <c r="K212" s="151"/>
    </row>
    <row r="213" spans="1:14">
      <c r="A213" s="137">
        <v>28</v>
      </c>
      <c r="B213" s="373" t="s">
        <v>411</v>
      </c>
      <c r="C213" s="404"/>
      <c r="D213" s="379">
        <f>+$I$289*(D137+D139)</f>
        <v>1997000.4702043678</v>
      </c>
      <c r="E213" s="376"/>
      <c r="F213" s="376"/>
      <c r="G213" s="421"/>
      <c r="H213" s="376"/>
      <c r="I213" s="379">
        <f>+$I$289*(I137+I139)</f>
        <v>1926582.2057116563</v>
      </c>
      <c r="J213" s="328"/>
    </row>
    <row r="214" spans="1:14">
      <c r="A214" s="137"/>
      <c r="B214" s="143" t="s">
        <v>412</v>
      </c>
      <c r="C214" s="422"/>
      <c r="D214" s="376"/>
      <c r="E214" s="376"/>
      <c r="F214" s="376"/>
      <c r="G214" s="421"/>
      <c r="H214" s="376"/>
      <c r="I214" s="376"/>
      <c r="J214" s="328"/>
      <c r="K214" s="382"/>
    </row>
    <row r="215" spans="1:14">
      <c r="A215" s="137"/>
      <c r="B215" s="143"/>
      <c r="C215" s="422"/>
      <c r="D215" s="376"/>
      <c r="E215" s="376"/>
      <c r="F215" s="376"/>
      <c r="G215" s="421"/>
      <c r="H215" s="376"/>
      <c r="I215" s="376"/>
      <c r="J215" s="328"/>
      <c r="K215" s="382"/>
    </row>
    <row r="216" spans="1:14">
      <c r="A216" s="137" t="s">
        <v>413</v>
      </c>
      <c r="B216" s="143" t="s">
        <v>414</v>
      </c>
      <c r="C216" s="422"/>
      <c r="D216" s="423">
        <f>D139*$I$298</f>
        <v>525800.53852873354</v>
      </c>
      <c r="E216" s="424"/>
      <c r="F216" s="424"/>
      <c r="G216" s="425"/>
      <c r="H216" s="424"/>
      <c r="I216" s="423">
        <f>I139*$I$298</f>
        <v>525800.53852873354</v>
      </c>
      <c r="J216" s="123"/>
      <c r="K216" s="131"/>
    </row>
    <row r="217" spans="1:14" ht="15.75" customHeight="1">
      <c r="A217" s="137"/>
      <c r="B217" s="143" t="s">
        <v>415</v>
      </c>
      <c r="C217" s="422"/>
      <c r="D217" s="376"/>
      <c r="E217" s="376"/>
      <c r="F217" s="376"/>
      <c r="G217" s="421"/>
      <c r="H217" s="376"/>
      <c r="I217" s="376"/>
      <c r="J217" s="123"/>
      <c r="K217" s="131"/>
    </row>
    <row r="218" spans="1:14">
      <c r="A218" s="137"/>
      <c r="B218" s="373"/>
      <c r="C218" s="422"/>
      <c r="D218" s="397"/>
      <c r="E218" s="376"/>
      <c r="F218" s="376"/>
      <c r="G218" s="421"/>
      <c r="H218" s="376"/>
      <c r="I218" s="397"/>
      <c r="J218" s="123"/>
      <c r="K218" s="131"/>
    </row>
    <row r="219" spans="1:14">
      <c r="A219" s="137">
        <v>29</v>
      </c>
      <c r="B219" s="373" t="s">
        <v>416</v>
      </c>
      <c r="C219" s="424"/>
      <c r="D219" s="400">
        <f>+D213+D211+D199+D188+D180+D216</f>
        <v>7162086.1587331025</v>
      </c>
      <c r="E219" s="376"/>
      <c r="F219" s="376"/>
      <c r="G219" s="376"/>
      <c r="H219" s="376"/>
      <c r="I219" s="400">
        <f>+I213+I211+I199+I188+I180+I216</f>
        <v>5353351.9991876064</v>
      </c>
      <c r="J219" s="131"/>
      <c r="K219" s="151"/>
      <c r="L219" s="323"/>
      <c r="M219" s="323"/>
      <c r="N219" s="323"/>
    </row>
    <row r="220" spans="1:14">
      <c r="A220" s="137">
        <v>30</v>
      </c>
      <c r="B220" s="422" t="s">
        <v>417</v>
      </c>
      <c r="C220" s="422"/>
      <c r="D220" s="426"/>
      <c r="E220" s="426"/>
      <c r="F220" s="426"/>
      <c r="G220" s="426"/>
      <c r="H220" s="426"/>
      <c r="I220" s="426"/>
      <c r="J220" s="123"/>
      <c r="K220" s="131"/>
    </row>
    <row r="221" spans="1:14">
      <c r="A221" s="137"/>
      <c r="B221" s="422" t="s">
        <v>418</v>
      </c>
      <c r="C221" s="422"/>
      <c r="D221" s="426"/>
      <c r="E221" s="426"/>
      <c r="F221" s="426"/>
      <c r="G221" s="426"/>
      <c r="H221" s="426"/>
      <c r="I221" s="426"/>
      <c r="J221" s="123"/>
      <c r="K221" s="131"/>
    </row>
    <row r="222" spans="1:14" ht="16.5" thickBot="1">
      <c r="A222" s="137"/>
      <c r="B222" s="422" t="s">
        <v>419</v>
      </c>
      <c r="C222" s="422"/>
      <c r="D222" s="427">
        <v>0</v>
      </c>
      <c r="E222" s="428"/>
      <c r="F222" s="428"/>
      <c r="G222" s="428"/>
      <c r="H222" s="428"/>
      <c r="I222" s="427">
        <v>0</v>
      </c>
      <c r="J222" s="123"/>
      <c r="K222" s="131"/>
    </row>
    <row r="223" spans="1:14">
      <c r="A223" s="137" t="s">
        <v>359</v>
      </c>
      <c r="B223" s="422" t="s">
        <v>420</v>
      </c>
      <c r="C223" s="422"/>
      <c r="D223" s="429"/>
      <c r="E223" s="428"/>
      <c r="F223" s="428"/>
      <c r="G223" s="428"/>
      <c r="H223" s="428"/>
      <c r="I223" s="429"/>
      <c r="J223" s="123"/>
      <c r="K223" s="131"/>
    </row>
    <row r="224" spans="1:14">
      <c r="A224" s="137"/>
      <c r="B224" s="422" t="s">
        <v>421</v>
      </c>
      <c r="C224" s="422"/>
      <c r="D224" s="429"/>
      <c r="E224" s="428"/>
      <c r="F224" s="428"/>
      <c r="G224" s="428"/>
      <c r="H224" s="428"/>
      <c r="I224" s="429"/>
      <c r="J224" s="123"/>
      <c r="K224" s="131"/>
    </row>
    <row r="225" spans="1:11">
      <c r="A225" s="137"/>
      <c r="B225" s="422" t="s">
        <v>422</v>
      </c>
      <c r="C225" s="422"/>
      <c r="D225" s="429"/>
      <c r="E225" s="428"/>
      <c r="F225" s="428"/>
      <c r="G225" s="428"/>
      <c r="H225" s="428"/>
      <c r="I225" s="429"/>
      <c r="J225" s="123"/>
      <c r="K225" s="131"/>
    </row>
    <row r="226" spans="1:11" ht="16.5" thickBot="1">
      <c r="A226" s="137"/>
      <c r="B226" s="422" t="s">
        <v>423</v>
      </c>
      <c r="C226" s="422"/>
      <c r="D226" s="427">
        <f>+'2016 CMMPA Attach MM ER12-427'!Q96</f>
        <v>5353351.9991876064</v>
      </c>
      <c r="E226" s="428"/>
      <c r="F226" s="428"/>
      <c r="G226" s="428"/>
      <c r="H226" s="428"/>
      <c r="I226" s="427">
        <f>D226</f>
        <v>5353351.9991876064</v>
      </c>
      <c r="J226" s="123"/>
      <c r="K226" s="131"/>
    </row>
    <row r="227" spans="1:11" ht="16.5" thickBot="1">
      <c r="A227" s="137">
        <v>31</v>
      </c>
      <c r="B227" s="422" t="s">
        <v>424</v>
      </c>
      <c r="C227" s="422"/>
      <c r="D227" s="430">
        <f>+D219-D222-D226</f>
        <v>1808734.1595454961</v>
      </c>
      <c r="E227" s="422"/>
      <c r="F227" s="422"/>
      <c r="G227" s="422"/>
      <c r="H227" s="422"/>
      <c r="I227" s="430">
        <f>+I219-I222-I226</f>
        <v>0</v>
      </c>
      <c r="J227" s="123"/>
      <c r="K227" s="131"/>
    </row>
    <row r="228" spans="1:11" ht="16.5" thickTop="1">
      <c r="A228" s="139"/>
      <c r="B228" s="426" t="s">
        <v>425</v>
      </c>
      <c r="C228" s="426"/>
      <c r="D228" s="426"/>
      <c r="E228" s="426"/>
      <c r="F228" s="426"/>
      <c r="G228" s="426"/>
      <c r="H228" s="426"/>
      <c r="I228" s="426"/>
      <c r="J228" s="123"/>
      <c r="K228" s="131"/>
    </row>
    <row r="229" spans="1:11" hidden="1">
      <c r="A229" s="126"/>
      <c r="B229" s="318"/>
      <c r="C229" s="328"/>
      <c r="D229" s="361"/>
      <c r="E229" s="328"/>
      <c r="F229" s="328"/>
      <c r="G229" s="328"/>
      <c r="H229" s="328"/>
      <c r="I229" s="361"/>
      <c r="J229" s="123"/>
      <c r="K229" s="131"/>
    </row>
    <row r="230" spans="1:11" hidden="1">
      <c r="A230" s="126"/>
      <c r="B230" s="318"/>
      <c r="C230" s="328"/>
      <c r="D230" s="361"/>
      <c r="E230" s="328"/>
      <c r="F230" s="328"/>
      <c r="G230" s="328"/>
      <c r="H230" s="328"/>
      <c r="I230" s="361"/>
      <c r="J230" s="123"/>
      <c r="K230" s="131"/>
    </row>
    <row r="231" spans="1:11" hidden="1">
      <c r="A231" s="126"/>
      <c r="B231" s="318"/>
      <c r="C231" s="328"/>
      <c r="D231" s="361"/>
      <c r="E231" s="328"/>
      <c r="F231" s="328"/>
      <c r="G231" s="328"/>
      <c r="H231" s="328"/>
      <c r="I231" s="361"/>
      <c r="J231" s="123"/>
      <c r="K231" s="131"/>
    </row>
    <row r="232" spans="1:11">
      <c r="A232" s="126"/>
      <c r="B232" s="318"/>
      <c r="C232" s="328"/>
      <c r="D232" s="361"/>
      <c r="E232" s="328"/>
      <c r="F232" s="328"/>
      <c r="G232" s="328"/>
      <c r="H232" s="328"/>
      <c r="I232" s="361"/>
      <c r="J232" s="123"/>
      <c r="K232" s="131"/>
    </row>
    <row r="233" spans="1:11">
      <c r="A233" s="126"/>
      <c r="B233" s="318"/>
      <c r="C233" s="328"/>
      <c r="D233" s="361"/>
      <c r="E233" s="328"/>
      <c r="F233" s="328"/>
      <c r="G233" s="328"/>
      <c r="H233" s="328"/>
      <c r="I233" s="361"/>
      <c r="J233" s="123"/>
      <c r="K233" s="131"/>
    </row>
    <row r="234" spans="1:11" s="408" customFormat="1">
      <c r="A234" s="621"/>
      <c r="B234" s="621"/>
      <c r="C234" s="328"/>
      <c r="D234" s="361"/>
      <c r="E234" s="328"/>
      <c r="F234" s="328"/>
      <c r="G234" s="362"/>
      <c r="H234" s="328"/>
      <c r="I234" s="361"/>
      <c r="J234" s="328"/>
      <c r="K234" s="164"/>
    </row>
    <row r="235" spans="1:11">
      <c r="B235" s="318"/>
      <c r="C235" s="318"/>
      <c r="D235" s="119"/>
      <c r="E235" s="318"/>
      <c r="F235" s="318"/>
      <c r="G235" s="318"/>
      <c r="H235" s="622" t="str">
        <f>H4</f>
        <v>Attachment O-CMMPA Agency</v>
      </c>
      <c r="I235" s="622"/>
      <c r="J235" s="622"/>
      <c r="K235" s="622"/>
    </row>
    <row r="236" spans="1:11">
      <c r="B236" s="318"/>
      <c r="C236" s="318"/>
      <c r="D236" s="119"/>
      <c r="E236" s="318"/>
      <c r="F236" s="318"/>
      <c r="G236" s="318"/>
      <c r="H236" s="123"/>
      <c r="I236" s="123"/>
      <c r="J236" s="620" t="s">
        <v>426</v>
      </c>
      <c r="K236" s="620"/>
    </row>
    <row r="237" spans="1:11">
      <c r="B237" s="318" t="s">
        <v>209</v>
      </c>
      <c r="C237" s="318"/>
      <c r="D237" s="119" t="s">
        <v>362</v>
      </c>
      <c r="E237" s="318"/>
      <c r="F237" s="318"/>
      <c r="G237" s="318"/>
      <c r="H237" s="623" t="str">
        <f>K7</f>
        <v>For the 12 months ended 12/31/2016</v>
      </c>
      <c r="I237" s="623"/>
      <c r="J237" s="623"/>
      <c r="K237" s="623"/>
    </row>
    <row r="238" spans="1:11">
      <c r="B238" s="318"/>
      <c r="C238" s="328" t="s">
        <v>211</v>
      </c>
      <c r="D238" s="328" t="s">
        <v>363</v>
      </c>
      <c r="E238" s="328"/>
      <c r="F238" s="328"/>
      <c r="G238" s="328"/>
      <c r="H238" s="123"/>
      <c r="I238" s="123"/>
      <c r="J238" s="123"/>
      <c r="K238" s="131"/>
    </row>
    <row r="239" spans="1:11" ht="9" customHeight="1">
      <c r="A239" s="126"/>
      <c r="J239" s="328"/>
      <c r="K239" s="151"/>
    </row>
    <row r="240" spans="1:11">
      <c r="A240" s="126"/>
      <c r="D240" s="409" t="str">
        <f>D10</f>
        <v>CMMPA Agency</v>
      </c>
      <c r="J240" s="328"/>
      <c r="K240" s="151"/>
    </row>
    <row r="241" spans="1:20">
      <c r="A241" s="126"/>
      <c r="C241" s="369" t="s">
        <v>427</v>
      </c>
      <c r="E241" s="123"/>
      <c r="F241" s="123"/>
      <c r="G241" s="123"/>
      <c r="H241" s="123"/>
      <c r="I241" s="123"/>
      <c r="J241" s="328"/>
      <c r="K241" s="151"/>
    </row>
    <row r="242" spans="1:20">
      <c r="A242" s="126" t="s">
        <v>214</v>
      </c>
      <c r="B242" s="369"/>
      <c r="C242" s="123"/>
      <c r="D242" s="123"/>
      <c r="E242" s="123"/>
      <c r="F242" s="123"/>
      <c r="G242" s="123"/>
      <c r="H242" s="123"/>
      <c r="I242" s="123"/>
      <c r="J242" s="328"/>
      <c r="K242" s="151"/>
    </row>
    <row r="243" spans="1:20" ht="16.5" thickBot="1">
      <c r="A243" s="127" t="s">
        <v>216</v>
      </c>
      <c r="B243" s="138" t="s">
        <v>428</v>
      </c>
      <c r="C243" s="131"/>
      <c r="D243" s="131"/>
      <c r="E243" s="131"/>
      <c r="F243" s="131"/>
      <c r="G243" s="131"/>
      <c r="H243" s="323"/>
      <c r="I243" s="323"/>
      <c r="J243" s="151"/>
      <c r="K243" s="151"/>
    </row>
    <row r="244" spans="1:20">
      <c r="A244" s="126">
        <v>1</v>
      </c>
      <c r="B244" s="131" t="s">
        <v>429</v>
      </c>
      <c r="C244" s="131"/>
      <c r="D244" s="151"/>
      <c r="E244" s="151"/>
      <c r="F244" s="151"/>
      <c r="G244" s="151"/>
      <c r="H244" s="151"/>
      <c r="I244" s="171">
        <f>D91+D92</f>
        <v>25543167.009999994</v>
      </c>
      <c r="J244" s="151"/>
      <c r="K244" s="151"/>
    </row>
    <row r="245" spans="1:20">
      <c r="A245" s="126">
        <v>2</v>
      </c>
      <c r="B245" s="131" t="s">
        <v>430</v>
      </c>
      <c r="C245" s="323"/>
      <c r="D245" s="431"/>
      <c r="E245" s="323"/>
      <c r="F245" s="323"/>
      <c r="G245" s="323"/>
      <c r="H245" s="323"/>
      <c r="I245" s="338">
        <v>0</v>
      </c>
      <c r="J245" s="151"/>
      <c r="K245" s="151"/>
    </row>
    <row r="246" spans="1:20" ht="16.5" thickBot="1">
      <c r="A246" s="126">
        <v>3</v>
      </c>
      <c r="B246" s="144" t="s">
        <v>431</v>
      </c>
      <c r="C246" s="144"/>
      <c r="D246" s="432"/>
      <c r="E246" s="151"/>
      <c r="F246" s="151"/>
      <c r="G246" s="433"/>
      <c r="H246" s="151"/>
      <c r="I246" s="380">
        <v>0</v>
      </c>
      <c r="J246" s="151"/>
      <c r="K246" s="151"/>
    </row>
    <row r="247" spans="1:20">
      <c r="A247" s="126">
        <v>4</v>
      </c>
      <c r="B247" s="131" t="s">
        <v>432</v>
      </c>
      <c r="C247" s="131"/>
      <c r="D247" s="432"/>
      <c r="E247" s="151"/>
      <c r="F247" s="151"/>
      <c r="G247" s="433"/>
      <c r="H247" s="151"/>
      <c r="I247" s="171">
        <f>I244-I245-I246</f>
        <v>25543167.009999994</v>
      </c>
      <c r="J247" s="151"/>
      <c r="K247" s="151"/>
      <c r="M247" s="431"/>
      <c r="N247" s="431"/>
      <c r="O247" s="431"/>
      <c r="P247" s="431"/>
      <c r="Q247" s="431"/>
      <c r="R247" s="431"/>
      <c r="S247" s="431"/>
      <c r="T247" s="431"/>
    </row>
    <row r="248" spans="1:20" ht="9" customHeight="1">
      <c r="A248" s="126"/>
      <c r="B248" s="323"/>
      <c r="C248" s="131"/>
      <c r="D248" s="432"/>
      <c r="E248" s="151"/>
      <c r="F248" s="151"/>
      <c r="G248" s="433"/>
      <c r="H248" s="151"/>
      <c r="I248" s="323"/>
      <c r="J248" s="151"/>
      <c r="K248" s="151"/>
      <c r="M248" s="431"/>
      <c r="N248" s="431"/>
      <c r="O248" s="431"/>
      <c r="P248" s="431"/>
      <c r="Q248" s="431"/>
      <c r="R248" s="431"/>
      <c r="S248" s="431"/>
      <c r="T248" s="431"/>
    </row>
    <row r="249" spans="1:20">
      <c r="A249" s="126">
        <v>5</v>
      </c>
      <c r="B249" s="131" t="s">
        <v>433</v>
      </c>
      <c r="C249" s="434"/>
      <c r="D249" s="435"/>
      <c r="E249" s="154"/>
      <c r="F249" s="154"/>
      <c r="G249" s="436"/>
      <c r="H249" s="151" t="s">
        <v>434</v>
      </c>
      <c r="I249" s="437">
        <f>IF(I244&gt;0,I247/I244,0)</f>
        <v>1</v>
      </c>
      <c r="J249" s="151"/>
      <c r="K249" s="151"/>
      <c r="M249" s="431"/>
      <c r="N249" s="438"/>
      <c r="O249" s="438"/>
      <c r="P249" s="438"/>
      <c r="Q249" s="431"/>
      <c r="R249" s="431"/>
      <c r="S249" s="431"/>
      <c r="T249" s="431"/>
    </row>
    <row r="250" spans="1:20" ht="9" customHeight="1">
      <c r="A250" s="126"/>
      <c r="B250" s="323"/>
      <c r="C250" s="323"/>
      <c r="D250" s="431"/>
      <c r="E250" s="323"/>
      <c r="F250" s="323"/>
      <c r="G250" s="323"/>
      <c r="H250" s="323"/>
      <c r="I250" s="323"/>
      <c r="J250" s="151"/>
      <c r="K250" s="151"/>
      <c r="M250" s="431"/>
      <c r="N250" s="439"/>
      <c r="O250" s="440"/>
      <c r="P250" s="441"/>
      <c r="Q250" s="439"/>
      <c r="R250" s="440"/>
      <c r="S250" s="440"/>
      <c r="T250" s="431"/>
    </row>
    <row r="251" spans="1:20">
      <c r="A251" s="126"/>
      <c r="B251" s="138" t="s">
        <v>435</v>
      </c>
      <c r="C251" s="323"/>
      <c r="D251" s="431"/>
      <c r="E251" s="323"/>
      <c r="F251" s="323"/>
      <c r="G251" s="323"/>
      <c r="H251" s="323"/>
      <c r="I251" s="323"/>
      <c r="J251" s="151"/>
      <c r="K251" s="151"/>
      <c r="M251" s="431"/>
      <c r="N251" s="624"/>
      <c r="O251" s="625"/>
      <c r="P251" s="625"/>
      <c r="Q251" s="625"/>
      <c r="R251" s="625"/>
      <c r="S251" s="625"/>
      <c r="T251" s="431"/>
    </row>
    <row r="252" spans="1:20">
      <c r="A252" s="126">
        <v>6</v>
      </c>
      <c r="B252" s="323" t="s">
        <v>436</v>
      </c>
      <c r="C252" s="323"/>
      <c r="D252" s="166"/>
      <c r="E252" s="131"/>
      <c r="F252" s="131"/>
      <c r="G252" s="129"/>
      <c r="H252" s="131"/>
      <c r="I252" s="171">
        <f>D171</f>
        <v>1888463.51</v>
      </c>
      <c r="J252" s="151"/>
      <c r="K252" s="151"/>
      <c r="M252" s="431"/>
      <c r="N252" s="442"/>
      <c r="O252" s="440"/>
      <c r="P252" s="441"/>
      <c r="Q252" s="439"/>
      <c r="R252" s="440"/>
      <c r="S252" s="440"/>
      <c r="T252" s="431"/>
    </row>
    <row r="253" spans="1:20" ht="16.5" thickBot="1">
      <c r="A253" s="126">
        <v>7</v>
      </c>
      <c r="B253" s="144" t="s">
        <v>437</v>
      </c>
      <c r="C253" s="144"/>
      <c r="D253" s="432"/>
      <c r="E253" s="432"/>
      <c r="F253" s="151"/>
      <c r="G253" s="151"/>
      <c r="H253" s="151"/>
      <c r="I253" s="380">
        <v>0</v>
      </c>
      <c r="J253" s="151"/>
      <c r="K253" s="151"/>
      <c r="M253" s="431"/>
      <c r="N253" s="443"/>
      <c r="O253" s="444"/>
      <c r="P253" s="441"/>
      <c r="Q253" s="439"/>
      <c r="R253" s="440"/>
      <c r="S253" s="440"/>
      <c r="T253" s="431"/>
    </row>
    <row r="254" spans="1:20">
      <c r="A254" s="126">
        <v>8</v>
      </c>
      <c r="B254" s="131" t="s">
        <v>438</v>
      </c>
      <c r="C254" s="434"/>
      <c r="D254" s="435"/>
      <c r="E254" s="154"/>
      <c r="F254" s="154"/>
      <c r="G254" s="436"/>
      <c r="H254" s="154"/>
      <c r="I254" s="171">
        <f>+I252-I253</f>
        <v>1888463.51</v>
      </c>
      <c r="J254" s="323"/>
      <c r="M254" s="431"/>
      <c r="N254" s="445"/>
      <c r="O254" s="446"/>
      <c r="P254" s="447"/>
      <c r="Q254" s="447"/>
      <c r="R254" s="442"/>
      <c r="S254" s="442"/>
      <c r="T254" s="431"/>
    </row>
    <row r="255" spans="1:20">
      <c r="A255" s="126"/>
      <c r="B255" s="131"/>
      <c r="C255" s="131"/>
      <c r="D255" s="432"/>
      <c r="E255" s="151"/>
      <c r="F255" s="151"/>
      <c r="G255" s="151"/>
      <c r="H255" s="323"/>
      <c r="I255" s="323"/>
      <c r="J255" s="323"/>
      <c r="M255" s="431"/>
      <c r="N255" s="445"/>
      <c r="O255" s="446"/>
      <c r="P255" s="442"/>
      <c r="Q255" s="442"/>
      <c r="R255" s="442"/>
      <c r="S255" s="442"/>
      <c r="T255" s="431"/>
    </row>
    <row r="256" spans="1:20">
      <c r="A256" s="126">
        <v>9</v>
      </c>
      <c r="B256" s="131" t="s">
        <v>439</v>
      </c>
      <c r="C256" s="131"/>
      <c r="D256" s="432"/>
      <c r="E256" s="151"/>
      <c r="F256" s="151"/>
      <c r="G256" s="151"/>
      <c r="H256" s="151"/>
      <c r="I256" s="412">
        <f>IF(I252&gt;0,I254/I252,0)</f>
        <v>1</v>
      </c>
      <c r="J256" s="323"/>
      <c r="M256" s="431"/>
      <c r="N256" s="439"/>
      <c r="O256" s="448"/>
      <c r="P256" s="449"/>
      <c r="Q256" s="449"/>
      <c r="R256" s="440"/>
      <c r="S256" s="440"/>
      <c r="T256" s="431"/>
    </row>
    <row r="257" spans="1:20">
      <c r="A257" s="126">
        <v>10</v>
      </c>
      <c r="B257" s="131" t="s">
        <v>440</v>
      </c>
      <c r="C257" s="131"/>
      <c r="D257" s="151"/>
      <c r="E257" s="151"/>
      <c r="F257" s="151"/>
      <c r="G257" s="151"/>
      <c r="H257" s="131" t="s">
        <v>224</v>
      </c>
      <c r="I257" s="450">
        <f>I249</f>
        <v>1</v>
      </c>
      <c r="J257" s="323"/>
      <c r="M257" s="431"/>
      <c r="N257" s="443"/>
      <c r="O257" s="449"/>
      <c r="P257" s="442"/>
      <c r="Q257" s="449"/>
      <c r="R257" s="440"/>
      <c r="S257" s="440"/>
      <c r="T257" s="431"/>
    </row>
    <row r="258" spans="1:20">
      <c r="A258" s="126">
        <v>11</v>
      </c>
      <c r="B258" s="131" t="s">
        <v>441</v>
      </c>
      <c r="C258" s="131"/>
      <c r="D258" s="131"/>
      <c r="E258" s="131"/>
      <c r="F258" s="131"/>
      <c r="G258" s="131"/>
      <c r="H258" s="131" t="s">
        <v>442</v>
      </c>
      <c r="I258" s="451">
        <f>+I257*I256</f>
        <v>1</v>
      </c>
      <c r="J258" s="323"/>
      <c r="M258" s="431"/>
      <c r="N258" s="443"/>
      <c r="O258" s="449"/>
      <c r="P258" s="442"/>
      <c r="Q258" s="449"/>
      <c r="R258" s="440"/>
      <c r="S258" s="440"/>
      <c r="T258" s="431"/>
    </row>
    <row r="259" spans="1:20">
      <c r="A259" s="126"/>
      <c r="C259" s="123"/>
      <c r="D259" s="328"/>
      <c r="E259" s="328"/>
      <c r="F259" s="328"/>
      <c r="G259" s="452"/>
      <c r="H259" s="328"/>
      <c r="M259" s="431"/>
      <c r="N259" s="443"/>
      <c r="O259" s="449"/>
      <c r="P259" s="442"/>
      <c r="Q259" s="453"/>
      <c r="R259" s="440"/>
      <c r="S259" s="440"/>
      <c r="T259" s="431"/>
    </row>
    <row r="260" spans="1:20">
      <c r="A260" s="126" t="s">
        <v>211</v>
      </c>
      <c r="B260" s="318" t="s">
        <v>443</v>
      </c>
      <c r="C260" s="151" t="s">
        <v>444</v>
      </c>
      <c r="D260" s="328"/>
      <c r="E260" s="328"/>
      <c r="F260" s="328"/>
      <c r="G260" s="328"/>
      <c r="H260" s="328"/>
      <c r="I260" s="328"/>
      <c r="J260" s="328"/>
      <c r="K260" s="151"/>
      <c r="M260" s="431"/>
      <c r="N260" s="445"/>
      <c r="O260" s="446"/>
      <c r="P260" s="441"/>
      <c r="Q260" s="439"/>
      <c r="R260" s="440"/>
      <c r="S260" s="440"/>
      <c r="T260" s="431"/>
    </row>
    <row r="261" spans="1:20" ht="16.5" thickBot="1">
      <c r="A261" s="126" t="s">
        <v>211</v>
      </c>
      <c r="B261" s="318"/>
      <c r="C261" s="454" t="s">
        <v>445</v>
      </c>
      <c r="D261" s="455" t="s">
        <v>446</v>
      </c>
      <c r="E261" s="455" t="s">
        <v>224</v>
      </c>
      <c r="F261" s="328"/>
      <c r="G261" s="455" t="s">
        <v>447</v>
      </c>
      <c r="H261" s="328"/>
      <c r="I261" s="328"/>
      <c r="J261" s="328"/>
      <c r="K261" s="151"/>
      <c r="M261" s="431"/>
      <c r="N261" s="456"/>
      <c r="O261" s="446"/>
      <c r="P261" s="441"/>
      <c r="Q261" s="439"/>
      <c r="R261" s="440"/>
      <c r="S261" s="440"/>
      <c r="T261" s="431"/>
    </row>
    <row r="262" spans="1:20">
      <c r="A262" s="126">
        <v>12</v>
      </c>
      <c r="B262" s="318" t="s">
        <v>290</v>
      </c>
      <c r="C262" s="328" t="s">
        <v>448</v>
      </c>
      <c r="D262" s="338">
        <v>0</v>
      </c>
      <c r="E262" s="457">
        <v>0</v>
      </c>
      <c r="F262" s="457"/>
      <c r="G262" s="162">
        <f>D262*E262</f>
        <v>0</v>
      </c>
      <c r="H262" s="328"/>
      <c r="I262" s="328"/>
      <c r="J262" s="328"/>
      <c r="K262" s="151"/>
      <c r="M262" s="431"/>
      <c r="N262" s="431"/>
      <c r="O262" s="431"/>
      <c r="P262" s="431"/>
      <c r="Q262" s="431"/>
      <c r="R262" s="431"/>
      <c r="S262" s="431"/>
      <c r="T262" s="431"/>
    </row>
    <row r="263" spans="1:20">
      <c r="A263" s="126">
        <v>13</v>
      </c>
      <c r="B263" s="318" t="s">
        <v>293</v>
      </c>
      <c r="C263" s="328" t="s">
        <v>449</v>
      </c>
      <c r="D263" s="338">
        <f>+Other_Exp_Inc!G41</f>
        <v>89747.26</v>
      </c>
      <c r="E263" s="458">
        <f>+I249</f>
        <v>1</v>
      </c>
      <c r="F263" s="457"/>
      <c r="G263" s="162">
        <f>D263*E263</f>
        <v>89747.26</v>
      </c>
      <c r="H263" s="328"/>
      <c r="I263" s="328"/>
      <c r="J263" s="328"/>
      <c r="K263" s="151"/>
      <c r="M263" s="431"/>
      <c r="N263" s="431"/>
      <c r="O263" s="431"/>
      <c r="P263" s="431"/>
      <c r="Q263" s="431"/>
      <c r="R263" s="431"/>
      <c r="S263" s="431"/>
      <c r="T263" s="431"/>
    </row>
    <row r="264" spans="1:20">
      <c r="A264" s="126">
        <v>14</v>
      </c>
      <c r="B264" s="318" t="s">
        <v>297</v>
      </c>
      <c r="C264" s="328" t="s">
        <v>450</v>
      </c>
      <c r="D264" s="338">
        <f>+Other_Exp_Inc!G42</f>
        <v>248999.31</v>
      </c>
      <c r="E264" s="457">
        <v>0</v>
      </c>
      <c r="F264" s="457"/>
      <c r="G264" s="162">
        <f>D264*E264</f>
        <v>0</v>
      </c>
      <c r="H264" s="328"/>
      <c r="I264" s="459" t="s">
        <v>451</v>
      </c>
      <c r="J264" s="328"/>
      <c r="K264" s="151"/>
    </row>
    <row r="265" spans="1:20" ht="16.5" thickBot="1">
      <c r="A265" s="126">
        <v>15</v>
      </c>
      <c r="B265" s="318" t="s">
        <v>452</v>
      </c>
      <c r="C265" s="328" t="s">
        <v>453</v>
      </c>
      <c r="D265" s="380">
        <f>+Other_Exp_Inc!G43</f>
        <v>183461.85</v>
      </c>
      <c r="E265" s="457">
        <v>0</v>
      </c>
      <c r="F265" s="457"/>
      <c r="G265" s="339">
        <f>D265*E265</f>
        <v>0</v>
      </c>
      <c r="H265" s="328"/>
      <c r="I265" s="127" t="s">
        <v>454</v>
      </c>
      <c r="J265" s="328"/>
      <c r="K265" s="151"/>
    </row>
    <row r="266" spans="1:20">
      <c r="A266" s="126">
        <v>16</v>
      </c>
      <c r="B266" s="318" t="s">
        <v>455</v>
      </c>
      <c r="C266" s="328"/>
      <c r="D266" s="162">
        <f>SUM(D262:D265)</f>
        <v>522208.42000000004</v>
      </c>
      <c r="E266" s="328"/>
      <c r="F266" s="328"/>
      <c r="G266" s="162">
        <f>SUM(G262:G265)</f>
        <v>89747.26</v>
      </c>
      <c r="H266" s="126" t="s">
        <v>456</v>
      </c>
      <c r="I266" s="372">
        <f>IF(G266&gt;0,G266/D266,0)</f>
        <v>0.17186099756874848</v>
      </c>
      <c r="J266" s="452" t="s">
        <v>456</v>
      </c>
      <c r="K266" s="151" t="s">
        <v>457</v>
      </c>
      <c r="M266" s="528">
        <f>+I266</f>
        <v>0.17186099756874848</v>
      </c>
    </row>
    <row r="267" spans="1:20" ht="9" customHeight="1">
      <c r="A267" s="126"/>
      <c r="B267" s="318"/>
      <c r="C267" s="328"/>
      <c r="D267" s="328"/>
      <c r="E267" s="328"/>
      <c r="F267" s="328"/>
      <c r="G267" s="328"/>
      <c r="H267" s="328"/>
      <c r="I267" s="328"/>
      <c r="J267" s="328"/>
      <c r="K267" s="151"/>
    </row>
    <row r="268" spans="1:20">
      <c r="A268" s="126"/>
      <c r="B268" s="318" t="s">
        <v>458</v>
      </c>
      <c r="C268" s="328"/>
      <c r="D268" s="366" t="s">
        <v>446</v>
      </c>
      <c r="E268" s="328"/>
      <c r="F268" s="328"/>
      <c r="G268" s="452" t="s">
        <v>459</v>
      </c>
      <c r="H268" s="150" t="s">
        <v>211</v>
      </c>
      <c r="I268" s="381" t="str">
        <f>+I264</f>
        <v>W&amp;S Allocator</v>
      </c>
      <c r="J268" s="328"/>
      <c r="K268" s="151"/>
    </row>
    <row r="269" spans="1:20">
      <c r="A269" s="126">
        <v>17</v>
      </c>
      <c r="B269" s="318" t="s">
        <v>460</v>
      </c>
      <c r="C269" s="328" t="s">
        <v>461</v>
      </c>
      <c r="D269" s="338">
        <f>D96</f>
        <v>27473765.66384615</v>
      </c>
      <c r="E269" s="328"/>
      <c r="G269" s="126" t="s">
        <v>462</v>
      </c>
      <c r="H269" s="150"/>
      <c r="I269" s="126" t="s">
        <v>463</v>
      </c>
      <c r="J269" s="328"/>
      <c r="K269" s="129" t="s">
        <v>304</v>
      </c>
    </row>
    <row r="270" spans="1:20">
      <c r="A270" s="126">
        <v>18</v>
      </c>
      <c r="B270" s="318" t="s">
        <v>464</v>
      </c>
      <c r="C270" s="328" t="s">
        <v>465</v>
      </c>
      <c r="D270" s="338">
        <v>0</v>
      </c>
      <c r="E270" s="328"/>
      <c r="G270" s="334">
        <f>IF(D272&gt;0,D269/D272,0)</f>
        <v>1</v>
      </c>
      <c r="H270" s="452" t="s">
        <v>466</v>
      </c>
      <c r="I270" s="334">
        <f>I266</f>
        <v>0.17186099756874848</v>
      </c>
      <c r="J270" s="150" t="s">
        <v>456</v>
      </c>
      <c r="K270" s="460">
        <f>I270*G270</f>
        <v>0.17186099756874848</v>
      </c>
    </row>
    <row r="271" spans="1:20" ht="16.5" thickBot="1">
      <c r="A271" s="126">
        <v>19</v>
      </c>
      <c r="B271" s="461" t="s">
        <v>467</v>
      </c>
      <c r="C271" s="454" t="s">
        <v>468</v>
      </c>
      <c r="D271" s="380">
        <v>0</v>
      </c>
      <c r="E271" s="328"/>
      <c r="F271" s="328"/>
      <c r="G271" s="328" t="s">
        <v>211</v>
      </c>
      <c r="H271" s="328"/>
      <c r="I271" s="328"/>
      <c r="J271" s="328"/>
      <c r="K271" s="151"/>
    </row>
    <row r="272" spans="1:20">
      <c r="A272" s="126">
        <v>20</v>
      </c>
      <c r="B272" s="318" t="s">
        <v>469</v>
      </c>
      <c r="C272" s="328"/>
      <c r="D272" s="162">
        <f>D269+D270+D271</f>
        <v>27473765.66384615</v>
      </c>
      <c r="E272" s="328"/>
      <c r="F272" s="328"/>
      <c r="G272" s="328"/>
      <c r="H272" s="328"/>
      <c r="I272" s="328"/>
      <c r="J272" s="328"/>
      <c r="K272" s="151"/>
    </row>
    <row r="273" spans="1:17" ht="9" customHeight="1">
      <c r="A273" s="126"/>
      <c r="B273" s="318"/>
      <c r="C273" s="328"/>
      <c r="E273" s="328"/>
      <c r="F273" s="328"/>
      <c r="G273" s="328"/>
      <c r="H273" s="328"/>
      <c r="I273" s="328"/>
      <c r="J273" s="328"/>
      <c r="K273" s="151"/>
    </row>
    <row r="274" spans="1:17" ht="16.5" thickBot="1">
      <c r="A274" s="126"/>
      <c r="B274" s="318" t="s">
        <v>470</v>
      </c>
      <c r="C274" s="151"/>
      <c r="D274" s="151"/>
      <c r="E274" s="151"/>
      <c r="F274" s="328"/>
      <c r="G274" s="328"/>
      <c r="H274" s="328"/>
      <c r="I274" s="455" t="s">
        <v>446</v>
      </c>
      <c r="J274" s="328"/>
      <c r="K274" s="151"/>
    </row>
    <row r="275" spans="1:17">
      <c r="A275" s="126">
        <v>21</v>
      </c>
      <c r="B275" s="123"/>
      <c r="C275" s="151" t="s">
        <v>471</v>
      </c>
      <c r="D275" s="151"/>
      <c r="E275" s="151" t="s">
        <v>444</v>
      </c>
      <c r="F275" s="328"/>
      <c r="G275" s="328"/>
      <c r="H275" s="328"/>
      <c r="I275" s="462">
        <f>+Other_Exp_Inc!G30+381</f>
        <v>1454639.93</v>
      </c>
      <c r="J275" s="328"/>
      <c r="K275" s="151"/>
    </row>
    <row r="276" spans="1:17" ht="9" customHeight="1">
      <c r="A276" s="126"/>
      <c r="B276" s="318"/>
      <c r="C276" s="151"/>
      <c r="D276" s="151"/>
      <c r="E276" s="151"/>
      <c r="F276" s="328"/>
      <c r="G276" s="328"/>
      <c r="H276" s="328"/>
      <c r="I276" s="328"/>
      <c r="J276" s="328"/>
      <c r="K276" s="151"/>
    </row>
    <row r="277" spans="1:17">
      <c r="A277" s="126">
        <v>22</v>
      </c>
      <c r="B277" s="318"/>
      <c r="C277" s="151" t="s">
        <v>472</v>
      </c>
      <c r="D277" s="151"/>
      <c r="E277" s="151"/>
      <c r="F277" s="328"/>
      <c r="G277" s="328"/>
      <c r="H277" s="151"/>
      <c r="I277" s="463">
        <v>0</v>
      </c>
      <c r="J277" s="328"/>
      <c r="K277" s="151"/>
    </row>
    <row r="278" spans="1:17" ht="9" customHeight="1">
      <c r="A278" s="126"/>
      <c r="B278" s="318"/>
      <c r="C278" s="151"/>
      <c r="D278" s="151"/>
      <c r="E278" s="151"/>
      <c r="F278" s="328"/>
      <c r="G278" s="328"/>
      <c r="H278" s="328"/>
      <c r="I278" s="328"/>
      <c r="J278" s="328"/>
      <c r="K278" s="151"/>
    </row>
    <row r="279" spans="1:17">
      <c r="A279" s="126"/>
      <c r="B279" s="318" t="s">
        <v>473</v>
      </c>
      <c r="C279" s="151" t="s">
        <v>474</v>
      </c>
      <c r="D279" s="151"/>
      <c r="E279" s="151"/>
      <c r="F279" s="328"/>
      <c r="G279" s="328"/>
      <c r="H279" s="328"/>
      <c r="I279" s="328"/>
      <c r="J279" s="328"/>
      <c r="K279" s="151"/>
    </row>
    <row r="280" spans="1:17">
      <c r="A280" s="126">
        <v>23</v>
      </c>
      <c r="B280" s="318"/>
      <c r="C280" s="151" t="s">
        <v>475</v>
      </c>
      <c r="D280" s="131"/>
      <c r="E280" s="151"/>
      <c r="F280" s="328"/>
      <c r="G280" s="328"/>
      <c r="H280" s="328"/>
      <c r="I280" s="338">
        <f>+'Capital Structure'!J24</f>
        <v>11277533</v>
      </c>
      <c r="J280" s="328"/>
      <c r="K280" s="151"/>
      <c r="L280" s="323"/>
      <c r="M280" s="323"/>
      <c r="N280" s="323"/>
      <c r="O280" s="323"/>
      <c r="P280" s="323"/>
      <c r="Q280" s="323"/>
    </row>
    <row r="281" spans="1:17">
      <c r="A281" s="126">
        <v>24</v>
      </c>
      <c r="B281" s="318"/>
      <c r="C281" s="151" t="s">
        <v>476</v>
      </c>
      <c r="D281" s="151"/>
      <c r="E281" s="151"/>
      <c r="F281" s="328"/>
      <c r="G281" s="328"/>
      <c r="H281" s="328"/>
      <c r="I281" s="171">
        <f>-D287</f>
        <v>0</v>
      </c>
      <c r="J281" s="328"/>
      <c r="K281" s="151"/>
    </row>
    <row r="282" spans="1:17" ht="16.5" thickBot="1">
      <c r="A282" s="126">
        <v>25</v>
      </c>
      <c r="B282" s="318"/>
      <c r="C282" s="328" t="s">
        <v>477</v>
      </c>
      <c r="D282" s="328"/>
      <c r="E282" s="328"/>
      <c r="F282" s="328"/>
      <c r="G282" s="328"/>
      <c r="H282" s="328"/>
      <c r="I282" s="380">
        <f>-'Capital Structure'!I24</f>
        <v>-715874.54769230762</v>
      </c>
      <c r="J282" s="328"/>
      <c r="K282" s="151"/>
    </row>
    <row r="283" spans="1:17">
      <c r="A283" s="126">
        <v>26</v>
      </c>
      <c r="B283" s="123"/>
      <c r="C283" s="328" t="s">
        <v>478</v>
      </c>
      <c r="D283" s="123" t="s">
        <v>479</v>
      </c>
      <c r="E283" s="123"/>
      <c r="F283" s="123"/>
      <c r="G283" s="123"/>
      <c r="H283" s="123"/>
      <c r="I283" s="162">
        <f>+I280+I281+I282</f>
        <v>10561658.452307692</v>
      </c>
      <c r="J283" s="328"/>
      <c r="K283" s="151"/>
    </row>
    <row r="284" spans="1:17">
      <c r="A284" s="126"/>
      <c r="B284" s="318"/>
      <c r="C284" s="328"/>
      <c r="D284" s="328"/>
      <c r="E284" s="328"/>
      <c r="F284" s="328"/>
      <c r="G284" s="452" t="s">
        <v>480</v>
      </c>
      <c r="H284" s="328"/>
      <c r="I284" s="328"/>
      <c r="J284" s="328"/>
      <c r="K284" s="151"/>
    </row>
    <row r="285" spans="1:17" ht="16.5" thickBot="1">
      <c r="A285" s="126"/>
      <c r="B285" s="318"/>
      <c r="C285" s="151"/>
      <c r="D285" s="127" t="s">
        <v>446</v>
      </c>
      <c r="E285" s="127" t="s">
        <v>481</v>
      </c>
      <c r="F285" s="328"/>
      <c r="G285" s="127" t="s">
        <v>482</v>
      </c>
      <c r="H285" s="328"/>
      <c r="I285" s="127" t="s">
        <v>483</v>
      </c>
      <c r="J285" s="328"/>
      <c r="K285" s="151"/>
    </row>
    <row r="286" spans="1:17">
      <c r="A286" s="126">
        <v>27</v>
      </c>
      <c r="B286" s="318" t="s">
        <v>484</v>
      </c>
      <c r="C286" s="151" t="s">
        <v>474</v>
      </c>
      <c r="D286" s="338">
        <f>+'Capital Structure'!H24</f>
        <v>30623461.53846154</v>
      </c>
      <c r="E286" s="464">
        <f>IF($D$289&gt;0,D286/$D$289,0)</f>
        <v>0.74355644818626576</v>
      </c>
      <c r="F286" s="465"/>
      <c r="G286" s="466">
        <f>IF(D286&gt;0,I275/D286,0)</f>
        <v>4.7500832920963056E-2</v>
      </c>
      <c r="H286" s="467"/>
      <c r="I286" s="466">
        <f>G286*E286</f>
        <v>3.5319550612600531E-2</v>
      </c>
      <c r="J286" s="468" t="s">
        <v>485</v>
      </c>
    </row>
    <row r="287" spans="1:17">
      <c r="A287" s="126">
        <v>28</v>
      </c>
      <c r="B287" s="318" t="s">
        <v>486</v>
      </c>
      <c r="C287" s="323"/>
      <c r="D287" s="338">
        <v>0</v>
      </c>
      <c r="E287" s="464">
        <f>IF($D$289&gt;0,D287/$D$289,0)</f>
        <v>0</v>
      </c>
      <c r="F287" s="465"/>
      <c r="G287" s="466">
        <f>IF(D287&gt;0,I277/D287,0)</f>
        <v>0</v>
      </c>
      <c r="H287" s="467"/>
      <c r="I287" s="466">
        <f>G287*E287</f>
        <v>0</v>
      </c>
      <c r="J287" s="328"/>
    </row>
    <row r="288" spans="1:17" ht="16.5" thickBot="1">
      <c r="A288" s="126">
        <v>29</v>
      </c>
      <c r="B288" s="318" t="s">
        <v>487</v>
      </c>
      <c r="C288" s="323"/>
      <c r="D288" s="339">
        <f>I283</f>
        <v>10561658.452307692</v>
      </c>
      <c r="E288" s="464">
        <f>IF($D$289&gt;0,D288/$D$289,0)</f>
        <v>0.25644355181373424</v>
      </c>
      <c r="F288" s="465"/>
      <c r="G288" s="469">
        <v>0.12379999999999999</v>
      </c>
      <c r="H288" s="467"/>
      <c r="I288" s="470">
        <f>G288*E288</f>
        <v>3.17477117145403E-2</v>
      </c>
      <c r="J288" s="328"/>
      <c r="K288" s="520"/>
      <c r="L288" s="520"/>
      <c r="M288" s="521">
        <v>0.12379999999999999</v>
      </c>
      <c r="N288" s="520"/>
      <c r="O288" s="520"/>
      <c r="P288" s="520"/>
    </row>
    <row r="289" spans="1:13">
      <c r="A289" s="126">
        <v>30</v>
      </c>
      <c r="B289" s="318" t="s">
        <v>488</v>
      </c>
      <c r="D289" s="162">
        <f>D288+D287+D286</f>
        <v>41185119.99076923</v>
      </c>
      <c r="E289" s="328" t="s">
        <v>211</v>
      </c>
      <c r="F289" s="328"/>
      <c r="G289" s="467"/>
      <c r="H289" s="467"/>
      <c r="I289" s="466">
        <f>SUM(I286:I288)</f>
        <v>6.7067262327140831E-2</v>
      </c>
      <c r="J289" s="468" t="s">
        <v>489</v>
      </c>
      <c r="M289" s="524">
        <f>+I289</f>
        <v>6.7067262327140831E-2</v>
      </c>
    </row>
    <row r="290" spans="1:13" ht="17.25" customHeight="1">
      <c r="E290" s="328"/>
      <c r="F290" s="328"/>
      <c r="G290" s="328"/>
      <c r="H290" s="328"/>
    </row>
    <row r="291" spans="1:13" ht="18.75" customHeight="1">
      <c r="E291" s="328"/>
      <c r="F291" s="328"/>
      <c r="G291" s="328"/>
      <c r="H291" s="328"/>
    </row>
    <row r="292" spans="1:13" ht="18.75" customHeight="1">
      <c r="A292" s="137"/>
      <c r="B292" s="422" t="s">
        <v>490</v>
      </c>
      <c r="C292" s="384"/>
      <c r="D292" s="426"/>
      <c r="E292" s="426"/>
      <c r="F292" s="426"/>
      <c r="G292" s="471" t="s">
        <v>480</v>
      </c>
      <c r="H292" s="472"/>
      <c r="I292" s="473"/>
      <c r="J292" s="426"/>
      <c r="K292" s="426"/>
    </row>
    <row r="293" spans="1:13" ht="18.75" customHeight="1" thickBot="1">
      <c r="A293" s="137"/>
      <c r="B293" s="422"/>
      <c r="C293" s="384"/>
      <c r="D293" s="426"/>
      <c r="E293" s="152" t="s">
        <v>481</v>
      </c>
      <c r="F293" s="426"/>
      <c r="G293" s="152" t="s">
        <v>482</v>
      </c>
      <c r="H293" s="472"/>
      <c r="I293" s="152" t="s">
        <v>483</v>
      </c>
      <c r="J293" s="376"/>
      <c r="K293" s="376"/>
    </row>
    <row r="294" spans="1:13" ht="18.75" customHeight="1">
      <c r="A294" s="137" t="s">
        <v>359</v>
      </c>
      <c r="B294" s="422" t="s">
        <v>491</v>
      </c>
      <c r="C294" s="384"/>
      <c r="D294" s="426"/>
      <c r="E294" s="474">
        <v>0.5</v>
      </c>
      <c r="F294" s="426"/>
      <c r="G294" s="475">
        <f>G286</f>
        <v>4.7500832920963056E-2</v>
      </c>
      <c r="H294" s="476"/>
      <c r="I294" s="477">
        <f>G294*E294</f>
        <v>2.3750416460481528E-2</v>
      </c>
      <c r="J294" s="478" t="s">
        <v>485</v>
      </c>
      <c r="K294" s="376"/>
    </row>
    <row r="295" spans="1:13" ht="18.75" customHeight="1" thickBot="1">
      <c r="A295" s="137" t="s">
        <v>492</v>
      </c>
      <c r="B295" s="422" t="s">
        <v>493</v>
      </c>
      <c r="C295" s="384"/>
      <c r="D295" s="426"/>
      <c r="E295" s="479">
        <v>0.5</v>
      </c>
      <c r="F295" s="426"/>
      <c r="G295" s="475">
        <f>G288</f>
        <v>0.12379999999999999</v>
      </c>
      <c r="H295" s="476"/>
      <c r="I295" s="480">
        <f>G295*E295</f>
        <v>6.1899999999999997E-2</v>
      </c>
      <c r="J295" s="426"/>
      <c r="K295" s="426"/>
    </row>
    <row r="296" spans="1:13" ht="18.75" customHeight="1">
      <c r="A296" s="137" t="s">
        <v>494</v>
      </c>
      <c r="B296" s="422" t="s">
        <v>495</v>
      </c>
      <c r="C296" s="384"/>
      <c r="D296" s="426"/>
      <c r="E296" s="481">
        <f>SUM(E294+E295)</f>
        <v>1</v>
      </c>
      <c r="F296" s="426"/>
      <c r="G296" s="482"/>
      <c r="H296" s="476"/>
      <c r="I296" s="477">
        <f>SUM(I294:I295)</f>
        <v>8.5650416460481521E-2</v>
      </c>
      <c r="J296" s="478" t="s">
        <v>489</v>
      </c>
      <c r="K296" s="426"/>
    </row>
    <row r="297" spans="1:13" ht="18.75" customHeight="1">
      <c r="A297" s="137"/>
      <c r="B297" s="422"/>
      <c r="C297" s="384"/>
      <c r="D297" s="426"/>
      <c r="E297" s="483"/>
      <c r="F297" s="426"/>
      <c r="G297" s="482"/>
      <c r="H297" s="476"/>
      <c r="I297" s="482"/>
      <c r="J297" s="478"/>
      <c r="K297" s="426"/>
    </row>
    <row r="298" spans="1:13" ht="18.75" customHeight="1">
      <c r="A298" s="321" t="s">
        <v>496</v>
      </c>
      <c r="B298" s="321" t="s">
        <v>497</v>
      </c>
      <c r="E298" s="328"/>
      <c r="F298" s="328"/>
      <c r="G298" s="328"/>
      <c r="H298" s="328"/>
      <c r="I298" s="466">
        <f>I296-I289</f>
        <v>1.858315413334069E-2</v>
      </c>
      <c r="M298" s="524">
        <f>+I298</f>
        <v>1.858315413334069E-2</v>
      </c>
    </row>
    <row r="299" spans="1:13" ht="18.75" customHeight="1">
      <c r="E299" s="328"/>
      <c r="F299" s="328"/>
      <c r="G299" s="328"/>
      <c r="H299" s="328"/>
    </row>
    <row r="300" spans="1:13">
      <c r="A300" s="126"/>
      <c r="B300" s="318" t="s">
        <v>498</v>
      </c>
      <c r="C300" s="123"/>
      <c r="D300" s="123"/>
      <c r="E300" s="123"/>
      <c r="F300" s="123"/>
      <c r="G300" s="123"/>
      <c r="H300" s="123"/>
      <c r="I300" s="123"/>
      <c r="J300" s="123"/>
      <c r="K300" s="131"/>
    </row>
    <row r="301" spans="1:13" ht="9" customHeight="1">
      <c r="A301" s="126"/>
      <c r="B301" s="318"/>
      <c r="C301" s="318"/>
      <c r="D301" s="318"/>
      <c r="E301" s="318"/>
      <c r="F301" s="318"/>
      <c r="G301" s="318"/>
      <c r="H301" s="318"/>
      <c r="J301" s="153"/>
    </row>
    <row r="302" spans="1:13" ht="16.5" thickBot="1">
      <c r="A302" s="126"/>
      <c r="B302" s="318" t="s">
        <v>499</v>
      </c>
      <c r="C302" s="123"/>
      <c r="D302" s="123" t="s">
        <v>500</v>
      </c>
      <c r="E302" s="154" t="s">
        <v>501</v>
      </c>
      <c r="F302" s="154"/>
      <c r="G302" s="155" t="s">
        <v>211</v>
      </c>
      <c r="H302" s="484"/>
      <c r="I302" s="127" t="s">
        <v>502</v>
      </c>
      <c r="J302" s="323"/>
    </row>
    <row r="303" spans="1:13">
      <c r="A303" s="126">
        <v>31</v>
      </c>
      <c r="B303" s="321" t="s">
        <v>503</v>
      </c>
      <c r="C303" s="123"/>
      <c r="D303" s="123"/>
      <c r="F303" s="123"/>
      <c r="H303" s="484"/>
      <c r="I303" s="156">
        <v>0</v>
      </c>
      <c r="J303" s="485"/>
    </row>
    <row r="304" spans="1:13" ht="16.5" thickBot="1">
      <c r="A304" s="126">
        <v>32</v>
      </c>
      <c r="B304" s="486" t="s">
        <v>504</v>
      </c>
      <c r="C304" s="487"/>
      <c r="D304" s="324"/>
      <c r="E304" s="157"/>
      <c r="F304" s="157"/>
      <c r="G304" s="157"/>
      <c r="H304" s="123"/>
      <c r="I304" s="158">
        <v>0</v>
      </c>
      <c r="J304" s="485"/>
    </row>
    <row r="305" spans="1:11">
      <c r="A305" s="126">
        <v>33</v>
      </c>
      <c r="B305" s="321" t="s">
        <v>505</v>
      </c>
      <c r="C305" s="123"/>
      <c r="E305" s="123"/>
      <c r="F305" s="123"/>
      <c r="G305" s="123"/>
      <c r="H305" s="123"/>
      <c r="I305" s="159">
        <f>+I303-I304</f>
        <v>0</v>
      </c>
      <c r="J305" s="485"/>
    </row>
    <row r="306" spans="1:11" ht="9" customHeight="1">
      <c r="A306" s="126"/>
      <c r="B306" s="321" t="s">
        <v>211</v>
      </c>
      <c r="C306" s="123"/>
      <c r="E306" s="123"/>
      <c r="F306" s="123"/>
      <c r="G306" s="133"/>
      <c r="H306" s="123"/>
      <c r="I306" s="488" t="s">
        <v>211</v>
      </c>
      <c r="J306" s="323"/>
      <c r="K306" s="489"/>
    </row>
    <row r="307" spans="1:11">
      <c r="A307" s="126">
        <v>34</v>
      </c>
      <c r="B307" s="138" t="s">
        <v>506</v>
      </c>
      <c r="C307" s="131"/>
      <c r="E307" s="123"/>
      <c r="F307" s="123"/>
      <c r="G307" s="160"/>
      <c r="H307" s="123"/>
      <c r="I307" s="490">
        <v>0</v>
      </c>
      <c r="J307" s="323"/>
      <c r="K307" s="489"/>
    </row>
    <row r="308" spans="1:11" ht="9" customHeight="1">
      <c r="A308" s="126"/>
      <c r="B308" s="323"/>
      <c r="C308" s="131"/>
      <c r="D308" s="123"/>
      <c r="E308" s="123"/>
      <c r="F308" s="123"/>
      <c r="G308" s="123"/>
      <c r="H308" s="123"/>
      <c r="I308" s="488"/>
      <c r="J308" s="323"/>
      <c r="K308" s="489"/>
    </row>
    <row r="309" spans="1:11">
      <c r="B309" s="138" t="s">
        <v>507</v>
      </c>
      <c r="C309" s="131"/>
      <c r="D309" s="123" t="s">
        <v>508</v>
      </c>
      <c r="E309" s="123"/>
      <c r="F309" s="123"/>
      <c r="G309" s="123"/>
      <c r="H309" s="123"/>
      <c r="K309" s="491"/>
    </row>
    <row r="310" spans="1:11">
      <c r="A310" s="126">
        <v>35</v>
      </c>
      <c r="B310" s="318" t="s">
        <v>509</v>
      </c>
      <c r="C310" s="328"/>
      <c r="D310" s="328"/>
      <c r="E310" s="328"/>
      <c r="F310" s="328"/>
      <c r="G310" s="328"/>
      <c r="H310" s="328"/>
      <c r="I310" s="161">
        <f>Revenues!D6</f>
        <v>6090419.6600000001</v>
      </c>
      <c r="J310" s="328"/>
      <c r="K310" s="491"/>
    </row>
    <row r="311" spans="1:11">
      <c r="A311" s="126">
        <v>36</v>
      </c>
      <c r="B311" s="163" t="s">
        <v>510</v>
      </c>
      <c r="C311" s="157"/>
      <c r="D311" s="157"/>
      <c r="E311" s="157"/>
      <c r="F311" s="157"/>
      <c r="G311" s="157"/>
      <c r="H311" s="123"/>
      <c r="I311" s="161">
        <v>0</v>
      </c>
      <c r="K311" s="164"/>
    </row>
    <row r="312" spans="1:11">
      <c r="A312" s="129" t="s">
        <v>511</v>
      </c>
      <c r="B312" s="165" t="s">
        <v>512</v>
      </c>
      <c r="C312" s="166"/>
      <c r="D312" s="157"/>
      <c r="E312" s="157"/>
      <c r="F312" s="157"/>
      <c r="G312" s="157"/>
      <c r="H312" s="123"/>
      <c r="I312" s="161">
        <v>0</v>
      </c>
      <c r="K312" s="164"/>
    </row>
    <row r="313" spans="1:11" ht="16.5" thickBot="1">
      <c r="A313" s="129" t="s">
        <v>513</v>
      </c>
      <c r="B313" s="167" t="s">
        <v>514</v>
      </c>
      <c r="C313" s="144"/>
      <c r="D313" s="157"/>
      <c r="E313" s="157"/>
      <c r="F313" s="157"/>
      <c r="G313" s="157"/>
      <c r="H313" s="123"/>
      <c r="I313" s="168">
        <f>+I310</f>
        <v>6090419.6600000001</v>
      </c>
      <c r="K313" s="164"/>
    </row>
    <row r="314" spans="1:11">
      <c r="A314" s="126">
        <v>37</v>
      </c>
      <c r="B314" s="169" t="s">
        <v>515</v>
      </c>
      <c r="C314" s="126"/>
      <c r="D314" s="328"/>
      <c r="E314" s="328"/>
      <c r="F314" s="328"/>
      <c r="G314" s="328"/>
      <c r="H314" s="123"/>
      <c r="I314" s="170">
        <f>+I310-I311-I312-I313</f>
        <v>0</v>
      </c>
      <c r="J314" s="328"/>
      <c r="K314" s="151"/>
    </row>
    <row r="315" spans="1:11" hidden="1">
      <c r="A315" s="126" t="s">
        <v>211</v>
      </c>
      <c r="B315" s="172"/>
      <c r="C315" s="126"/>
      <c r="D315" s="328"/>
      <c r="E315" s="328"/>
      <c r="F315" s="328"/>
      <c r="G315" s="328"/>
      <c r="H315" s="123"/>
      <c r="I315" s="492"/>
      <c r="J315" s="328"/>
      <c r="K315" s="151"/>
    </row>
    <row r="316" spans="1:11" hidden="1">
      <c r="A316" s="126"/>
      <c r="B316" s="172"/>
      <c r="C316" s="126"/>
      <c r="D316" s="328"/>
      <c r="E316" s="328"/>
      <c r="F316" s="328"/>
      <c r="G316" s="328"/>
      <c r="H316" s="123"/>
      <c r="I316" s="492"/>
      <c r="J316" s="328"/>
      <c r="K316" s="151"/>
    </row>
    <row r="317" spans="1:11" hidden="1">
      <c r="A317" s="126"/>
      <c r="B317" s="172"/>
      <c r="C317" s="126"/>
      <c r="D317" s="328"/>
      <c r="E317" s="328"/>
      <c r="F317" s="328"/>
      <c r="G317" s="328"/>
      <c r="H317" s="123"/>
      <c r="I317" s="492"/>
      <c r="J317" s="328"/>
      <c r="K317" s="151"/>
    </row>
    <row r="318" spans="1:11">
      <c r="A318" s="126"/>
      <c r="B318" s="172"/>
      <c r="C318" s="126"/>
      <c r="D318" s="328"/>
      <c r="E318" s="328"/>
      <c r="F318" s="328"/>
      <c r="G318" s="328"/>
      <c r="H318" s="123"/>
      <c r="I318" s="492"/>
      <c r="J318" s="328"/>
      <c r="K318" s="151"/>
    </row>
    <row r="319" spans="1:11">
      <c r="B319" s="318"/>
      <c r="C319" s="318"/>
      <c r="D319" s="119"/>
      <c r="E319" s="119"/>
      <c r="F319" s="119"/>
      <c r="G319" s="119"/>
      <c r="H319" s="119"/>
      <c r="I319" s="119"/>
      <c r="J319" s="119"/>
      <c r="K319" s="119"/>
    </row>
    <row r="320" spans="1:11">
      <c r="A320" s="318"/>
      <c r="B320" s="318"/>
      <c r="C320" s="318"/>
      <c r="D320" s="361"/>
      <c r="E320" s="328"/>
      <c r="F320" s="328"/>
      <c r="G320" s="362"/>
      <c r="H320" s="328"/>
      <c r="I320" s="164"/>
      <c r="J320" s="164"/>
      <c r="K320" s="164"/>
    </row>
    <row r="321" spans="1:11">
      <c r="A321" s="621"/>
      <c r="B321" s="621"/>
      <c r="C321" s="328"/>
      <c r="D321" s="361"/>
      <c r="E321" s="328"/>
      <c r="F321" s="328"/>
      <c r="G321" s="362"/>
      <c r="H321" s="328"/>
      <c r="I321" s="361"/>
      <c r="J321" s="328"/>
      <c r="K321" s="164"/>
    </row>
    <row r="322" spans="1:11">
      <c r="B322" s="318"/>
      <c r="C322" s="318"/>
      <c r="D322" s="119"/>
      <c r="E322" s="318"/>
      <c r="F322" s="318"/>
      <c r="G322" s="318"/>
      <c r="H322" s="622" t="str">
        <f>H4</f>
        <v>Attachment O-CMMPA Agency</v>
      </c>
      <c r="I322" s="622"/>
      <c r="J322" s="622"/>
      <c r="K322" s="622"/>
    </row>
    <row r="323" spans="1:11">
      <c r="B323" s="318"/>
      <c r="C323" s="318"/>
      <c r="D323" s="119"/>
      <c r="E323" s="318"/>
      <c r="F323" s="318"/>
      <c r="G323" s="318"/>
      <c r="H323" s="123"/>
      <c r="I323" s="123"/>
      <c r="J323" s="620" t="s">
        <v>516</v>
      </c>
      <c r="K323" s="620"/>
    </row>
    <row r="324" spans="1:11">
      <c r="B324" s="318"/>
      <c r="C324" s="318"/>
      <c r="D324" s="119"/>
      <c r="E324" s="318"/>
      <c r="F324" s="318"/>
      <c r="G324" s="318"/>
      <c r="H324" s="123"/>
      <c r="I324" s="123"/>
      <c r="J324" s="123"/>
      <c r="K324" s="120"/>
    </row>
    <row r="325" spans="1:11">
      <c r="B325" s="318" t="s">
        <v>209</v>
      </c>
      <c r="C325" s="318"/>
      <c r="D325" s="119" t="s">
        <v>362</v>
      </c>
      <c r="E325" s="318"/>
      <c r="F325" s="318"/>
      <c r="G325" s="318"/>
      <c r="H325" s="135"/>
      <c r="I325" s="135"/>
      <c r="J325" s="135"/>
      <c r="K325" s="363" t="str">
        <f>K7</f>
        <v>For the 12 months ended 12/31/2016</v>
      </c>
    </row>
    <row r="326" spans="1:11">
      <c r="B326" s="318"/>
      <c r="C326" s="328" t="s">
        <v>211</v>
      </c>
      <c r="D326" s="328" t="s">
        <v>363</v>
      </c>
      <c r="E326" s="328"/>
      <c r="F326" s="328"/>
      <c r="G326" s="328"/>
      <c r="H326" s="123"/>
      <c r="I326" s="123"/>
      <c r="J326" s="123"/>
      <c r="K326" s="131"/>
    </row>
    <row r="327" spans="1:11">
      <c r="A327" s="126"/>
      <c r="B327" s="172"/>
      <c r="C327" s="126"/>
      <c r="D327" s="328"/>
      <c r="E327" s="328"/>
      <c r="F327" s="328"/>
      <c r="G327" s="328"/>
      <c r="H327" s="123"/>
      <c r="I327" s="173"/>
      <c r="J327" s="323"/>
      <c r="K327" s="151"/>
    </row>
    <row r="328" spans="1:11">
      <c r="A328" s="126"/>
      <c r="B328" s="172"/>
      <c r="C328" s="126"/>
      <c r="D328" s="162" t="str">
        <f>D10</f>
        <v>CMMPA Agency</v>
      </c>
      <c r="E328" s="328"/>
      <c r="F328" s="328"/>
      <c r="G328" s="328"/>
      <c r="H328" s="123"/>
      <c r="I328" s="173"/>
      <c r="J328" s="323"/>
      <c r="K328" s="151"/>
    </row>
    <row r="329" spans="1:11">
      <c r="A329" s="126"/>
      <c r="B329" s="172"/>
      <c r="C329" s="126"/>
      <c r="D329" s="328"/>
      <c r="E329" s="328"/>
      <c r="F329" s="328"/>
      <c r="G329" s="328"/>
      <c r="H329" s="123"/>
      <c r="I329" s="173"/>
      <c r="J329" s="323"/>
      <c r="K329" s="151"/>
    </row>
    <row r="330" spans="1:11">
      <c r="A330" s="126"/>
      <c r="B330" s="318" t="s">
        <v>517</v>
      </c>
      <c r="C330" s="126"/>
      <c r="D330" s="328"/>
      <c r="E330" s="328"/>
      <c r="F330" s="328"/>
      <c r="G330" s="328"/>
      <c r="H330" s="123"/>
      <c r="I330" s="328"/>
      <c r="J330" s="123"/>
      <c r="K330" s="151"/>
    </row>
    <row r="331" spans="1:11">
      <c r="A331" s="126"/>
      <c r="B331" s="174" t="s">
        <v>518</v>
      </c>
      <c r="C331" s="126"/>
      <c r="D331" s="328"/>
      <c r="E331" s="328"/>
      <c r="F331" s="328"/>
      <c r="G331" s="328"/>
      <c r="H331" s="123"/>
      <c r="I331" s="328"/>
      <c r="J331" s="123"/>
      <c r="K331" s="151"/>
    </row>
    <row r="332" spans="1:11">
      <c r="A332" s="126" t="s">
        <v>519</v>
      </c>
      <c r="B332" s="318"/>
      <c r="C332" s="123"/>
      <c r="D332" s="328"/>
      <c r="E332" s="328"/>
      <c r="F332" s="328"/>
      <c r="G332" s="328"/>
      <c r="H332" s="123"/>
      <c r="I332" s="328"/>
      <c r="J332" s="123"/>
      <c r="K332" s="151"/>
    </row>
    <row r="333" spans="1:11" ht="16.5" thickBot="1">
      <c r="A333" s="127" t="s">
        <v>520</v>
      </c>
      <c r="B333" s="318"/>
      <c r="C333" s="123"/>
      <c r="D333" s="328"/>
      <c r="E333" s="328"/>
      <c r="F333" s="328"/>
      <c r="G333" s="328"/>
      <c r="H333" s="123"/>
      <c r="I333" s="328"/>
      <c r="J333" s="123"/>
      <c r="K333" s="151"/>
    </row>
    <row r="334" spans="1:11">
      <c r="A334" s="175" t="s">
        <v>521</v>
      </c>
      <c r="B334" s="619" t="s">
        <v>522</v>
      </c>
      <c r="C334" s="619"/>
      <c r="D334" s="619"/>
      <c r="E334" s="619"/>
      <c r="F334" s="619"/>
      <c r="G334" s="619"/>
      <c r="H334" s="619"/>
      <c r="I334" s="619"/>
      <c r="J334" s="619"/>
      <c r="K334" s="619"/>
    </row>
    <row r="335" spans="1:11" ht="18" customHeight="1">
      <c r="A335" s="175" t="s">
        <v>523</v>
      </c>
      <c r="B335" s="619" t="s">
        <v>524</v>
      </c>
      <c r="C335" s="619"/>
      <c r="D335" s="619"/>
      <c r="E335" s="619"/>
      <c r="F335" s="619"/>
      <c r="G335" s="619"/>
      <c r="H335" s="619"/>
      <c r="I335" s="619"/>
      <c r="J335" s="619"/>
      <c r="K335" s="619"/>
    </row>
    <row r="336" spans="1:11">
      <c r="A336" s="175" t="s">
        <v>525</v>
      </c>
      <c r="B336" s="619" t="s">
        <v>526</v>
      </c>
      <c r="C336" s="619"/>
      <c r="D336" s="619"/>
      <c r="E336" s="619"/>
      <c r="F336" s="619"/>
      <c r="G336" s="619"/>
      <c r="H336" s="619"/>
      <c r="I336" s="619"/>
      <c r="J336" s="619"/>
      <c r="K336" s="619"/>
    </row>
    <row r="337" spans="1:11" ht="15.75" customHeight="1">
      <c r="A337" s="175" t="s">
        <v>527</v>
      </c>
      <c r="B337" s="619" t="s">
        <v>526</v>
      </c>
      <c r="C337" s="619"/>
      <c r="D337" s="619"/>
      <c r="E337" s="619"/>
      <c r="F337" s="619"/>
      <c r="G337" s="619"/>
      <c r="H337" s="619"/>
      <c r="I337" s="619"/>
      <c r="J337" s="619"/>
      <c r="K337" s="619"/>
    </row>
    <row r="338" spans="1:11">
      <c r="A338" s="175" t="s">
        <v>528</v>
      </c>
      <c r="B338" s="619" t="s">
        <v>529</v>
      </c>
      <c r="C338" s="619"/>
      <c r="D338" s="619"/>
      <c r="E338" s="619"/>
      <c r="F338" s="619"/>
      <c r="G338" s="619"/>
      <c r="H338" s="619"/>
      <c r="I338" s="619"/>
      <c r="J338" s="619"/>
      <c r="K338" s="619"/>
    </row>
    <row r="339" spans="1:11" ht="32.25" customHeight="1">
      <c r="A339" s="175" t="s">
        <v>530</v>
      </c>
      <c r="B339" s="619" t="s">
        <v>531</v>
      </c>
      <c r="C339" s="619"/>
      <c r="D339" s="619"/>
      <c r="E339" s="619"/>
      <c r="F339" s="619"/>
      <c r="G339" s="619"/>
      <c r="H339" s="619"/>
      <c r="I339" s="619"/>
      <c r="J339" s="619"/>
      <c r="K339" s="619"/>
    </row>
    <row r="340" spans="1:11">
      <c r="A340" s="175" t="s">
        <v>532</v>
      </c>
      <c r="B340" s="619" t="s">
        <v>533</v>
      </c>
      <c r="C340" s="619"/>
      <c r="D340" s="619"/>
      <c r="E340" s="619"/>
      <c r="F340" s="619"/>
      <c r="G340" s="619"/>
      <c r="H340" s="619"/>
      <c r="I340" s="619"/>
      <c r="J340" s="619"/>
      <c r="K340" s="619"/>
    </row>
    <row r="341" spans="1:11" ht="32.25" customHeight="1">
      <c r="A341" s="175" t="s">
        <v>534</v>
      </c>
      <c r="B341" s="619" t="s">
        <v>535</v>
      </c>
      <c r="C341" s="619"/>
      <c r="D341" s="619"/>
      <c r="E341" s="619"/>
      <c r="F341" s="619"/>
      <c r="G341" s="619"/>
      <c r="H341" s="619"/>
      <c r="I341" s="619"/>
      <c r="J341" s="619"/>
      <c r="K341" s="619"/>
    </row>
    <row r="342" spans="1:11" ht="31.5" customHeight="1">
      <c r="A342" s="175" t="s">
        <v>536</v>
      </c>
      <c r="B342" s="619" t="s">
        <v>537</v>
      </c>
      <c r="C342" s="619"/>
      <c r="D342" s="619"/>
      <c r="E342" s="619"/>
      <c r="F342" s="619"/>
      <c r="G342" s="619"/>
      <c r="H342" s="619"/>
      <c r="I342" s="619"/>
      <c r="J342" s="619"/>
      <c r="K342" s="619"/>
    </row>
    <row r="343" spans="1:11" ht="30.75" customHeight="1">
      <c r="A343" s="175" t="s">
        <v>538</v>
      </c>
      <c r="B343" s="619" t="s">
        <v>539</v>
      </c>
      <c r="C343" s="619"/>
      <c r="D343" s="619"/>
      <c r="E343" s="619"/>
      <c r="F343" s="619"/>
      <c r="G343" s="619"/>
      <c r="H343" s="619"/>
      <c r="I343" s="619"/>
      <c r="J343" s="619"/>
      <c r="K343" s="619"/>
    </row>
    <row r="344" spans="1:11" ht="66" customHeight="1">
      <c r="A344" s="175" t="s">
        <v>540</v>
      </c>
      <c r="B344" s="619" t="s">
        <v>541</v>
      </c>
      <c r="C344" s="619"/>
      <c r="D344" s="619"/>
      <c r="E344" s="619"/>
      <c r="F344" s="619"/>
      <c r="G344" s="619"/>
      <c r="H344" s="619"/>
      <c r="I344" s="619"/>
      <c r="J344" s="619"/>
      <c r="K344" s="619"/>
    </row>
    <row r="345" spans="1:11" ht="19.5" customHeight="1">
      <c r="A345" s="175" t="s">
        <v>211</v>
      </c>
      <c r="B345" s="176" t="s">
        <v>542</v>
      </c>
      <c r="C345" s="319" t="s">
        <v>543</v>
      </c>
      <c r="D345" s="177">
        <v>0</v>
      </c>
      <c r="E345" s="319"/>
      <c r="F345" s="319"/>
      <c r="G345" s="319"/>
      <c r="H345" s="319"/>
      <c r="I345" s="319"/>
      <c r="J345" s="319"/>
      <c r="K345" s="319"/>
    </row>
    <row r="346" spans="1:11" ht="19.5" customHeight="1">
      <c r="A346" s="175"/>
      <c r="B346" s="319"/>
      <c r="C346" s="319" t="s">
        <v>544</v>
      </c>
      <c r="D346" s="177">
        <v>0</v>
      </c>
      <c r="E346" s="619" t="s">
        <v>545</v>
      </c>
      <c r="F346" s="619"/>
      <c r="G346" s="619"/>
      <c r="H346" s="619"/>
      <c r="I346" s="619"/>
      <c r="J346" s="619"/>
      <c r="K346" s="619"/>
    </row>
    <row r="347" spans="1:11" ht="21" customHeight="1">
      <c r="A347" s="175"/>
      <c r="B347" s="319"/>
      <c r="C347" s="319" t="s">
        <v>546</v>
      </c>
      <c r="D347" s="177">
        <v>0</v>
      </c>
      <c r="E347" s="619" t="s">
        <v>547</v>
      </c>
      <c r="F347" s="619"/>
      <c r="G347" s="619"/>
      <c r="H347" s="619"/>
      <c r="I347" s="619"/>
      <c r="J347" s="619"/>
      <c r="K347" s="619"/>
    </row>
    <row r="348" spans="1:11">
      <c r="A348" s="175" t="s">
        <v>548</v>
      </c>
      <c r="B348" s="619" t="s">
        <v>549</v>
      </c>
      <c r="C348" s="619"/>
      <c r="D348" s="619"/>
      <c r="E348" s="619"/>
      <c r="F348" s="619"/>
      <c r="G348" s="619"/>
      <c r="H348" s="619"/>
      <c r="I348" s="619"/>
      <c r="J348" s="619"/>
      <c r="K348" s="619"/>
    </row>
    <row r="349" spans="1:11">
      <c r="A349" s="175" t="s">
        <v>550</v>
      </c>
      <c r="B349" s="619" t="s">
        <v>551</v>
      </c>
      <c r="C349" s="619"/>
      <c r="D349" s="619"/>
      <c r="E349" s="619"/>
      <c r="F349" s="619"/>
      <c r="G349" s="619"/>
      <c r="H349" s="619"/>
      <c r="I349" s="619"/>
      <c r="J349" s="619"/>
      <c r="K349" s="619"/>
    </row>
    <row r="350" spans="1:11" ht="34.5" customHeight="1">
      <c r="A350" s="175" t="s">
        <v>552</v>
      </c>
      <c r="B350" s="619" t="s">
        <v>553</v>
      </c>
      <c r="C350" s="619"/>
      <c r="D350" s="619"/>
      <c r="E350" s="619"/>
      <c r="F350" s="619"/>
      <c r="G350" s="619"/>
      <c r="H350" s="619"/>
      <c r="I350" s="619"/>
      <c r="J350" s="619"/>
      <c r="K350" s="619"/>
    </row>
    <row r="351" spans="1:11">
      <c r="A351" s="175" t="s">
        <v>554</v>
      </c>
      <c r="B351" s="619" t="s">
        <v>555</v>
      </c>
      <c r="C351" s="619"/>
      <c r="D351" s="619"/>
      <c r="E351" s="619"/>
      <c r="F351" s="619"/>
      <c r="G351" s="619"/>
      <c r="H351" s="619"/>
      <c r="I351" s="619"/>
      <c r="J351" s="619"/>
      <c r="K351" s="619"/>
    </row>
    <row r="352" spans="1:11" ht="132" customHeight="1">
      <c r="A352" s="175" t="s">
        <v>556</v>
      </c>
      <c r="B352" s="619" t="s">
        <v>557</v>
      </c>
      <c r="C352" s="619"/>
      <c r="D352" s="619"/>
      <c r="E352" s="619"/>
      <c r="F352" s="619"/>
      <c r="G352" s="619"/>
      <c r="H352" s="619"/>
      <c r="I352" s="619"/>
      <c r="J352" s="619"/>
      <c r="K352" s="619"/>
    </row>
    <row r="353" spans="1:12">
      <c r="A353" s="175" t="s">
        <v>558</v>
      </c>
      <c r="B353" s="619" t="s">
        <v>559</v>
      </c>
      <c r="C353" s="619"/>
      <c r="D353" s="619"/>
      <c r="E353" s="619"/>
      <c r="F353" s="619"/>
      <c r="G353" s="619"/>
      <c r="H353" s="619"/>
      <c r="I353" s="619"/>
      <c r="J353" s="619"/>
      <c r="K353" s="619"/>
    </row>
    <row r="354" spans="1:12">
      <c r="A354" s="175" t="s">
        <v>560</v>
      </c>
      <c r="B354" s="619" t="s">
        <v>561</v>
      </c>
      <c r="C354" s="619"/>
      <c r="D354" s="619"/>
      <c r="E354" s="619"/>
      <c r="F354" s="619"/>
      <c r="G354" s="619"/>
      <c r="H354" s="619"/>
      <c r="I354" s="619"/>
      <c r="J354" s="619"/>
      <c r="K354" s="619"/>
      <c r="L354" s="323"/>
    </row>
    <row r="355" spans="1:12" s="323" customFormat="1" ht="33" customHeight="1">
      <c r="A355" s="175" t="s">
        <v>562</v>
      </c>
      <c r="B355" s="619" t="s">
        <v>563</v>
      </c>
      <c r="C355" s="619"/>
      <c r="D355" s="619"/>
      <c r="E355" s="619"/>
      <c r="F355" s="619"/>
      <c r="G355" s="619"/>
      <c r="H355" s="619"/>
      <c r="I355" s="619"/>
      <c r="J355" s="619"/>
      <c r="K355" s="619"/>
      <c r="L355" s="321"/>
    </row>
    <row r="356" spans="1:12" ht="50.25" customHeight="1">
      <c r="A356" s="493" t="s">
        <v>564</v>
      </c>
      <c r="B356" s="619" t="s">
        <v>565</v>
      </c>
      <c r="C356" s="619"/>
      <c r="D356" s="619"/>
      <c r="E356" s="619"/>
      <c r="F356" s="619"/>
      <c r="G356" s="619"/>
      <c r="H356" s="619"/>
      <c r="I356" s="619"/>
      <c r="J356" s="619"/>
      <c r="K356" s="619"/>
    </row>
    <row r="357" spans="1:12">
      <c r="A357" s="493" t="s">
        <v>566</v>
      </c>
      <c r="B357" s="619" t="s">
        <v>567</v>
      </c>
      <c r="C357" s="619"/>
      <c r="D357" s="619"/>
      <c r="E357" s="619"/>
      <c r="F357" s="619"/>
      <c r="G357" s="619"/>
      <c r="H357" s="619"/>
      <c r="I357" s="619"/>
      <c r="J357" s="619"/>
      <c r="K357" s="619"/>
    </row>
    <row r="358" spans="1:12">
      <c r="A358" s="494" t="s">
        <v>568</v>
      </c>
      <c r="B358" s="619" t="s">
        <v>569</v>
      </c>
      <c r="C358" s="619"/>
      <c r="D358" s="619"/>
      <c r="E358" s="619"/>
      <c r="F358" s="619"/>
      <c r="G358" s="619"/>
      <c r="H358" s="619"/>
      <c r="I358" s="619"/>
      <c r="J358" s="619"/>
      <c r="K358" s="619"/>
    </row>
    <row r="359" spans="1:12">
      <c r="A359" s="494" t="s">
        <v>570</v>
      </c>
      <c r="B359" s="619" t="s">
        <v>571</v>
      </c>
      <c r="C359" s="619"/>
      <c r="D359" s="619"/>
      <c r="E359" s="619"/>
      <c r="F359" s="619"/>
      <c r="G359" s="619"/>
      <c r="H359" s="619"/>
      <c r="I359" s="619"/>
      <c r="J359" s="619"/>
      <c r="K359" s="619"/>
    </row>
    <row r="360" spans="1:12" ht="33" customHeight="1">
      <c r="A360" s="494" t="s">
        <v>572</v>
      </c>
      <c r="B360" s="619" t="s">
        <v>573</v>
      </c>
      <c r="C360" s="619"/>
      <c r="D360" s="619"/>
      <c r="E360" s="619"/>
      <c r="F360" s="619"/>
      <c r="G360" s="619"/>
      <c r="H360" s="619"/>
      <c r="I360" s="619"/>
      <c r="J360" s="619"/>
      <c r="K360" s="619"/>
    </row>
    <row r="361" spans="1:12" ht="32.25" customHeight="1">
      <c r="A361" s="494" t="s">
        <v>574</v>
      </c>
      <c r="B361" s="614" t="s">
        <v>575</v>
      </c>
      <c r="C361" s="614"/>
      <c r="D361" s="614"/>
      <c r="E361" s="614"/>
      <c r="F361" s="614"/>
      <c r="G361" s="614"/>
      <c r="H361" s="614"/>
      <c r="I361" s="614"/>
      <c r="J361" s="614"/>
      <c r="K361" s="614"/>
    </row>
    <row r="362" spans="1:12" ht="51" customHeight="1">
      <c r="A362" s="494" t="s">
        <v>576</v>
      </c>
      <c r="B362" s="614" t="s">
        <v>577</v>
      </c>
      <c r="C362" s="614"/>
      <c r="D362" s="614"/>
      <c r="E362" s="614"/>
      <c r="F362" s="614"/>
      <c r="G362" s="614"/>
      <c r="H362" s="614"/>
      <c r="I362" s="614"/>
      <c r="J362" s="614"/>
      <c r="K362" s="614"/>
    </row>
    <row r="363" spans="1:12" ht="16.5" customHeight="1">
      <c r="A363" s="494" t="s">
        <v>578</v>
      </c>
      <c r="B363" s="615" t="s">
        <v>579</v>
      </c>
      <c r="C363" s="615"/>
      <c r="D363" s="615"/>
      <c r="E363" s="615"/>
      <c r="F363" s="615"/>
      <c r="G363" s="615"/>
      <c r="H363" s="615"/>
      <c r="I363" s="615"/>
      <c r="J363" s="615"/>
      <c r="K363" s="615"/>
    </row>
    <row r="364" spans="1:12">
      <c r="A364" s="494" t="s">
        <v>580</v>
      </c>
      <c r="B364" s="615" t="s">
        <v>581</v>
      </c>
      <c r="C364" s="615"/>
      <c r="D364" s="615"/>
      <c r="E364" s="615"/>
      <c r="F364" s="615"/>
      <c r="G364" s="615"/>
      <c r="H364" s="615"/>
      <c r="I364" s="615"/>
      <c r="J364" s="615"/>
      <c r="K364" s="615"/>
    </row>
    <row r="365" spans="1:12">
      <c r="A365" s="495" t="s">
        <v>582</v>
      </c>
      <c r="B365" s="616" t="s">
        <v>583</v>
      </c>
      <c r="C365" s="616"/>
      <c r="D365" s="616"/>
      <c r="E365" s="616"/>
      <c r="F365" s="616"/>
      <c r="G365" s="616"/>
      <c r="H365" s="616"/>
      <c r="I365" s="616"/>
      <c r="J365" s="616"/>
      <c r="K365" s="616"/>
    </row>
    <row r="366" spans="1:12" ht="51" customHeight="1">
      <c r="A366" s="494" t="s">
        <v>584</v>
      </c>
      <c r="B366" s="614" t="s">
        <v>585</v>
      </c>
      <c r="C366" s="614"/>
      <c r="D366" s="614"/>
      <c r="E366" s="614"/>
      <c r="F366" s="614"/>
      <c r="G366" s="614"/>
      <c r="H366" s="614"/>
      <c r="I366" s="614"/>
      <c r="J366" s="614"/>
      <c r="K366" s="614"/>
    </row>
    <row r="367" spans="1:12">
      <c r="A367" s="495" t="s">
        <v>586</v>
      </c>
      <c r="B367" s="616" t="s">
        <v>587</v>
      </c>
      <c r="C367" s="616"/>
      <c r="D367" s="616"/>
      <c r="E367" s="616"/>
      <c r="F367" s="616"/>
      <c r="G367" s="616"/>
      <c r="H367" s="616"/>
      <c r="I367" s="616"/>
      <c r="J367" s="616"/>
      <c r="K367" s="616"/>
    </row>
    <row r="368" spans="1:12" ht="51.75" customHeight="1">
      <c r="A368" s="494" t="s">
        <v>588</v>
      </c>
      <c r="B368" s="617" t="s">
        <v>589</v>
      </c>
      <c r="C368" s="617"/>
      <c r="D368" s="617"/>
      <c r="E368" s="617"/>
      <c r="F368" s="617"/>
      <c r="G368" s="617"/>
      <c r="H368" s="617"/>
      <c r="I368" s="617"/>
      <c r="J368" s="617"/>
      <c r="K368" s="617"/>
    </row>
    <row r="369" spans="1:11" ht="18" customHeight="1">
      <c r="A369" s="495" t="s">
        <v>590</v>
      </c>
      <c r="B369" s="618" t="s">
        <v>591</v>
      </c>
      <c r="C369" s="618"/>
      <c r="D369" s="618"/>
      <c r="E369" s="618"/>
      <c r="F369" s="618"/>
      <c r="G369" s="618"/>
      <c r="H369" s="618"/>
      <c r="I369" s="618"/>
      <c r="J369" s="618"/>
      <c r="K369" s="618"/>
    </row>
    <row r="370" spans="1:11" ht="33.75" customHeight="1">
      <c r="A370" s="494" t="s">
        <v>592</v>
      </c>
      <c r="B370" s="614" t="s">
        <v>593</v>
      </c>
      <c r="C370" s="614"/>
      <c r="D370" s="614"/>
      <c r="E370" s="614"/>
      <c r="F370" s="614"/>
      <c r="G370" s="614"/>
      <c r="H370" s="614"/>
      <c r="I370" s="614"/>
      <c r="J370" s="614"/>
      <c r="K370" s="614"/>
    </row>
    <row r="371" spans="1:11" ht="84.75" customHeight="1">
      <c r="A371" s="494" t="s">
        <v>594</v>
      </c>
      <c r="B371" s="614" t="s">
        <v>595</v>
      </c>
      <c r="C371" s="614"/>
      <c r="D371" s="614"/>
      <c r="E371" s="614"/>
      <c r="F371" s="614"/>
      <c r="G371" s="614"/>
      <c r="H371" s="614"/>
      <c r="I371" s="614"/>
      <c r="J371" s="614"/>
      <c r="K371" s="614"/>
    </row>
    <row r="372" spans="1:11">
      <c r="A372" s="495" t="s">
        <v>596</v>
      </c>
      <c r="B372" s="618" t="s">
        <v>597</v>
      </c>
      <c r="C372" s="618"/>
      <c r="D372" s="618"/>
      <c r="E372" s="618"/>
      <c r="F372" s="618"/>
      <c r="G372" s="618"/>
      <c r="H372" s="618"/>
      <c r="I372" s="618"/>
      <c r="J372" s="618"/>
      <c r="K372" s="618"/>
    </row>
    <row r="373" spans="1:11" ht="39.75" customHeight="1">
      <c r="A373" s="494" t="s">
        <v>598</v>
      </c>
      <c r="B373" s="613" t="s">
        <v>599</v>
      </c>
      <c r="C373" s="613"/>
      <c r="D373" s="613"/>
      <c r="E373" s="613"/>
      <c r="F373" s="613"/>
      <c r="G373" s="613"/>
      <c r="H373" s="613"/>
      <c r="I373" s="613"/>
      <c r="J373" s="613"/>
      <c r="K373" s="613"/>
    </row>
    <row r="374" spans="1:11" ht="51" customHeight="1">
      <c r="A374" s="494" t="s">
        <v>600</v>
      </c>
      <c r="B374" s="614" t="s">
        <v>601</v>
      </c>
      <c r="C374" s="614"/>
      <c r="D374" s="614"/>
      <c r="E374" s="614"/>
      <c r="F374" s="614"/>
      <c r="G374" s="614"/>
      <c r="H374" s="614"/>
      <c r="I374" s="614"/>
      <c r="J374" s="614"/>
      <c r="K374" s="614"/>
    </row>
    <row r="375" spans="1:11">
      <c r="A375" s="496" t="s">
        <v>602</v>
      </c>
      <c r="B375" s="613" t="s">
        <v>603</v>
      </c>
      <c r="C375" s="613"/>
      <c r="D375" s="613"/>
      <c r="E375" s="613"/>
      <c r="F375" s="613"/>
      <c r="G375" s="613"/>
      <c r="H375" s="613"/>
      <c r="I375" s="613"/>
      <c r="J375" s="613"/>
      <c r="K375" s="613"/>
    </row>
    <row r="376" spans="1:11" ht="32.25" customHeight="1">
      <c r="A376" s="497" t="s">
        <v>604</v>
      </c>
      <c r="B376" s="613" t="s">
        <v>605</v>
      </c>
      <c r="C376" s="613"/>
      <c r="D376" s="613"/>
      <c r="E376" s="613"/>
      <c r="F376" s="613"/>
      <c r="G376" s="613"/>
      <c r="H376" s="613"/>
      <c r="I376" s="613"/>
      <c r="J376" s="613"/>
      <c r="K376" s="613"/>
    </row>
    <row r="377" spans="1:11" ht="55.5" customHeight="1">
      <c r="A377" s="497" t="s">
        <v>606</v>
      </c>
      <c r="B377" s="613" t="s">
        <v>607</v>
      </c>
      <c r="C377" s="613"/>
      <c r="D377" s="613"/>
      <c r="E377" s="613"/>
      <c r="F377" s="613"/>
      <c r="G377" s="613"/>
      <c r="H377" s="613"/>
      <c r="I377" s="613"/>
      <c r="J377" s="613"/>
      <c r="K377" s="613"/>
    </row>
    <row r="378" spans="1:11" s="323" customFormat="1">
      <c r="A378" s="497" t="s">
        <v>608</v>
      </c>
      <c r="B378" s="613" t="s">
        <v>609</v>
      </c>
      <c r="C378" s="613"/>
      <c r="D378" s="613"/>
      <c r="E378" s="613"/>
      <c r="F378" s="613"/>
      <c r="G378" s="613"/>
      <c r="H378" s="613"/>
      <c r="I378" s="613"/>
      <c r="J378" s="613"/>
      <c r="K378" s="613"/>
    </row>
    <row r="379" spans="1:11" s="323" customFormat="1">
      <c r="A379" s="497" t="s">
        <v>610</v>
      </c>
      <c r="B379" s="613" t="s">
        <v>611</v>
      </c>
      <c r="C379" s="613"/>
      <c r="D379" s="613"/>
      <c r="E379" s="613"/>
      <c r="F379" s="613"/>
      <c r="G379" s="613"/>
      <c r="H379" s="613"/>
      <c r="I379" s="613"/>
      <c r="J379" s="613"/>
      <c r="K379" s="613"/>
    </row>
    <row r="380" spans="1:11" s="323" customFormat="1" ht="48.75" customHeight="1">
      <c r="A380" s="497" t="s">
        <v>612</v>
      </c>
      <c r="B380" s="613" t="s">
        <v>613</v>
      </c>
      <c r="C380" s="613"/>
      <c r="D380" s="613"/>
      <c r="E380" s="613"/>
      <c r="F380" s="613"/>
      <c r="G380" s="613"/>
      <c r="H380" s="613"/>
      <c r="I380" s="613"/>
      <c r="J380" s="613"/>
      <c r="K380" s="613"/>
    </row>
    <row r="381" spans="1:11">
      <c r="B381" s="323"/>
      <c r="C381" s="323"/>
      <c r="D381" s="323"/>
      <c r="E381" s="323"/>
      <c r="F381" s="323"/>
      <c r="G381" s="323"/>
      <c r="H381" s="323"/>
      <c r="I381" s="323"/>
      <c r="J381" s="323"/>
    </row>
  </sheetData>
  <sheetProtection algorithmName="SHA-512" hashValue="3h+5A5K/2Jat0K5NZ62YmCxkm8FVh4uOIP9U8j82xhFQY7mU9cjz+oHJQtgvT7FksO53CkSH1V5KerCaTOT+eQ==" saltValue="UUH42nVQlBAFbHdwfUYwBQ==" spinCount="100000" sheet="1" objects="1" scenarios="1" formatCells="0" formatColumns="0"/>
  <mergeCells count="61">
    <mergeCell ref="N251:S251"/>
    <mergeCell ref="H4:K4"/>
    <mergeCell ref="H78:K78"/>
    <mergeCell ref="J79:K79"/>
    <mergeCell ref="A158:C158"/>
    <mergeCell ref="A159:B159"/>
    <mergeCell ref="H160:K160"/>
    <mergeCell ref="B336:K336"/>
    <mergeCell ref="J161:K161"/>
    <mergeCell ref="A234:B234"/>
    <mergeCell ref="H235:K235"/>
    <mergeCell ref="J236:K236"/>
    <mergeCell ref="H237:K237"/>
    <mergeCell ref="A321:B321"/>
    <mergeCell ref="H322:K322"/>
    <mergeCell ref="J323:K323"/>
    <mergeCell ref="B334:K334"/>
    <mergeCell ref="B335:K335"/>
    <mergeCell ref="B349:K349"/>
    <mergeCell ref="B337:K337"/>
    <mergeCell ref="B338:K338"/>
    <mergeCell ref="B339:K339"/>
    <mergeCell ref="B340:K340"/>
    <mergeCell ref="B341:K341"/>
    <mergeCell ref="B342:K342"/>
    <mergeCell ref="B343:K343"/>
    <mergeCell ref="B344:K344"/>
    <mergeCell ref="E346:K346"/>
    <mergeCell ref="E347:K347"/>
    <mergeCell ref="B348:K348"/>
    <mergeCell ref="B361:K361"/>
    <mergeCell ref="B350:K350"/>
    <mergeCell ref="B351:K351"/>
    <mergeCell ref="B352:K352"/>
    <mergeCell ref="B353:K353"/>
    <mergeCell ref="B354:K354"/>
    <mergeCell ref="B355:K355"/>
    <mergeCell ref="B356:K356"/>
    <mergeCell ref="B357:K357"/>
    <mergeCell ref="B358:K358"/>
    <mergeCell ref="B359:K359"/>
    <mergeCell ref="B360:K360"/>
    <mergeCell ref="B373:K373"/>
    <mergeCell ref="B362:K362"/>
    <mergeCell ref="B363:K363"/>
    <mergeCell ref="B364:K364"/>
    <mergeCell ref="B365:K365"/>
    <mergeCell ref="B366:K366"/>
    <mergeCell ref="B367:K367"/>
    <mergeCell ref="B368:K368"/>
    <mergeCell ref="B369:K369"/>
    <mergeCell ref="B370:K370"/>
    <mergeCell ref="B371:K371"/>
    <mergeCell ref="B372:K372"/>
    <mergeCell ref="B380:K380"/>
    <mergeCell ref="B374:K374"/>
    <mergeCell ref="B375:K375"/>
    <mergeCell ref="B376:K376"/>
    <mergeCell ref="B377:K377"/>
    <mergeCell ref="B378:K378"/>
    <mergeCell ref="B379:K379"/>
  </mergeCells>
  <pageMargins left="0.5" right="0.25" top="0.75" bottom="0.75" header="0.5" footer="0.5"/>
  <pageSetup scale="49" fitToHeight="6" orientation="portrait" r:id="rId1"/>
  <headerFooter alignWithMargins="0">
    <oddFooter>&amp;RV35
EFF 06.16.15</oddFooter>
  </headerFooter>
  <rowBreaks count="4" manualBreakCount="4">
    <brk id="77" max="10" man="1"/>
    <brk id="159" max="10" man="1"/>
    <brk id="234" max="10" man="1"/>
    <brk id="321" max="10" man="1"/>
  </rowBreaks>
  <colBreaks count="1" manualBreakCount="1">
    <brk id="11"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4:O38"/>
  <sheetViews>
    <sheetView showGridLines="0" zoomScale="80" zoomScaleNormal="80" zoomScalePageLayoutView="70" workbookViewId="0">
      <selection activeCell="J34" sqref="J34"/>
    </sheetView>
  </sheetViews>
  <sheetFormatPr defaultRowHeight="15"/>
  <cols>
    <col min="1" max="2" width="9.140625" style="4"/>
    <col min="3" max="4" width="2" style="4" customWidth="1"/>
    <col min="5" max="5" width="9.140625" style="4"/>
    <col min="6" max="6" width="20.5703125" style="4" customWidth="1"/>
    <col min="7" max="7" width="8" style="4" customWidth="1"/>
    <col min="8" max="10" width="19.85546875" style="4" customWidth="1"/>
    <col min="11" max="12" width="1.5703125" style="4" customWidth="1"/>
    <col min="13" max="13" width="9.140625" style="4"/>
    <col min="14" max="14" width="13.42578125" style="4" bestFit="1" customWidth="1"/>
    <col min="15" max="15" width="11.7109375" style="4" bestFit="1" customWidth="1"/>
    <col min="16" max="16384" width="9.140625" style="4"/>
  </cols>
  <sheetData>
    <row r="4" spans="5:14" ht="4.5" customHeight="1"/>
    <row r="5" spans="5:14" ht="4.5" customHeight="1"/>
    <row r="6" spans="5:14" ht="15.75">
      <c r="E6" s="3" t="str">
        <f>Coversheet!D3</f>
        <v>Central Minnesota Municipal PowerAgency</v>
      </c>
      <c r="F6" s="3"/>
      <c r="G6" s="3"/>
      <c r="H6" s="3"/>
      <c r="I6" s="3"/>
      <c r="J6" s="3"/>
    </row>
    <row r="7" spans="5:14" ht="15.75">
      <c r="E7" s="3" t="s">
        <v>193</v>
      </c>
      <c r="G7" s="3"/>
      <c r="H7" s="3"/>
      <c r="I7" s="3"/>
      <c r="J7" s="3"/>
    </row>
    <row r="8" spans="5:14" ht="15.75">
      <c r="E8" s="3" t="str">
        <f>SubmissionType</f>
        <v>Actual 12 Months Ended December 31, 2016</v>
      </c>
      <c r="F8" s="3"/>
      <c r="G8" s="3"/>
      <c r="H8" s="6"/>
    </row>
    <row r="9" spans="5:14" ht="15.75">
      <c r="E9" s="3"/>
      <c r="F9" s="3"/>
      <c r="G9" s="3"/>
      <c r="H9" s="6"/>
    </row>
    <row r="10" spans="5:14" s="8" customFormat="1" ht="35.25" customHeight="1">
      <c r="E10" s="7" t="s">
        <v>0</v>
      </c>
      <c r="F10" s="7" t="s">
        <v>1</v>
      </c>
      <c r="G10" s="7" t="s">
        <v>2</v>
      </c>
      <c r="H10" s="118" t="s">
        <v>206</v>
      </c>
      <c r="I10" s="118" t="s">
        <v>197</v>
      </c>
      <c r="J10" s="7" t="s">
        <v>194</v>
      </c>
    </row>
    <row r="11" spans="5:14" s="8" customFormat="1">
      <c r="E11" s="9">
        <v>1</v>
      </c>
      <c r="F11" s="552" t="s">
        <v>17</v>
      </c>
      <c r="G11" s="9">
        <f>CurrentYear-1</f>
        <v>2015</v>
      </c>
      <c r="H11" s="10">
        <v>4845000</v>
      </c>
      <c r="I11" s="10">
        <v>0</v>
      </c>
      <c r="J11" s="10">
        <f>H11+I11</f>
        <v>4845000</v>
      </c>
    </row>
    <row r="12" spans="5:14">
      <c r="E12" s="12">
        <v>2</v>
      </c>
      <c r="F12" s="553" t="s">
        <v>6</v>
      </c>
      <c r="G12" s="12">
        <f t="shared" ref="G12:G23" si="0">CurrentYear</f>
        <v>2016</v>
      </c>
      <c r="H12" s="10">
        <f>+H11-166576.24</f>
        <v>4678423.76</v>
      </c>
      <c r="I12" s="10">
        <v>0</v>
      </c>
      <c r="J12" s="10">
        <f t="shared" ref="J12:J23" si="1">H12+I12</f>
        <v>4678423.76</v>
      </c>
      <c r="N12" s="28"/>
    </row>
    <row r="13" spans="5:14" ht="15.75">
      <c r="E13" s="12">
        <v>3</v>
      </c>
      <c r="F13" s="554" t="s">
        <v>7</v>
      </c>
      <c r="G13" s="12">
        <f t="shared" si="0"/>
        <v>2016</v>
      </c>
      <c r="H13" s="10">
        <f>+H12-159849.88</f>
        <v>4518573.88</v>
      </c>
      <c r="I13" s="10">
        <v>0</v>
      </c>
      <c r="J13" s="10">
        <f t="shared" si="1"/>
        <v>4518573.88</v>
      </c>
      <c r="N13" s="101"/>
    </row>
    <row r="14" spans="5:14" ht="15.75">
      <c r="E14" s="12">
        <v>4</v>
      </c>
      <c r="F14" s="554" t="s">
        <v>8</v>
      </c>
      <c r="G14" s="12">
        <f t="shared" si="0"/>
        <v>2016</v>
      </c>
      <c r="H14" s="10">
        <f>+H13-156462.33</f>
        <v>4362111.55</v>
      </c>
      <c r="I14" s="10">
        <v>0</v>
      </c>
      <c r="J14" s="10">
        <f t="shared" si="1"/>
        <v>4362111.55</v>
      </c>
    </row>
    <row r="15" spans="5:14" ht="15.75">
      <c r="E15" s="12">
        <v>5</v>
      </c>
      <c r="F15" s="554" t="s">
        <v>9</v>
      </c>
      <c r="G15" s="12">
        <f t="shared" si="0"/>
        <v>2016</v>
      </c>
      <c r="H15" s="10">
        <f>+H14-145604.88</f>
        <v>4216506.67</v>
      </c>
      <c r="I15" s="10">
        <v>0</v>
      </c>
      <c r="J15" s="10">
        <f t="shared" si="1"/>
        <v>4216506.67</v>
      </c>
    </row>
    <row r="16" spans="5:14" ht="15.75">
      <c r="E16" s="12">
        <v>6</v>
      </c>
      <c r="F16" s="554" t="s">
        <v>10</v>
      </c>
      <c r="G16" s="12">
        <f t="shared" si="0"/>
        <v>2016</v>
      </c>
      <c r="H16" s="10">
        <f>+H15-150061.77</f>
        <v>4066444.9</v>
      </c>
      <c r="I16" s="10">
        <v>0</v>
      </c>
      <c r="J16" s="10">
        <f t="shared" si="1"/>
        <v>4066444.9</v>
      </c>
    </row>
    <row r="17" spans="5:15" ht="15.75">
      <c r="E17" s="12">
        <v>7</v>
      </c>
      <c r="F17" s="554" t="s">
        <v>11</v>
      </c>
      <c r="G17" s="12">
        <f t="shared" si="0"/>
        <v>2016</v>
      </c>
      <c r="H17" s="10">
        <f>+H16-156963.36</f>
        <v>3909481.54</v>
      </c>
      <c r="I17" s="10">
        <v>0</v>
      </c>
      <c r="J17" s="10">
        <f t="shared" si="1"/>
        <v>3909481.54</v>
      </c>
    </row>
    <row r="18" spans="5:15" ht="15.75">
      <c r="E18" s="12">
        <v>8</v>
      </c>
      <c r="F18" s="554" t="s">
        <v>12</v>
      </c>
      <c r="G18" s="12">
        <f t="shared" si="0"/>
        <v>2016</v>
      </c>
      <c r="H18" s="10">
        <f>+H17-168167.63</f>
        <v>3741313.91</v>
      </c>
      <c r="I18" s="10">
        <v>0</v>
      </c>
      <c r="J18" s="10">
        <f t="shared" si="1"/>
        <v>3741313.91</v>
      </c>
    </row>
    <row r="19" spans="5:15" ht="15.75">
      <c r="E19" s="12">
        <v>9</v>
      </c>
      <c r="F19" s="554" t="s">
        <v>13</v>
      </c>
      <c r="G19" s="12">
        <f t="shared" si="0"/>
        <v>2016</v>
      </c>
      <c r="H19" s="10">
        <f>+H18+-163958.01</f>
        <v>3577355.9000000004</v>
      </c>
      <c r="I19" s="10">
        <v>0</v>
      </c>
      <c r="J19" s="10">
        <f t="shared" si="1"/>
        <v>3577355.9000000004</v>
      </c>
    </row>
    <row r="20" spans="5:15" ht="15.75">
      <c r="E20" s="12">
        <v>10</v>
      </c>
      <c r="F20" s="554" t="s">
        <v>14</v>
      </c>
      <c r="G20" s="12">
        <f t="shared" si="0"/>
        <v>2016</v>
      </c>
      <c r="H20" s="10">
        <f>+H19-158069.66</f>
        <v>3419286.24</v>
      </c>
      <c r="I20" s="10">
        <v>0</v>
      </c>
      <c r="J20" s="10">
        <f t="shared" si="1"/>
        <v>3419286.24</v>
      </c>
    </row>
    <row r="21" spans="5:15" ht="15.75">
      <c r="E21" s="12">
        <v>11</v>
      </c>
      <c r="F21" s="554" t="s">
        <v>15</v>
      </c>
      <c r="G21" s="12">
        <f t="shared" si="0"/>
        <v>2016</v>
      </c>
      <c r="H21" s="10">
        <f>+H20-63473.54</f>
        <v>3355812.7</v>
      </c>
      <c r="I21" s="10">
        <v>0</v>
      </c>
      <c r="J21" s="10">
        <f t="shared" si="1"/>
        <v>3355812.7</v>
      </c>
    </row>
    <row r="22" spans="5:15" ht="15.75">
      <c r="E22" s="12">
        <v>12</v>
      </c>
      <c r="F22" s="554" t="s">
        <v>16</v>
      </c>
      <c r="G22" s="12">
        <f t="shared" si="0"/>
        <v>2016</v>
      </c>
      <c r="H22" s="10">
        <f>+H21+204979.39-63473.54</f>
        <v>3497318.5500000003</v>
      </c>
      <c r="I22" s="10">
        <v>0</v>
      </c>
      <c r="J22" s="10">
        <f t="shared" si="1"/>
        <v>3497318.5500000003</v>
      </c>
      <c r="N22" s="28"/>
    </row>
    <row r="23" spans="5:15" ht="15.75">
      <c r="E23" s="12">
        <v>13</v>
      </c>
      <c r="F23" s="554" t="s">
        <v>17</v>
      </c>
      <c r="G23" s="12">
        <f t="shared" si="0"/>
        <v>2016</v>
      </c>
      <c r="H23" s="13">
        <f>+H22-215529.89-51789+0.34</f>
        <v>3230000</v>
      </c>
      <c r="I23" s="13">
        <v>0</v>
      </c>
      <c r="J23" s="13">
        <f t="shared" si="1"/>
        <v>3230000</v>
      </c>
      <c r="N23" s="28"/>
      <c r="O23" s="100"/>
    </row>
    <row r="24" spans="5:15">
      <c r="E24" s="12">
        <v>14</v>
      </c>
      <c r="N24" s="28"/>
    </row>
    <row r="25" spans="5:15" ht="15.75">
      <c r="E25" s="12">
        <v>15</v>
      </c>
      <c r="F25" s="94" t="s">
        <v>23</v>
      </c>
      <c r="G25" s="15"/>
      <c r="H25" s="16">
        <f>SUM(H11:H23)/13</f>
        <v>3955202.2769230762</v>
      </c>
      <c r="I25" s="16">
        <f t="shared" ref="I25" si="2">SUM(I11:I23)/13</f>
        <v>0</v>
      </c>
      <c r="J25" s="16">
        <f>I25+H25</f>
        <v>3955202.2769230762</v>
      </c>
    </row>
    <row r="26" spans="5:15" ht="4.5" customHeight="1"/>
    <row r="27" spans="5:15" ht="4.5" customHeight="1"/>
    <row r="30" spans="5:15">
      <c r="H30" s="28"/>
    </row>
    <row r="31" spans="5:15">
      <c r="F31" s="15" t="s">
        <v>195</v>
      </c>
      <c r="J31" s="111">
        <v>1615000</v>
      </c>
    </row>
    <row r="32" spans="5:15">
      <c r="F32" s="15" t="s">
        <v>196</v>
      </c>
      <c r="J32" s="111">
        <f>J23</f>
        <v>3230000</v>
      </c>
    </row>
    <row r="33" spans="10:10">
      <c r="J33" s="101"/>
    </row>
    <row r="34" spans="10:10">
      <c r="J34" s="96"/>
    </row>
    <row r="35" spans="10:10">
      <c r="J35" s="96"/>
    </row>
    <row r="36" spans="10:10">
      <c r="J36" s="96"/>
    </row>
    <row r="37" spans="10:10">
      <c r="J37" s="96"/>
    </row>
    <row r="38" spans="10:10">
      <c r="J38" s="96"/>
    </row>
  </sheetData>
  <pageMargins left="0.7" right="0.7" top="0.75" bottom="0.75" header="0.3" footer="0.3"/>
  <pageSetup orientation="landscape" horizontalDpi="300" verticalDpi="300" r:id="rId1"/>
  <headerFooter>
    <oddHeader>&amp;L&amp;"-,Bold"&amp;12Central Minnesota Municipal Power Agency
2014 Attachment O Workpapers&amp;R&amp;"-,Bold"&amp;12Exhibit CMMPA-11
Page 13 of 13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2" max="2" width="10.5703125" bestFit="1" customWidth="1"/>
    <col min="3" max="3" width="3.28515625" customWidth="1"/>
    <col min="4" max="4" width="13.5703125" customWidth="1"/>
    <col min="9" max="9" width="11.42578125" customWidth="1"/>
    <col min="11" max="11" width="20.85546875" customWidth="1"/>
  </cols>
  <sheetData>
    <row r="1" spans="1:11" ht="15.75">
      <c r="A1" s="539"/>
      <c r="B1" s="539"/>
      <c r="C1" s="3"/>
      <c r="D1" s="627" t="str">
        <f>Coversheet!D3</f>
        <v>Central Minnesota Municipal PowerAgency</v>
      </c>
      <c r="E1" s="627"/>
      <c r="F1" s="627"/>
      <c r="G1" s="627"/>
      <c r="H1" s="627"/>
      <c r="I1" s="627"/>
      <c r="J1" s="627"/>
      <c r="K1" s="627"/>
    </row>
    <row r="2" spans="1:11" ht="15.75">
      <c r="A2" s="539"/>
      <c r="B2" s="539"/>
      <c r="C2" s="3"/>
      <c r="D2" s="627" t="s">
        <v>822</v>
      </c>
      <c r="E2" s="627"/>
      <c r="F2" s="627"/>
      <c r="G2" s="627"/>
      <c r="H2" s="627"/>
      <c r="I2" s="627"/>
      <c r="J2" s="627"/>
      <c r="K2" s="627"/>
    </row>
    <row r="3" spans="1:11" ht="15.75">
      <c r="A3" s="539"/>
      <c r="B3" s="539"/>
      <c r="C3" s="3"/>
      <c r="D3" s="627" t="s">
        <v>823</v>
      </c>
      <c r="E3" s="627"/>
      <c r="F3" s="627"/>
      <c r="G3" s="627"/>
      <c r="H3" s="627"/>
      <c r="I3" s="627"/>
      <c r="J3" s="627"/>
      <c r="K3" s="627"/>
    </row>
    <row r="4" spans="1:11" ht="15.75">
      <c r="A4" s="539"/>
      <c r="B4" s="539"/>
      <c r="C4" s="3"/>
      <c r="D4" s="627" t="str">
        <f>SubmissionType</f>
        <v>Actual 12 Months Ended December 31, 2016</v>
      </c>
      <c r="E4" s="627"/>
      <c r="F4" s="627"/>
      <c r="G4" s="627"/>
      <c r="H4" s="627"/>
      <c r="I4" s="627"/>
      <c r="J4" s="627"/>
      <c r="K4" s="627"/>
    </row>
    <row r="5" spans="1:11">
      <c r="A5" s="539"/>
      <c r="B5" s="539"/>
      <c r="C5" s="539"/>
      <c r="D5" s="539"/>
      <c r="E5" s="539"/>
      <c r="F5" s="539"/>
      <c r="G5" s="539"/>
      <c r="H5" s="539"/>
      <c r="I5" s="539"/>
      <c r="J5" s="539"/>
      <c r="K5" s="539"/>
    </row>
    <row r="6" spans="1:11">
      <c r="A6" s="540"/>
      <c r="B6" s="540" t="s">
        <v>220</v>
      </c>
      <c r="C6" s="539"/>
      <c r="D6" s="541">
        <f>B20</f>
        <v>6090419.6600000001</v>
      </c>
      <c r="E6" s="542" t="s">
        <v>824</v>
      </c>
      <c r="F6" s="542"/>
      <c r="G6" s="542"/>
      <c r="H6" s="542"/>
      <c r="I6" s="542"/>
      <c r="J6" s="542"/>
      <c r="K6" s="542"/>
    </row>
    <row r="7" spans="1:11" ht="17.25">
      <c r="A7" s="543" t="s">
        <v>825</v>
      </c>
      <c r="B7" s="543" t="s">
        <v>801</v>
      </c>
      <c r="C7" s="539"/>
      <c r="D7" s="545">
        <f>-1262595-4141</f>
        <v>-1266736</v>
      </c>
      <c r="E7" s="542" t="s">
        <v>844</v>
      </c>
      <c r="F7" s="542"/>
      <c r="G7" s="542"/>
      <c r="H7" s="542"/>
      <c r="I7" s="542"/>
      <c r="J7" s="542"/>
      <c r="K7" s="542"/>
    </row>
    <row r="8" spans="1:11">
      <c r="A8" s="544" t="s">
        <v>802</v>
      </c>
      <c r="B8" s="544">
        <v>574408.93999999994</v>
      </c>
      <c r="C8" s="539"/>
      <c r="D8" s="541">
        <f>D6+D7</f>
        <v>4823683.66</v>
      </c>
      <c r="E8" s="542" t="s">
        <v>826</v>
      </c>
      <c r="F8" s="542"/>
      <c r="G8" s="542"/>
      <c r="H8" s="542"/>
      <c r="I8" s="542"/>
      <c r="J8" s="542"/>
      <c r="K8" s="542"/>
    </row>
    <row r="9" spans="1:11">
      <c r="A9" s="544" t="s">
        <v>803</v>
      </c>
      <c r="B9" s="544">
        <v>537158.86</v>
      </c>
      <c r="C9" s="539"/>
      <c r="D9" s="541"/>
      <c r="E9" s="542"/>
      <c r="F9" s="542"/>
      <c r="G9" s="542"/>
      <c r="H9" s="542"/>
      <c r="I9" s="542"/>
      <c r="J9" s="542"/>
      <c r="K9" s="542"/>
    </row>
    <row r="10" spans="1:11">
      <c r="A10" s="544" t="s">
        <v>804</v>
      </c>
      <c r="B10" s="544">
        <v>518682.66</v>
      </c>
      <c r="C10" s="539"/>
      <c r="D10" s="541">
        <v>5295611</v>
      </c>
      <c r="E10" s="542" t="s">
        <v>847</v>
      </c>
      <c r="F10" s="542"/>
      <c r="G10" s="542"/>
      <c r="H10" s="542"/>
      <c r="I10" s="542"/>
      <c r="J10" s="542"/>
      <c r="K10" s="542"/>
    </row>
    <row r="11" spans="1:11">
      <c r="A11" s="544" t="s">
        <v>805</v>
      </c>
      <c r="B11" s="544">
        <v>457438.63999999996</v>
      </c>
      <c r="C11" s="539"/>
      <c r="D11" s="541">
        <f>D10-D7</f>
        <v>6562347</v>
      </c>
      <c r="E11" s="542" t="s">
        <v>827</v>
      </c>
      <c r="F11" s="542"/>
      <c r="G11" s="542"/>
      <c r="H11" s="542"/>
      <c r="I11" s="542"/>
      <c r="J11" s="542"/>
      <c r="K11" s="542"/>
    </row>
    <row r="12" spans="1:11">
      <c r="A12" s="544" t="s">
        <v>10</v>
      </c>
      <c r="B12" s="544">
        <v>483653.37</v>
      </c>
      <c r="C12" s="539"/>
      <c r="D12" s="541"/>
      <c r="E12" s="542"/>
      <c r="F12" s="542"/>
      <c r="G12" s="542"/>
      <c r="H12" s="542"/>
      <c r="I12" s="542"/>
      <c r="J12" s="542"/>
      <c r="K12" s="542"/>
    </row>
    <row r="13" spans="1:11">
      <c r="A13" s="544" t="s">
        <v>806</v>
      </c>
      <c r="B13" s="544">
        <v>524905.82000000007</v>
      </c>
      <c r="C13" s="539"/>
      <c r="D13" s="541">
        <f>-D6</f>
        <v>-6090419.6600000001</v>
      </c>
      <c r="E13" s="542" t="str">
        <f>E6</f>
        <v>Total 2016 CapX related proceeds, MVP</v>
      </c>
      <c r="F13" s="542"/>
      <c r="G13" s="542"/>
      <c r="H13" s="542"/>
      <c r="I13" s="542"/>
      <c r="J13" s="542"/>
      <c r="K13" s="542"/>
    </row>
    <row r="14" spans="1:11">
      <c r="A14" s="544" t="s">
        <v>807</v>
      </c>
      <c r="B14" s="544">
        <v>589416.9</v>
      </c>
      <c r="C14" s="539"/>
      <c r="D14" s="541">
        <f>SUM(D11:D13)</f>
        <v>471927.33999999985</v>
      </c>
      <c r="E14" s="542" t="s">
        <v>848</v>
      </c>
      <c r="F14" s="542"/>
      <c r="G14" s="542"/>
      <c r="H14" s="542"/>
      <c r="I14" s="542"/>
      <c r="J14" s="542"/>
      <c r="K14" s="542"/>
    </row>
    <row r="15" spans="1:11">
      <c r="A15" s="544" t="s">
        <v>808</v>
      </c>
      <c r="B15" s="544">
        <v>568328.79999999993</v>
      </c>
      <c r="C15" s="539"/>
      <c r="D15" s="546"/>
      <c r="E15" s="556"/>
      <c r="F15" s="556"/>
      <c r="G15" s="556"/>
      <c r="H15" s="556"/>
      <c r="I15" s="556"/>
      <c r="J15" s="556"/>
      <c r="K15" s="556"/>
    </row>
    <row r="16" spans="1:11">
      <c r="A16" s="544" t="s">
        <v>809</v>
      </c>
      <c r="B16" s="544">
        <v>531992.44999999995</v>
      </c>
      <c r="C16" s="539"/>
      <c r="D16" s="546"/>
      <c r="E16" s="556"/>
      <c r="F16" s="556"/>
      <c r="G16" s="556"/>
      <c r="H16" s="556"/>
      <c r="I16" s="556"/>
      <c r="J16" s="556"/>
      <c r="K16" s="556"/>
    </row>
    <row r="17" spans="1:13">
      <c r="A17" s="544" t="s">
        <v>810</v>
      </c>
      <c r="B17" s="544">
        <v>458804.38</v>
      </c>
      <c r="C17" s="539"/>
      <c r="D17" s="546"/>
      <c r="E17" s="556"/>
      <c r="F17" s="556"/>
      <c r="G17" s="556"/>
      <c r="H17" s="556"/>
      <c r="I17" s="556"/>
      <c r="J17" s="556"/>
      <c r="K17" s="556"/>
    </row>
    <row r="18" spans="1:13">
      <c r="A18" s="544" t="s">
        <v>811</v>
      </c>
      <c r="B18" s="544">
        <v>454534.12</v>
      </c>
      <c r="C18" s="539"/>
      <c r="D18" s="546"/>
      <c r="E18" s="556"/>
      <c r="F18" s="556"/>
      <c r="G18" s="556"/>
      <c r="H18" s="556"/>
      <c r="I18" s="556"/>
      <c r="J18" s="556"/>
      <c r="K18" s="556"/>
    </row>
    <row r="19" spans="1:13" ht="15.75">
      <c r="A19" s="544" t="s">
        <v>812</v>
      </c>
      <c r="B19" s="544">
        <v>391094.72</v>
      </c>
      <c r="C19" s="539"/>
      <c r="D19" s="627" t="s">
        <v>828</v>
      </c>
      <c r="E19" s="627"/>
      <c r="F19" s="627"/>
      <c r="G19" s="627"/>
      <c r="H19" s="627"/>
      <c r="I19" s="627"/>
      <c r="J19" s="627"/>
      <c r="K19" s="627"/>
    </row>
    <row r="20" spans="1:13" ht="15.75">
      <c r="A20" s="541" t="s">
        <v>220</v>
      </c>
      <c r="B20" s="541">
        <f t="shared" ref="B20" si="0">SUM(B8:B19)</f>
        <v>6090419.6600000001</v>
      </c>
      <c r="C20" s="539"/>
      <c r="D20" s="627" t="str">
        <f>SubmissionType</f>
        <v>Actual 12 Months Ended December 31, 2016</v>
      </c>
      <c r="E20" s="627"/>
      <c r="F20" s="627"/>
      <c r="G20" s="627"/>
      <c r="H20" s="627"/>
      <c r="I20" s="627"/>
      <c r="J20" s="627"/>
      <c r="K20" s="627"/>
    </row>
    <row r="21" spans="1:13">
      <c r="A21" s="541"/>
      <c r="B21" s="541"/>
      <c r="C21" s="539"/>
      <c r="D21" s="547"/>
      <c r="E21" s="547"/>
      <c r="F21" s="547"/>
      <c r="G21" s="547"/>
      <c r="H21" s="547"/>
      <c r="I21" s="547"/>
      <c r="J21" s="547"/>
      <c r="K21" s="547"/>
    </row>
    <row r="22" spans="1:13">
      <c r="A22" s="539"/>
      <c r="B22" s="539"/>
      <c r="C22" s="539"/>
      <c r="D22" s="548">
        <f>D8</f>
        <v>4823683.66</v>
      </c>
      <c r="E22" s="549" t="s">
        <v>829</v>
      </c>
      <c r="F22" s="549"/>
      <c r="G22" s="549"/>
      <c r="H22" s="549"/>
      <c r="I22" s="549"/>
      <c r="J22" s="549"/>
      <c r="K22" s="549"/>
    </row>
    <row r="23" spans="1:13" ht="15.75">
      <c r="A23" s="539"/>
      <c r="B23" s="539"/>
      <c r="C23" s="3"/>
      <c r="D23" s="548">
        <v>47274.6</v>
      </c>
      <c r="E23" s="549" t="s">
        <v>830</v>
      </c>
      <c r="F23" s="549"/>
      <c r="G23" s="549"/>
      <c r="H23" s="549"/>
      <c r="I23" s="549"/>
      <c r="J23" s="549"/>
      <c r="K23" s="549"/>
    </row>
    <row r="24" spans="1:13" ht="15.75">
      <c r="A24" s="539"/>
      <c r="B24" s="539"/>
      <c r="C24" s="3"/>
      <c r="D24" s="548">
        <v>192581</v>
      </c>
      <c r="E24" s="549" t="s">
        <v>845</v>
      </c>
      <c r="F24" s="549"/>
      <c r="G24" s="549"/>
      <c r="H24" s="549"/>
      <c r="I24" s="549"/>
      <c r="J24" s="549"/>
      <c r="K24" s="549"/>
    </row>
    <row r="25" spans="1:13">
      <c r="A25" s="539"/>
      <c r="B25" s="529"/>
      <c r="C25" s="539"/>
      <c r="D25" s="550">
        <f>SUM(D22:D24)</f>
        <v>5063539.26</v>
      </c>
      <c r="E25" s="549" t="s">
        <v>831</v>
      </c>
      <c r="F25" s="549"/>
      <c r="G25" s="549"/>
      <c r="H25" s="549"/>
      <c r="I25" s="549"/>
      <c r="J25" s="549"/>
      <c r="K25" s="549"/>
    </row>
    <row r="26" spans="1:13">
      <c r="A26" s="539"/>
      <c r="B26" s="529"/>
      <c r="C26" s="539"/>
      <c r="D26" s="550"/>
      <c r="E26" s="549"/>
      <c r="F26" s="549"/>
      <c r="G26" s="549"/>
      <c r="H26" s="549"/>
      <c r="I26" s="549"/>
      <c r="J26" s="549"/>
      <c r="K26" s="549"/>
    </row>
    <row r="27" spans="1:13">
      <c r="A27" s="539"/>
      <c r="B27" s="539"/>
      <c r="C27" s="539"/>
      <c r="D27" s="551">
        <v>-272516.03000000003</v>
      </c>
      <c r="E27" s="549" t="s">
        <v>832</v>
      </c>
      <c r="F27" s="549"/>
      <c r="G27" s="549"/>
      <c r="H27" s="549"/>
      <c r="I27" s="549"/>
      <c r="J27" s="549"/>
      <c r="K27" s="549"/>
    </row>
    <row r="28" spans="1:13">
      <c r="A28" s="539"/>
      <c r="B28" s="539"/>
      <c r="C28" s="539"/>
      <c r="D28" s="551">
        <v>-159474.13</v>
      </c>
      <c r="E28" s="549" t="s">
        <v>833</v>
      </c>
      <c r="F28" s="549"/>
      <c r="G28" s="549"/>
      <c r="H28" s="549"/>
      <c r="I28" s="549"/>
      <c r="J28" s="549"/>
      <c r="K28" s="549"/>
    </row>
    <row r="29" spans="1:13">
      <c r="A29" s="539"/>
      <c r="B29" s="539"/>
      <c r="C29" s="539"/>
      <c r="D29" s="550">
        <f>SUM(D27:D28)</f>
        <v>-431990.16000000003</v>
      </c>
      <c r="E29" s="549" t="s">
        <v>834</v>
      </c>
      <c r="F29" s="549"/>
      <c r="G29" s="549"/>
      <c r="H29" s="549"/>
      <c r="I29" s="549"/>
      <c r="J29" s="549"/>
      <c r="K29" s="549"/>
    </row>
    <row r="30" spans="1:13">
      <c r="A30" s="539"/>
      <c r="B30" s="539"/>
      <c r="C30" s="539"/>
      <c r="D30" s="551"/>
      <c r="E30" s="549"/>
      <c r="F30" s="549"/>
      <c r="G30" s="549"/>
      <c r="H30" s="549"/>
      <c r="I30" s="549"/>
      <c r="J30" s="549"/>
      <c r="K30" s="549"/>
    </row>
    <row r="31" spans="1:13">
      <c r="A31" s="539"/>
      <c r="B31" s="539"/>
      <c r="C31" s="539"/>
      <c r="D31" s="550">
        <f>D25+D29</f>
        <v>4631549.0999999996</v>
      </c>
      <c r="E31" s="549" t="s">
        <v>846</v>
      </c>
      <c r="F31" s="549"/>
      <c r="G31" s="549"/>
      <c r="H31" s="549"/>
      <c r="I31" s="549"/>
      <c r="J31" s="549"/>
      <c r="K31" s="549"/>
    </row>
    <row r="32" spans="1:13">
      <c r="A32" s="539"/>
      <c r="B32" s="539"/>
      <c r="C32" s="556"/>
      <c r="D32" s="556"/>
      <c r="E32" s="556"/>
      <c r="F32" s="556"/>
      <c r="G32" s="556"/>
      <c r="H32" s="556"/>
      <c r="I32" s="556"/>
      <c r="J32" s="556"/>
      <c r="K32" s="556"/>
      <c r="L32" s="556"/>
      <c r="M32" s="556"/>
    </row>
    <row r="33" spans="1:13">
      <c r="A33" s="539"/>
      <c r="B33" s="539"/>
      <c r="C33" s="556"/>
      <c r="D33" s="556"/>
      <c r="E33" s="556"/>
      <c r="F33" s="556"/>
      <c r="G33" s="556"/>
      <c r="H33" s="556"/>
      <c r="I33" s="556"/>
      <c r="J33" s="556"/>
      <c r="K33" s="556"/>
      <c r="L33" s="556"/>
      <c r="M33" s="556"/>
    </row>
    <row r="34" spans="1:13">
      <c r="A34" s="539"/>
      <c r="B34" s="539"/>
      <c r="C34" s="556"/>
      <c r="D34" s="556"/>
      <c r="E34" s="556"/>
      <c r="F34" s="556"/>
      <c r="G34" s="556"/>
      <c r="H34" s="556"/>
      <c r="I34" s="556"/>
      <c r="J34" s="556"/>
      <c r="K34" s="556"/>
      <c r="L34" s="556"/>
      <c r="M34" s="556"/>
    </row>
    <row r="35" spans="1:13">
      <c r="A35" s="539"/>
      <c r="B35" s="539"/>
      <c r="C35" s="556"/>
      <c r="D35" s="556"/>
      <c r="E35" s="556"/>
      <c r="F35" s="556"/>
      <c r="G35" s="556"/>
      <c r="H35" s="556"/>
      <c r="I35" s="556"/>
      <c r="J35" s="556"/>
      <c r="K35" s="556"/>
      <c r="L35" s="556"/>
      <c r="M35" s="556"/>
    </row>
    <row r="36" spans="1:13">
      <c r="A36" s="539"/>
      <c r="B36" s="539"/>
      <c r="C36" s="539"/>
      <c r="D36" s="539"/>
      <c r="E36" s="539"/>
      <c r="F36" s="539"/>
      <c r="G36" s="539"/>
      <c r="H36" s="539"/>
      <c r="I36" s="539"/>
      <c r="J36" s="539"/>
      <c r="K36" s="539"/>
    </row>
    <row r="37" spans="1:13">
      <c r="A37" s="539"/>
      <c r="B37" s="539"/>
      <c r="C37" s="539"/>
      <c r="D37" s="539"/>
      <c r="E37" s="539"/>
      <c r="F37" s="539"/>
      <c r="G37" s="539"/>
      <c r="H37" s="539"/>
      <c r="I37" s="539"/>
      <c r="J37" s="539"/>
      <c r="K37" s="539"/>
    </row>
    <row r="38" spans="1:13">
      <c r="A38" s="539"/>
      <c r="B38" s="539"/>
      <c r="C38" s="539"/>
      <c r="D38" s="539"/>
      <c r="E38" s="539"/>
      <c r="F38" s="539"/>
      <c r="G38" s="539"/>
      <c r="H38" s="539"/>
      <c r="I38" s="539"/>
      <c r="J38" s="539"/>
      <c r="K38" s="539"/>
    </row>
    <row r="39" spans="1:13">
      <c r="A39" s="539"/>
      <c r="B39" s="539"/>
      <c r="C39" s="539"/>
      <c r="D39" s="539"/>
      <c r="E39" s="539"/>
      <c r="F39" s="539"/>
      <c r="G39" s="539"/>
      <c r="H39" s="539"/>
      <c r="I39" s="539"/>
      <c r="J39" s="539"/>
      <c r="K39" s="539"/>
    </row>
  </sheetData>
  <mergeCells count="6">
    <mergeCell ref="D20:K20"/>
    <mergeCell ref="D1:K1"/>
    <mergeCell ref="D2:K2"/>
    <mergeCell ref="D3:K3"/>
    <mergeCell ref="D4:K4"/>
    <mergeCell ref="D19:K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view="pageBreakPreview" zoomScale="70" zoomScaleNormal="70" zoomScaleSheetLayoutView="70" workbookViewId="0"/>
  </sheetViews>
  <sheetFormatPr defaultRowHeight="15"/>
  <cols>
    <col min="1" max="1" width="7.7109375" style="146" customWidth="1"/>
    <col min="2" max="2" width="1.85546875" style="146" customWidth="1"/>
    <col min="3" max="3" width="14.85546875" style="146" customWidth="1"/>
    <col min="4" max="4" width="13.140625" style="146" customWidth="1"/>
    <col min="5" max="5" width="15.140625" style="146" customWidth="1"/>
    <col min="6" max="6" width="17.28515625" style="146" customWidth="1"/>
    <col min="7" max="7" width="19.5703125" style="146" customWidth="1"/>
    <col min="8" max="8" width="21.140625" style="146" customWidth="1"/>
    <col min="9" max="9" width="23.5703125" style="146" customWidth="1"/>
    <col min="10" max="10" width="18.140625" style="146" customWidth="1"/>
    <col min="11" max="11" width="15.7109375" style="146" customWidth="1"/>
    <col min="12" max="12" width="15.85546875" style="146" customWidth="1"/>
    <col min="13" max="14" width="16.28515625" style="146" customWidth="1"/>
    <col min="15" max="15" width="16.42578125" style="146" customWidth="1"/>
    <col min="16" max="16" width="17.42578125" style="146" customWidth="1"/>
    <col min="17" max="17" width="17.140625" style="146" customWidth="1"/>
    <col min="18" max="18" width="15.85546875" style="146" customWidth="1"/>
    <col min="19" max="19" width="17.85546875" style="146" customWidth="1"/>
    <col min="20" max="20" width="2.42578125" style="146" customWidth="1"/>
    <col min="21" max="21" width="16.7109375" style="146" customWidth="1"/>
    <col min="22" max="16384" width="9.140625" style="146"/>
  </cols>
  <sheetData>
    <row r="1" spans="1:23">
      <c r="S1" s="178"/>
    </row>
    <row r="2" spans="1:23">
      <c r="S2" s="178"/>
    </row>
    <row r="4" spans="1:23" ht="15.75">
      <c r="C4" s="122"/>
      <c r="S4" s="178" t="s">
        <v>614</v>
      </c>
    </row>
    <row r="5" spans="1:23">
      <c r="C5" s="179" t="s">
        <v>615</v>
      </c>
      <c r="D5" s="179"/>
      <c r="E5" s="179"/>
      <c r="F5" s="179"/>
      <c r="G5" s="179"/>
      <c r="H5" s="179"/>
      <c r="I5" s="179"/>
      <c r="J5" s="180" t="s">
        <v>362</v>
      </c>
      <c r="K5" s="180"/>
      <c r="L5" s="179"/>
      <c r="M5" s="179"/>
      <c r="N5" s="179"/>
      <c r="O5" s="179"/>
      <c r="P5" s="181"/>
      <c r="R5" s="182"/>
      <c r="S5" s="183" t="s">
        <v>843</v>
      </c>
      <c r="T5" s="184"/>
      <c r="U5" s="184"/>
      <c r="V5" s="184"/>
      <c r="W5" s="184"/>
    </row>
    <row r="6" spans="1:23">
      <c r="C6" s="179"/>
      <c r="D6" s="179"/>
      <c r="E6" s="179"/>
      <c r="F6" s="179"/>
      <c r="G6" s="179"/>
      <c r="H6" s="185" t="s">
        <v>211</v>
      </c>
      <c r="I6" s="185"/>
      <c r="J6" s="185" t="s">
        <v>616</v>
      </c>
      <c r="K6" s="185"/>
      <c r="L6" s="185"/>
      <c r="M6" s="185"/>
      <c r="N6" s="185"/>
      <c r="O6" s="185"/>
      <c r="P6" s="181"/>
      <c r="R6" s="182"/>
      <c r="S6" s="181"/>
      <c r="T6" s="184"/>
      <c r="U6" s="186"/>
      <c r="V6" s="184"/>
      <c r="W6" s="184"/>
    </row>
    <row r="7" spans="1:23">
      <c r="C7" s="182"/>
      <c r="D7" s="182"/>
      <c r="E7" s="182"/>
      <c r="F7" s="182"/>
      <c r="G7" s="182"/>
      <c r="H7" s="182"/>
      <c r="I7" s="182"/>
      <c r="J7" s="182"/>
      <c r="K7" s="182"/>
      <c r="L7" s="182"/>
      <c r="M7" s="182"/>
      <c r="N7" s="182"/>
      <c r="O7" s="182"/>
      <c r="P7" s="182"/>
      <c r="R7" s="182"/>
      <c r="S7" s="182" t="s">
        <v>617</v>
      </c>
      <c r="T7" s="184"/>
      <c r="U7" s="184"/>
      <c r="V7" s="184"/>
      <c r="W7" s="184"/>
    </row>
    <row r="8" spans="1:23" ht="15.75">
      <c r="A8" s="187"/>
      <c r="C8" s="182"/>
      <c r="D8" s="182"/>
      <c r="E8" s="182"/>
      <c r="F8" s="182"/>
      <c r="G8" s="182"/>
      <c r="H8" s="182"/>
      <c r="I8" s="182"/>
      <c r="J8" s="188" t="s">
        <v>213</v>
      </c>
      <c r="K8" s="189"/>
      <c r="L8" s="182"/>
      <c r="M8" s="182"/>
      <c r="N8" s="182"/>
      <c r="O8" s="182"/>
      <c r="P8" s="182"/>
      <c r="Q8" s="182"/>
      <c r="R8" s="182"/>
      <c r="S8" s="182"/>
      <c r="T8" s="184"/>
      <c r="U8" s="184"/>
      <c r="V8" s="184"/>
      <c r="W8" s="184"/>
    </row>
    <row r="9" spans="1:23">
      <c r="A9" s="187"/>
      <c r="C9" s="182"/>
      <c r="D9" s="182"/>
      <c r="E9" s="182"/>
      <c r="F9" s="182"/>
      <c r="G9" s="182"/>
      <c r="H9" s="182"/>
      <c r="I9" s="182"/>
      <c r="J9" s="190"/>
      <c r="K9" s="190"/>
      <c r="L9" s="182"/>
      <c r="M9" s="182"/>
      <c r="N9" s="182"/>
      <c r="O9" s="182"/>
      <c r="P9" s="182"/>
      <c r="Q9" s="182"/>
      <c r="R9" s="182"/>
      <c r="S9" s="182"/>
      <c r="T9" s="184"/>
      <c r="U9" s="184"/>
      <c r="V9" s="184"/>
      <c r="W9" s="184"/>
    </row>
    <row r="10" spans="1:23">
      <c r="A10" s="187"/>
      <c r="C10" s="182" t="s">
        <v>618</v>
      </c>
      <c r="D10" s="182"/>
      <c r="E10" s="182"/>
      <c r="F10" s="182"/>
      <c r="G10" s="182"/>
      <c r="H10" s="182"/>
      <c r="I10" s="182"/>
      <c r="J10" s="190"/>
      <c r="K10" s="190"/>
      <c r="L10" s="182"/>
      <c r="M10" s="182"/>
      <c r="N10" s="182"/>
      <c r="O10" s="182"/>
      <c r="P10" s="182"/>
      <c r="Q10" s="182"/>
      <c r="R10" s="182"/>
      <c r="S10" s="182"/>
      <c r="T10" s="184"/>
      <c r="U10" s="184"/>
      <c r="V10" s="184"/>
      <c r="W10" s="184"/>
    </row>
    <row r="11" spans="1:23">
      <c r="A11" s="187"/>
      <c r="C11" s="182" t="s">
        <v>619</v>
      </c>
      <c r="D11" s="182"/>
      <c r="E11" s="182"/>
      <c r="F11" s="182"/>
      <c r="G11" s="182"/>
      <c r="H11" s="182"/>
      <c r="I11" s="182"/>
      <c r="J11" s="190"/>
      <c r="K11" s="190"/>
      <c r="Q11" s="182"/>
      <c r="R11" s="182"/>
      <c r="S11" s="182"/>
      <c r="T11" s="184"/>
      <c r="U11" s="184"/>
      <c r="V11" s="184"/>
      <c r="W11" s="184"/>
    </row>
    <row r="12" spans="1:23">
      <c r="A12" s="187"/>
      <c r="C12" s="182"/>
      <c r="D12" s="182"/>
      <c r="E12" s="182"/>
      <c r="F12" s="182"/>
      <c r="G12" s="182"/>
      <c r="H12" s="182"/>
      <c r="I12" s="182"/>
      <c r="J12" s="182"/>
      <c r="K12" s="182"/>
      <c r="Q12" s="191"/>
      <c r="R12" s="182"/>
      <c r="S12" s="182"/>
      <c r="T12" s="184"/>
      <c r="U12" s="184"/>
      <c r="V12" s="184"/>
      <c r="W12" s="184"/>
    </row>
    <row r="13" spans="1:23">
      <c r="C13" s="192" t="s">
        <v>278</v>
      </c>
      <c r="D13" s="192"/>
      <c r="E13" s="192"/>
      <c r="F13" s="192"/>
      <c r="G13" s="192"/>
      <c r="H13" s="192" t="s">
        <v>279</v>
      </c>
      <c r="I13" s="192"/>
      <c r="J13" s="192" t="s">
        <v>280</v>
      </c>
      <c r="K13" s="192"/>
      <c r="L13" s="193" t="s">
        <v>281</v>
      </c>
      <c r="R13" s="185"/>
      <c r="S13" s="193"/>
      <c r="T13" s="147"/>
      <c r="U13" s="193"/>
      <c r="V13" s="147"/>
      <c r="W13" s="145"/>
    </row>
    <row r="14" spans="1:23" ht="15.75">
      <c r="C14" s="194"/>
      <c r="D14" s="194"/>
      <c r="E14" s="194"/>
      <c r="F14" s="194"/>
      <c r="G14" s="194"/>
      <c r="H14" s="195" t="s">
        <v>207</v>
      </c>
      <c r="I14" s="195"/>
      <c r="J14" s="185"/>
      <c r="K14" s="185"/>
      <c r="R14" s="185"/>
      <c r="T14" s="147"/>
      <c r="U14" s="186"/>
      <c r="V14" s="186"/>
      <c r="W14" s="145"/>
    </row>
    <row r="15" spans="1:23" ht="15.75">
      <c r="A15" s="187" t="s">
        <v>214</v>
      </c>
      <c r="C15" s="194"/>
      <c r="D15" s="194"/>
      <c r="E15" s="194"/>
      <c r="F15" s="194"/>
      <c r="G15" s="194"/>
      <c r="H15" s="196" t="s">
        <v>284</v>
      </c>
      <c r="I15" s="196"/>
      <c r="J15" s="197" t="s">
        <v>20</v>
      </c>
      <c r="K15" s="197"/>
      <c r="L15" s="197" t="s">
        <v>221</v>
      </c>
      <c r="R15" s="185"/>
      <c r="T15" s="184"/>
      <c r="U15" s="198"/>
      <c r="V15" s="186"/>
      <c r="W15" s="145"/>
    </row>
    <row r="16" spans="1:23" ht="15.75">
      <c r="A16" s="187" t="s">
        <v>216</v>
      </c>
      <c r="C16" s="199"/>
      <c r="D16" s="199"/>
      <c r="E16" s="199"/>
      <c r="F16" s="199"/>
      <c r="G16" s="199"/>
      <c r="H16" s="185"/>
      <c r="I16" s="185"/>
      <c r="J16" s="185"/>
      <c r="K16" s="185"/>
      <c r="L16" s="185"/>
      <c r="R16" s="185"/>
      <c r="S16" s="185"/>
      <c r="T16" s="184"/>
      <c r="U16" s="147"/>
      <c r="V16" s="147"/>
      <c r="W16" s="145"/>
    </row>
    <row r="17" spans="1:23" ht="15.75">
      <c r="A17" s="200"/>
      <c r="C17" s="194"/>
      <c r="D17" s="194"/>
      <c r="E17" s="194"/>
      <c r="F17" s="194"/>
      <c r="G17" s="194"/>
      <c r="H17" s="185"/>
      <c r="I17" s="185"/>
      <c r="J17" s="185"/>
      <c r="K17" s="185"/>
      <c r="L17" s="185"/>
      <c r="R17" s="185"/>
      <c r="S17" s="185"/>
      <c r="T17" s="184"/>
      <c r="U17" s="147"/>
      <c r="V17" s="147"/>
      <c r="W17" s="145"/>
    </row>
    <row r="18" spans="1:23">
      <c r="A18" s="201">
        <v>1</v>
      </c>
      <c r="C18" s="194" t="s">
        <v>620</v>
      </c>
      <c r="D18" s="194"/>
      <c r="E18" s="194"/>
      <c r="F18" s="194"/>
      <c r="G18" s="194"/>
      <c r="H18" s="202" t="s">
        <v>621</v>
      </c>
      <c r="I18" s="202"/>
      <c r="J18" s="203">
        <f>+'2016ActualNonlevelized-IOU12.38'!D92+'2016ActualNonlevelized-IOU12.38'!D116+'2016ActualNonlevelized-IOU12.38'!D126</f>
        <v>29523886.886923071</v>
      </c>
      <c r="K18" s="185"/>
      <c r="R18" s="185"/>
      <c r="S18" s="185"/>
      <c r="T18" s="184"/>
      <c r="U18" s="147"/>
      <c r="V18" s="147"/>
      <c r="W18" s="145"/>
    </row>
    <row r="19" spans="1:23">
      <c r="A19" s="201" t="s">
        <v>367</v>
      </c>
      <c r="C19" s="194" t="s">
        <v>622</v>
      </c>
      <c r="D19" s="194"/>
      <c r="E19" s="194"/>
      <c r="F19" s="194"/>
      <c r="G19" s="194"/>
      <c r="H19" s="202" t="s">
        <v>623</v>
      </c>
      <c r="I19" s="202"/>
      <c r="J19" s="204">
        <f>+'2016ActualNonlevelized-IOU12.38'!D100+'2016ActualNonlevelized-IOU12.38'!D101</f>
        <v>1229414.6592307694</v>
      </c>
      <c r="K19" s="205"/>
      <c r="R19" s="185"/>
      <c r="S19" s="185"/>
      <c r="T19" s="184"/>
      <c r="U19" s="147"/>
      <c r="V19" s="147"/>
      <c r="W19" s="145"/>
    </row>
    <row r="20" spans="1:23">
      <c r="A20" s="201">
        <v>2</v>
      </c>
      <c r="C20" s="194" t="s">
        <v>624</v>
      </c>
      <c r="D20" s="194"/>
      <c r="E20" s="194"/>
      <c r="F20" s="194"/>
      <c r="G20" s="194"/>
      <c r="H20" s="202" t="s">
        <v>625</v>
      </c>
      <c r="I20" s="202"/>
      <c r="J20" s="206">
        <f>J18-J19</f>
        <v>28294472.227692302</v>
      </c>
      <c r="K20" s="207"/>
      <c r="R20" s="185"/>
      <c r="S20" s="185"/>
      <c r="T20" s="184"/>
      <c r="U20" s="147"/>
      <c r="V20" s="147"/>
      <c r="W20" s="145"/>
    </row>
    <row r="21" spans="1:23">
      <c r="A21" s="201"/>
      <c r="H21" s="202"/>
      <c r="I21" s="202"/>
      <c r="R21" s="185"/>
      <c r="S21" s="185"/>
      <c r="T21" s="184"/>
      <c r="U21" s="147"/>
      <c r="V21" s="147"/>
      <c r="W21" s="145"/>
    </row>
    <row r="22" spans="1:23" ht="15.75">
      <c r="A22" s="201"/>
      <c r="C22" s="194" t="s">
        <v>626</v>
      </c>
      <c r="D22" s="194"/>
      <c r="E22" s="194"/>
      <c r="F22" s="194"/>
      <c r="G22" s="194"/>
      <c r="H22" s="202"/>
      <c r="I22" s="202"/>
      <c r="J22" s="185"/>
      <c r="K22" s="185"/>
      <c r="L22" s="185"/>
      <c r="R22" s="185"/>
      <c r="S22" s="185"/>
      <c r="T22" s="147"/>
      <c r="U22" s="147"/>
      <c r="V22" s="147"/>
      <c r="W22" s="145"/>
    </row>
    <row r="23" spans="1:23">
      <c r="A23" s="201">
        <v>3</v>
      </c>
      <c r="C23" s="194" t="s">
        <v>627</v>
      </c>
      <c r="D23" s="194"/>
      <c r="E23" s="194"/>
      <c r="F23" s="194"/>
      <c r="G23" s="194"/>
      <c r="H23" s="202" t="s">
        <v>628</v>
      </c>
      <c r="I23" s="202"/>
      <c r="J23" s="203">
        <f>+'2016ActualNonlevelized-IOU12.38'!I180</f>
        <v>2223754.1145878127</v>
      </c>
      <c r="K23" s="185"/>
      <c r="R23" s="185"/>
      <c r="S23" s="185"/>
      <c r="T23" s="147"/>
      <c r="U23" s="147"/>
      <c r="V23" s="147"/>
      <c r="W23" s="145"/>
    </row>
    <row r="24" spans="1:23">
      <c r="A24" s="201" t="s">
        <v>629</v>
      </c>
      <c r="C24" s="194" t="s">
        <v>630</v>
      </c>
      <c r="D24" s="194"/>
      <c r="E24" s="194"/>
      <c r="F24" s="194"/>
      <c r="G24" s="194"/>
      <c r="H24" s="202" t="s">
        <v>631</v>
      </c>
      <c r="I24" s="202"/>
      <c r="J24" s="203">
        <f>+'2016ActualNonlevelized-IOU12.38'!I171</f>
        <v>1888463.51</v>
      </c>
      <c r="K24" s="185"/>
      <c r="R24" s="185"/>
      <c r="S24" s="185"/>
      <c r="T24" s="147"/>
      <c r="U24" s="147"/>
      <c r="V24" s="147"/>
      <c r="W24" s="145"/>
    </row>
    <row r="25" spans="1:23">
      <c r="A25" s="201" t="s">
        <v>632</v>
      </c>
      <c r="C25" s="194" t="s">
        <v>633</v>
      </c>
      <c r="D25" s="194"/>
      <c r="E25" s="194"/>
      <c r="F25" s="194"/>
      <c r="G25" s="194"/>
      <c r="H25" s="202" t="s">
        <v>634</v>
      </c>
      <c r="I25" s="202"/>
      <c r="J25" s="203">
        <f>'2016ActualNonlevelized-IOU12.38'!I172</f>
        <v>0</v>
      </c>
      <c r="K25" s="185"/>
      <c r="R25" s="185"/>
      <c r="S25" s="185"/>
      <c r="T25" s="147"/>
      <c r="U25" s="147"/>
      <c r="V25" s="147"/>
      <c r="W25" s="145"/>
    </row>
    <row r="26" spans="1:23">
      <c r="A26" s="201" t="s">
        <v>635</v>
      </c>
      <c r="C26" s="194" t="s">
        <v>636</v>
      </c>
      <c r="D26" s="194"/>
      <c r="E26" s="194"/>
      <c r="F26" s="194"/>
      <c r="G26" s="194"/>
      <c r="H26" s="202" t="s">
        <v>637</v>
      </c>
      <c r="I26" s="202"/>
      <c r="J26" s="204">
        <f>+'2016ActualNonlevelized-IOU12.38'!I173</f>
        <v>0</v>
      </c>
      <c r="K26" s="205"/>
      <c r="R26" s="185"/>
      <c r="S26" s="185"/>
      <c r="T26" s="147"/>
      <c r="U26" s="147"/>
      <c r="V26" s="147"/>
      <c r="W26" s="145"/>
    </row>
    <row r="27" spans="1:23">
      <c r="A27" s="201" t="s">
        <v>638</v>
      </c>
      <c r="C27" s="194" t="s">
        <v>639</v>
      </c>
      <c r="D27" s="194"/>
      <c r="E27" s="194"/>
      <c r="F27" s="194"/>
      <c r="G27" s="194"/>
      <c r="H27" s="202" t="s">
        <v>640</v>
      </c>
      <c r="I27" s="202"/>
      <c r="J27" s="206">
        <f>J24-(J25+J26)</f>
        <v>1888463.51</v>
      </c>
      <c r="K27" s="185"/>
      <c r="R27" s="185"/>
      <c r="S27" s="185"/>
      <c r="T27" s="147"/>
      <c r="U27" s="147"/>
      <c r="V27" s="147"/>
      <c r="W27" s="145"/>
    </row>
    <row r="28" spans="1:23">
      <c r="A28" s="201"/>
      <c r="C28" s="194"/>
      <c r="D28" s="194"/>
      <c r="E28" s="194"/>
      <c r="F28" s="194"/>
      <c r="G28" s="194"/>
      <c r="H28" s="202"/>
      <c r="I28" s="202"/>
      <c r="J28" s="185"/>
      <c r="K28" s="185"/>
      <c r="R28" s="185"/>
      <c r="S28" s="185"/>
      <c r="T28" s="147"/>
      <c r="U28" s="147"/>
      <c r="V28" s="147"/>
      <c r="W28" s="145"/>
    </row>
    <row r="29" spans="1:23" ht="15.75">
      <c r="A29" s="201">
        <v>4</v>
      </c>
      <c r="C29" s="199" t="s">
        <v>641</v>
      </c>
      <c r="D29" s="199"/>
      <c r="E29" s="199"/>
      <c r="F29" s="199"/>
      <c r="G29" s="194"/>
      <c r="H29" s="202" t="s">
        <v>642</v>
      </c>
      <c r="I29" s="202"/>
      <c r="J29" s="208">
        <f>IF(J27=0,0,J27/J19)</f>
        <v>1.5360671810937978</v>
      </c>
      <c r="K29" s="208"/>
      <c r="L29" s="209">
        <f>J29</f>
        <v>1.5360671810937978</v>
      </c>
      <c r="R29" s="185"/>
      <c r="S29" s="185"/>
      <c r="T29" s="147"/>
      <c r="U29" s="147"/>
      <c r="V29" s="147"/>
      <c r="W29" s="145"/>
    </row>
    <row r="30" spans="1:23">
      <c r="A30" s="201"/>
      <c r="C30" s="194"/>
      <c r="D30" s="194"/>
      <c r="E30" s="194"/>
      <c r="F30" s="194"/>
      <c r="G30" s="194"/>
      <c r="H30" s="202"/>
      <c r="I30" s="202"/>
      <c r="J30" s="185"/>
      <c r="K30" s="185"/>
      <c r="R30" s="185"/>
      <c r="S30" s="185"/>
      <c r="T30" s="147"/>
      <c r="U30" s="147"/>
      <c r="V30" s="147"/>
      <c r="W30" s="145"/>
    </row>
    <row r="31" spans="1:23">
      <c r="A31" s="201"/>
      <c r="C31" s="194"/>
      <c r="D31" s="194"/>
      <c r="E31" s="194"/>
      <c r="F31" s="194"/>
      <c r="G31" s="194"/>
      <c r="H31" s="202"/>
      <c r="I31" s="202"/>
      <c r="J31" s="185"/>
      <c r="K31" s="185"/>
      <c r="R31" s="185"/>
      <c r="S31" s="185"/>
      <c r="T31" s="147"/>
      <c r="U31" s="147"/>
      <c r="V31" s="147"/>
      <c r="W31" s="145"/>
    </row>
    <row r="32" spans="1:23" ht="15.75">
      <c r="A32" s="201"/>
      <c r="C32" s="194" t="s">
        <v>643</v>
      </c>
      <c r="D32" s="194"/>
      <c r="E32" s="194"/>
      <c r="F32" s="194"/>
      <c r="G32" s="194"/>
      <c r="H32" s="202"/>
      <c r="I32" s="202"/>
      <c r="J32" s="210"/>
      <c r="K32" s="210"/>
      <c r="L32" s="211"/>
      <c r="R32" s="185"/>
      <c r="S32" s="208"/>
      <c r="T32" s="212"/>
      <c r="U32" s="213"/>
      <c r="V32" s="147"/>
      <c r="W32" s="145"/>
    </row>
    <row r="33" spans="1:23" ht="15.75">
      <c r="A33" s="201" t="s">
        <v>644</v>
      </c>
      <c r="C33" s="194" t="s">
        <v>645</v>
      </c>
      <c r="D33" s="194"/>
      <c r="E33" s="194"/>
      <c r="F33" s="194"/>
      <c r="G33" s="194"/>
      <c r="H33" s="202" t="s">
        <v>646</v>
      </c>
      <c r="I33" s="202"/>
      <c r="J33" s="206">
        <f>J23-J27</f>
        <v>335290.60458781268</v>
      </c>
      <c r="K33" s="210"/>
      <c r="L33" s="211"/>
      <c r="R33" s="185"/>
      <c r="S33" s="208"/>
      <c r="T33" s="212"/>
      <c r="U33" s="213"/>
      <c r="V33" s="147"/>
      <c r="W33" s="145"/>
    </row>
    <row r="34" spans="1:23" ht="15.75">
      <c r="A34" s="201" t="s">
        <v>647</v>
      </c>
      <c r="C34" s="194" t="s">
        <v>648</v>
      </c>
      <c r="D34" s="194"/>
      <c r="E34" s="194"/>
      <c r="F34" s="194"/>
      <c r="G34" s="194"/>
      <c r="H34" s="202" t="s">
        <v>649</v>
      </c>
      <c r="I34" s="202"/>
      <c r="J34" s="210">
        <f>IF(J33=0,0,J33/J18)</f>
        <v>1.135658749378023E-2</v>
      </c>
      <c r="K34" s="210"/>
      <c r="L34" s="211">
        <f>J34</f>
        <v>1.135658749378023E-2</v>
      </c>
      <c r="R34" s="185"/>
      <c r="S34" s="208"/>
      <c r="T34" s="212"/>
      <c r="U34" s="213"/>
      <c r="V34" s="147"/>
      <c r="W34" s="145"/>
    </row>
    <row r="35" spans="1:23" ht="15.75">
      <c r="A35" s="201"/>
      <c r="C35" s="194"/>
      <c r="D35" s="194"/>
      <c r="E35" s="194"/>
      <c r="F35" s="194"/>
      <c r="G35" s="194"/>
      <c r="H35" s="202"/>
      <c r="I35" s="202"/>
      <c r="J35" s="210"/>
      <c r="K35" s="210"/>
      <c r="L35" s="211"/>
      <c r="R35" s="185"/>
      <c r="S35" s="208"/>
      <c r="T35" s="212"/>
      <c r="U35" s="213"/>
      <c r="V35" s="147"/>
      <c r="W35" s="145"/>
    </row>
    <row r="36" spans="1:23" ht="15.75">
      <c r="A36" s="214"/>
      <c r="C36" s="194" t="s">
        <v>650</v>
      </c>
      <c r="D36" s="194"/>
      <c r="E36" s="194"/>
      <c r="F36" s="194"/>
      <c r="G36" s="194"/>
      <c r="H36" s="215"/>
      <c r="I36" s="215"/>
      <c r="J36" s="185"/>
      <c r="K36" s="185"/>
      <c r="L36" s="185"/>
      <c r="R36" s="185"/>
      <c r="S36" s="208"/>
      <c r="T36" s="212"/>
      <c r="U36" s="213"/>
      <c r="V36" s="147"/>
      <c r="W36" s="145"/>
    </row>
    <row r="37" spans="1:23" ht="15.75">
      <c r="A37" s="214" t="s">
        <v>651</v>
      </c>
      <c r="C37" s="194" t="s">
        <v>652</v>
      </c>
      <c r="D37" s="194"/>
      <c r="E37" s="194"/>
      <c r="F37" s="194"/>
      <c r="G37" s="194"/>
      <c r="H37" s="202" t="s">
        <v>653</v>
      </c>
      <c r="I37" s="202"/>
      <c r="J37" s="203">
        <f>+'2016ActualNonlevelized-IOU12.38'!I186+'2016ActualNonlevelized-IOU12.38'!I187</f>
        <v>25278.346688396938</v>
      </c>
      <c r="K37" s="185"/>
      <c r="R37" s="185"/>
      <c r="S37" s="208"/>
      <c r="T37" s="212"/>
      <c r="U37" s="213"/>
      <c r="V37" s="147"/>
      <c r="W37" s="145"/>
    </row>
    <row r="38" spans="1:23" ht="15.75">
      <c r="A38" s="214" t="s">
        <v>654</v>
      </c>
      <c r="C38" s="194" t="s">
        <v>655</v>
      </c>
      <c r="D38" s="194"/>
      <c r="E38" s="194"/>
      <c r="F38" s="194"/>
      <c r="G38" s="194"/>
      <c r="H38" s="202" t="s">
        <v>656</v>
      </c>
      <c r="I38" s="202"/>
      <c r="J38" s="210">
        <f>IF(J37=0,0,J37/J18)</f>
        <v>8.5619982169737288E-4</v>
      </c>
      <c r="K38" s="210"/>
      <c r="L38" s="211">
        <f>J38</f>
        <v>8.5619982169737288E-4</v>
      </c>
      <c r="R38" s="185"/>
      <c r="S38" s="208"/>
      <c r="T38" s="212"/>
      <c r="U38" s="213"/>
      <c r="V38" s="147"/>
      <c r="W38" s="145"/>
    </row>
    <row r="39" spans="1:23" ht="15.75">
      <c r="A39" s="201"/>
      <c r="C39" s="194"/>
      <c r="D39" s="194"/>
      <c r="E39" s="194"/>
      <c r="F39" s="194"/>
      <c r="G39" s="194"/>
      <c r="H39" s="202"/>
      <c r="I39" s="202"/>
      <c r="J39" s="210"/>
      <c r="K39" s="210"/>
      <c r="L39" s="211"/>
      <c r="R39" s="185"/>
      <c r="S39" s="208"/>
      <c r="T39" s="212"/>
      <c r="U39" s="213"/>
      <c r="V39" s="147"/>
      <c r="W39" s="145"/>
    </row>
    <row r="40" spans="1:23">
      <c r="A40" s="214"/>
      <c r="C40" s="194" t="s">
        <v>657</v>
      </c>
      <c r="D40" s="194"/>
      <c r="E40" s="194"/>
      <c r="F40" s="194"/>
      <c r="G40" s="194"/>
      <c r="H40" s="215"/>
      <c r="I40" s="215"/>
      <c r="J40" s="185"/>
      <c r="K40" s="185"/>
      <c r="L40" s="185"/>
      <c r="R40" s="185"/>
      <c r="S40" s="185"/>
      <c r="T40" s="147"/>
      <c r="U40" s="185"/>
      <c r="V40" s="147"/>
      <c r="W40" s="145"/>
    </row>
    <row r="41" spans="1:23" ht="15.75">
      <c r="A41" s="214" t="s">
        <v>658</v>
      </c>
      <c r="C41" s="194" t="s">
        <v>659</v>
      </c>
      <c r="D41" s="194"/>
      <c r="E41" s="194"/>
      <c r="F41" s="194"/>
      <c r="G41" s="194"/>
      <c r="H41" s="202" t="s">
        <v>660</v>
      </c>
      <c r="I41" s="202"/>
      <c r="J41" s="203">
        <f>+'2016ActualNonlevelized-IOU12.38'!I199</f>
        <v>13357.793671006873</v>
      </c>
      <c r="K41" s="185"/>
      <c r="R41" s="185"/>
      <c r="S41" s="216"/>
      <c r="T41" s="147"/>
      <c r="U41" s="201"/>
      <c r="V41" s="186"/>
      <c r="W41" s="145"/>
    </row>
    <row r="42" spans="1:23" ht="15.75">
      <c r="A42" s="214" t="s">
        <v>661</v>
      </c>
      <c r="C42" s="194" t="s">
        <v>662</v>
      </c>
      <c r="D42" s="194"/>
      <c r="E42" s="194"/>
      <c r="F42" s="194"/>
      <c r="G42" s="194"/>
      <c r="H42" s="202" t="s">
        <v>663</v>
      </c>
      <c r="I42" s="202"/>
      <c r="J42" s="210">
        <f>IF(J41=0,0,J41/J18)</f>
        <v>4.524402129762732E-4</v>
      </c>
      <c r="K42" s="210"/>
      <c r="L42" s="211">
        <f>J42</f>
        <v>4.524402129762732E-4</v>
      </c>
      <c r="R42" s="185"/>
      <c r="S42" s="208"/>
      <c r="T42" s="147"/>
      <c r="U42" s="213"/>
      <c r="V42" s="186"/>
      <c r="W42" s="145"/>
    </row>
    <row r="43" spans="1:23">
      <c r="A43" s="214"/>
      <c r="C43" s="194"/>
      <c r="D43" s="194"/>
      <c r="E43" s="194"/>
      <c r="F43" s="194"/>
      <c r="G43" s="194"/>
      <c r="H43" s="202"/>
      <c r="I43" s="202"/>
      <c r="J43" s="185"/>
      <c r="K43" s="185"/>
      <c r="L43" s="185"/>
      <c r="R43" s="185"/>
      <c r="V43" s="147"/>
      <c r="W43" s="145"/>
    </row>
    <row r="44" spans="1:23" ht="15.75">
      <c r="A44" s="217" t="s">
        <v>664</v>
      </c>
      <c r="B44" s="218"/>
      <c r="C44" s="199" t="s">
        <v>665</v>
      </c>
      <c r="D44" s="199"/>
      <c r="E44" s="199"/>
      <c r="F44" s="199"/>
      <c r="G44" s="199"/>
      <c r="H44" s="195" t="s">
        <v>666</v>
      </c>
      <c r="I44" s="195"/>
      <c r="J44" s="219">
        <f>J34+J38+J42</f>
        <v>1.2665227528453877E-2</v>
      </c>
      <c r="K44" s="219"/>
      <c r="L44" s="219">
        <f>L34+L38+L42</f>
        <v>1.2665227528453877E-2</v>
      </c>
      <c r="R44" s="185"/>
      <c r="V44" s="147"/>
      <c r="W44" s="145"/>
    </row>
    <row r="45" spans="1:23">
      <c r="A45" s="214"/>
      <c r="C45" s="194"/>
      <c r="D45" s="194"/>
      <c r="E45" s="194"/>
      <c r="F45" s="194"/>
      <c r="G45" s="194"/>
      <c r="H45" s="202"/>
      <c r="I45" s="202"/>
      <c r="J45" s="185"/>
      <c r="K45" s="185"/>
      <c r="L45" s="185"/>
      <c r="R45" s="185"/>
      <c r="S45" s="185"/>
      <c r="T45" s="147"/>
      <c r="U45" s="220"/>
      <c r="V45" s="147"/>
      <c r="W45" s="145"/>
    </row>
    <row r="46" spans="1:23">
      <c r="A46" s="214"/>
      <c r="C46" s="185" t="s">
        <v>667</v>
      </c>
      <c r="D46" s="185"/>
      <c r="E46" s="185"/>
      <c r="F46" s="185"/>
      <c r="G46" s="185"/>
      <c r="H46" s="202"/>
      <c r="I46" s="202"/>
      <c r="J46" s="185"/>
      <c r="K46" s="185"/>
      <c r="L46" s="185"/>
      <c r="R46" s="185"/>
      <c r="V46" s="186"/>
      <c r="W46" s="147" t="s">
        <v>211</v>
      </c>
    </row>
    <row r="47" spans="1:23">
      <c r="A47" s="214" t="s">
        <v>668</v>
      </c>
      <c r="C47" s="185" t="s">
        <v>409</v>
      </c>
      <c r="D47" s="185"/>
      <c r="E47" s="185"/>
      <c r="F47" s="185"/>
      <c r="G47" s="185"/>
      <c r="H47" s="202" t="s">
        <v>669</v>
      </c>
      <c r="I47" s="202"/>
      <c r="J47" s="203">
        <f>+'2016ActualNonlevelized-IOU12.38'!D211</f>
        <v>0</v>
      </c>
      <c r="K47" s="185"/>
      <c r="L47" s="185"/>
      <c r="R47" s="185"/>
      <c r="V47" s="186"/>
      <c r="W47" s="147"/>
    </row>
    <row r="48" spans="1:23" ht="15.75">
      <c r="A48" s="214" t="s">
        <v>670</v>
      </c>
      <c r="C48" s="185" t="s">
        <v>671</v>
      </c>
      <c r="D48" s="185"/>
      <c r="E48" s="185"/>
      <c r="F48" s="185"/>
      <c r="G48" s="185"/>
      <c r="H48" s="202" t="s">
        <v>672</v>
      </c>
      <c r="I48" s="202"/>
      <c r="J48" s="210">
        <f>IF(J47=0,0,J47/J20)</f>
        <v>0</v>
      </c>
      <c r="K48" s="210"/>
      <c r="L48" s="211">
        <f>J48</f>
        <v>0</v>
      </c>
      <c r="R48" s="185"/>
      <c r="T48" s="147"/>
      <c r="U48" s="147"/>
      <c r="V48" s="186"/>
      <c r="W48" s="147"/>
    </row>
    <row r="49" spans="1:23">
      <c r="A49" s="214"/>
      <c r="C49" s="185"/>
      <c r="D49" s="185"/>
      <c r="E49" s="185"/>
      <c r="F49" s="185"/>
      <c r="G49" s="185"/>
      <c r="H49" s="202"/>
      <c r="I49" s="202"/>
      <c r="J49" s="185"/>
      <c r="K49" s="185"/>
      <c r="L49" s="185"/>
      <c r="R49" s="185"/>
      <c r="T49" s="184"/>
      <c r="U49" s="147"/>
      <c r="V49" s="184"/>
      <c r="W49" s="145"/>
    </row>
    <row r="50" spans="1:23">
      <c r="A50" s="214"/>
      <c r="C50" s="194" t="s">
        <v>673</v>
      </c>
      <c r="D50" s="194"/>
      <c r="E50" s="194"/>
      <c r="F50" s="194"/>
      <c r="G50" s="194"/>
      <c r="H50" s="221"/>
      <c r="I50" s="221"/>
      <c r="R50" s="185"/>
      <c r="T50" s="147"/>
      <c r="U50" s="147"/>
      <c r="V50" s="147"/>
      <c r="W50" s="145"/>
    </row>
    <row r="51" spans="1:23" ht="15.75">
      <c r="A51" s="214" t="s">
        <v>674</v>
      </c>
      <c r="C51" s="194" t="s">
        <v>675</v>
      </c>
      <c r="D51" s="194"/>
      <c r="E51" s="194"/>
      <c r="F51" s="194"/>
      <c r="G51" s="194"/>
      <c r="H51" s="202" t="s">
        <v>676</v>
      </c>
      <c r="I51" s="202"/>
      <c r="J51" s="203">
        <f>+'2016ActualNonlevelized-IOU12.38'!I213</f>
        <v>1926582.2057116563</v>
      </c>
      <c r="K51" s="185"/>
      <c r="L51" s="185"/>
      <c r="R51" s="185"/>
      <c r="T51" s="147"/>
      <c r="U51" s="147"/>
      <c r="V51" s="147"/>
      <c r="W51" s="145"/>
    </row>
    <row r="52" spans="1:23" ht="15.75">
      <c r="A52" s="214" t="s">
        <v>677</v>
      </c>
      <c r="C52" s="185" t="s">
        <v>678</v>
      </c>
      <c r="D52" s="185"/>
      <c r="E52" s="185"/>
      <c r="F52" s="185"/>
      <c r="G52" s="185"/>
      <c r="H52" s="202" t="s">
        <v>679</v>
      </c>
      <c r="I52" s="202"/>
      <c r="J52" s="222">
        <f>IF(J51=0,0,J51/J20)</f>
        <v>6.8090409681721364E-2</v>
      </c>
      <c r="K52" s="222"/>
      <c r="L52" s="211">
        <f>J52</f>
        <v>6.8090409681721364E-2</v>
      </c>
      <c r="R52" s="185"/>
      <c r="U52" s="149"/>
      <c r="V52" s="186"/>
      <c r="W52" s="147"/>
    </row>
    <row r="53" spans="1:23">
      <c r="A53" s="214"/>
      <c r="C53" s="194"/>
      <c r="D53" s="194"/>
      <c r="E53" s="194"/>
      <c r="F53" s="194"/>
      <c r="G53" s="194"/>
      <c r="H53" s="202"/>
      <c r="I53" s="202"/>
      <c r="J53" s="185"/>
      <c r="K53" s="185"/>
      <c r="L53" s="185"/>
      <c r="R53" s="185"/>
      <c r="S53" s="221"/>
      <c r="T53" s="147"/>
      <c r="U53" s="147"/>
      <c r="V53" s="147"/>
      <c r="W53" s="145"/>
    </row>
    <row r="54" spans="1:23" ht="15.75">
      <c r="A54" s="217" t="s">
        <v>680</v>
      </c>
      <c r="B54" s="218"/>
      <c r="C54" s="199" t="s">
        <v>681</v>
      </c>
      <c r="D54" s="199"/>
      <c r="E54" s="199"/>
      <c r="F54" s="199"/>
      <c r="G54" s="199"/>
      <c r="H54" s="195" t="s">
        <v>682</v>
      </c>
      <c r="I54" s="195"/>
      <c r="J54" s="223"/>
      <c r="K54" s="223"/>
      <c r="L54" s="219">
        <f>L48+L52</f>
        <v>6.8090409681721364E-2</v>
      </c>
      <c r="R54" s="185"/>
      <c r="S54" s="221"/>
      <c r="T54" s="147"/>
      <c r="U54" s="147"/>
      <c r="V54" s="147"/>
      <c r="W54" s="145"/>
    </row>
    <row r="55" spans="1:23">
      <c r="R55" s="182"/>
      <c r="S55" s="182"/>
      <c r="T55" s="147"/>
      <c r="U55" s="147"/>
      <c r="V55" s="147"/>
      <c r="W55" s="145"/>
    </row>
    <row r="56" spans="1:23">
      <c r="C56" s="224"/>
      <c r="R56" s="182"/>
      <c r="S56" s="182"/>
      <c r="T56" s="147"/>
      <c r="U56" s="147"/>
      <c r="V56" s="147"/>
      <c r="W56" s="145"/>
    </row>
    <row r="57" spans="1:23">
      <c r="A57" s="187">
        <v>15</v>
      </c>
      <c r="C57" s="225" t="s">
        <v>683</v>
      </c>
      <c r="D57" s="225"/>
      <c r="E57" s="225"/>
      <c r="F57" s="225"/>
      <c r="G57" s="215"/>
      <c r="H57" s="215" t="s">
        <v>684</v>
      </c>
      <c r="I57" s="215"/>
      <c r="J57" s="226">
        <f>+'2016ActualNonlevelized-IOU12.38'!I298</f>
        <v>1.858315413334069E-2</v>
      </c>
      <c r="K57" s="227"/>
      <c r="L57" s="227">
        <f>J57</f>
        <v>1.858315413334069E-2</v>
      </c>
      <c r="M57" s="225"/>
      <c r="N57" s="225"/>
      <c r="O57" s="225"/>
      <c r="P57" s="225"/>
      <c r="R57" s="185"/>
      <c r="S57" s="185"/>
      <c r="T57" s="147"/>
      <c r="U57" s="147"/>
      <c r="V57" s="186"/>
      <c r="W57" s="147" t="s">
        <v>211</v>
      </c>
    </row>
    <row r="58" spans="1:23">
      <c r="A58" s="187"/>
      <c r="C58" s="228" t="s">
        <v>685</v>
      </c>
      <c r="D58" s="225"/>
      <c r="E58" s="225"/>
      <c r="F58" s="225"/>
      <c r="G58" s="215"/>
      <c r="H58" s="215"/>
      <c r="I58" s="215"/>
      <c r="J58" s="227"/>
      <c r="K58" s="227"/>
      <c r="L58" s="227"/>
      <c r="M58" s="225"/>
      <c r="N58" s="225"/>
      <c r="O58" s="225"/>
      <c r="P58" s="225"/>
      <c r="R58" s="185"/>
      <c r="S58" s="185"/>
      <c r="T58" s="147"/>
      <c r="U58" s="147"/>
      <c r="V58" s="186"/>
      <c r="W58" s="147"/>
    </row>
    <row r="59" spans="1:23">
      <c r="A59" s="229"/>
      <c r="B59" s="224"/>
      <c r="C59" s="224"/>
      <c r="D59" s="224"/>
      <c r="E59" s="224"/>
      <c r="H59" s="224"/>
      <c r="L59" s="230"/>
      <c r="S59" s="178"/>
    </row>
    <row r="60" spans="1:23">
      <c r="S60" s="178"/>
    </row>
    <row r="62" spans="1:23">
      <c r="A62" s="187"/>
      <c r="C62" s="225"/>
      <c r="D62" s="225"/>
      <c r="E62" s="225"/>
      <c r="F62" s="225"/>
      <c r="G62" s="225"/>
      <c r="H62" s="225"/>
      <c r="I62" s="225"/>
      <c r="J62" s="185"/>
      <c r="K62" s="185"/>
      <c r="L62" s="225"/>
      <c r="M62" s="225"/>
      <c r="N62" s="225"/>
      <c r="O62" s="225"/>
      <c r="P62" s="225"/>
      <c r="R62" s="185"/>
      <c r="S62" s="178" t="str">
        <f>S4</f>
        <v>Attachment MM-CMMPA Agency</v>
      </c>
      <c r="T62" s="147"/>
      <c r="U62" s="184"/>
      <c r="V62" s="147"/>
      <c r="W62" s="145"/>
    </row>
    <row r="63" spans="1:23">
      <c r="A63" s="187"/>
      <c r="C63" s="194" t="str">
        <f>C5</f>
        <v>Formula Rate calculation</v>
      </c>
      <c r="D63" s="194"/>
      <c r="E63" s="194"/>
      <c r="F63" s="194"/>
      <c r="G63" s="194"/>
      <c r="H63" s="225"/>
      <c r="I63" s="225"/>
      <c r="J63" s="225" t="str">
        <f>J5</f>
        <v xml:space="preserve">     Rate Formula Template</v>
      </c>
      <c r="K63" s="225"/>
      <c r="L63" s="225"/>
      <c r="M63" s="225"/>
      <c r="N63" s="225"/>
      <c r="O63" s="225"/>
      <c r="P63" s="225"/>
      <c r="R63" s="185"/>
      <c r="S63" s="231" t="str">
        <f>S5</f>
        <v>For  the 12 months ended 12/31/2016</v>
      </c>
      <c r="T63" s="147"/>
      <c r="U63" s="184"/>
      <c r="V63" s="147"/>
      <c r="W63" s="145"/>
    </row>
    <row r="64" spans="1:23">
      <c r="A64" s="187"/>
      <c r="C64" s="194"/>
      <c r="D64" s="194"/>
      <c r="E64" s="194"/>
      <c r="F64" s="194"/>
      <c r="G64" s="194"/>
      <c r="H64" s="225"/>
      <c r="I64" s="225"/>
      <c r="J64" s="225" t="str">
        <f>J6</f>
        <v xml:space="preserve"> Utilizing Attachment O-CMMPA Agency</v>
      </c>
      <c r="K64" s="225"/>
      <c r="L64" s="225"/>
      <c r="M64" s="225"/>
      <c r="N64" s="225"/>
      <c r="O64" s="225"/>
      <c r="P64" s="225"/>
      <c r="Q64" s="185"/>
      <c r="R64" s="185"/>
      <c r="T64" s="147"/>
      <c r="U64" s="184"/>
      <c r="V64" s="147"/>
      <c r="W64" s="145"/>
    </row>
    <row r="65" spans="1:26" ht="14.25" customHeight="1">
      <c r="A65" s="187"/>
      <c r="C65" s="225"/>
      <c r="D65" s="225"/>
      <c r="E65" s="225"/>
      <c r="F65" s="225"/>
      <c r="G65" s="225"/>
      <c r="H65" s="225"/>
      <c r="I65" s="225"/>
      <c r="J65" s="225"/>
      <c r="K65" s="225"/>
      <c r="L65" s="225"/>
      <c r="M65" s="225"/>
      <c r="N65" s="225"/>
      <c r="O65" s="225"/>
      <c r="P65" s="225"/>
      <c r="R65" s="185"/>
      <c r="S65" s="225" t="s">
        <v>686</v>
      </c>
      <c r="T65" s="147"/>
      <c r="U65" s="184"/>
      <c r="V65" s="147"/>
      <c r="W65" s="145"/>
    </row>
    <row r="66" spans="1:26">
      <c r="A66" s="187"/>
      <c r="H66" s="225"/>
      <c r="I66" s="225"/>
      <c r="J66" s="231" t="str">
        <f>J8</f>
        <v>CMMPA Agency</v>
      </c>
      <c r="K66" s="225"/>
      <c r="L66" s="225"/>
      <c r="M66" s="225"/>
      <c r="N66" s="225"/>
      <c r="O66" s="225"/>
      <c r="P66" s="225"/>
      <c r="Q66" s="225"/>
      <c r="R66" s="185"/>
      <c r="S66" s="185"/>
      <c r="T66" s="147"/>
      <c r="U66" s="184"/>
      <c r="V66" s="147"/>
      <c r="W66" s="145"/>
    </row>
    <row r="67" spans="1:26">
      <c r="A67" s="187"/>
      <c r="H67" s="194"/>
      <c r="I67" s="194"/>
      <c r="J67" s="194"/>
      <c r="K67" s="194"/>
      <c r="L67" s="194"/>
      <c r="M67" s="194"/>
      <c r="N67" s="194"/>
      <c r="O67" s="194"/>
      <c r="P67" s="194"/>
      <c r="Q67" s="194"/>
      <c r="R67" s="194"/>
      <c r="S67" s="194"/>
      <c r="T67" s="147"/>
      <c r="U67" s="184"/>
      <c r="V67" s="147"/>
      <c r="W67" s="145"/>
    </row>
    <row r="68" spans="1:26" ht="15.75">
      <c r="A68" s="187"/>
      <c r="C68" s="225"/>
      <c r="D68" s="225"/>
      <c r="E68" s="225"/>
      <c r="F68" s="225"/>
      <c r="G68" s="225"/>
      <c r="H68" s="199" t="s">
        <v>687</v>
      </c>
      <c r="I68" s="199"/>
      <c r="L68" s="182"/>
      <c r="M68" s="182"/>
      <c r="N68" s="182"/>
      <c r="O68" s="182"/>
      <c r="P68" s="182"/>
      <c r="Q68" s="182"/>
      <c r="R68" s="185"/>
      <c r="S68" s="185"/>
      <c r="T68" s="147"/>
      <c r="U68" s="184"/>
      <c r="V68" s="147"/>
      <c r="W68" s="145"/>
    </row>
    <row r="69" spans="1:26" ht="15.75">
      <c r="A69" s="187"/>
      <c r="C69" s="225"/>
      <c r="D69" s="225"/>
      <c r="E69" s="225"/>
      <c r="F69" s="225"/>
      <c r="G69" s="225"/>
      <c r="H69" s="199"/>
      <c r="I69" s="199"/>
      <c r="L69" s="182"/>
      <c r="M69" s="182"/>
      <c r="N69" s="182"/>
      <c r="O69" s="182"/>
      <c r="P69" s="182"/>
      <c r="Q69" s="182"/>
      <c r="R69" s="185"/>
      <c r="S69" s="185"/>
      <c r="T69" s="147"/>
      <c r="U69" s="184"/>
      <c r="V69" s="147"/>
      <c r="W69" s="145"/>
    </row>
    <row r="70" spans="1:26" ht="17.25" customHeight="1">
      <c r="A70" s="232"/>
      <c r="C70" s="233" t="s">
        <v>278</v>
      </c>
      <c r="D70" s="233" t="s">
        <v>279</v>
      </c>
      <c r="E70" s="233" t="s">
        <v>280</v>
      </c>
      <c r="F70" s="233" t="s">
        <v>281</v>
      </c>
      <c r="G70" s="233" t="s">
        <v>282</v>
      </c>
      <c r="H70" s="233" t="s">
        <v>688</v>
      </c>
      <c r="I70" s="233" t="s">
        <v>689</v>
      </c>
      <c r="J70" s="233" t="s">
        <v>690</v>
      </c>
      <c r="K70" s="233" t="s">
        <v>691</v>
      </c>
      <c r="L70" s="233" t="s">
        <v>692</v>
      </c>
      <c r="M70" s="233" t="s">
        <v>693</v>
      </c>
      <c r="N70" s="233" t="s">
        <v>694</v>
      </c>
      <c r="O70" s="233" t="s">
        <v>695</v>
      </c>
      <c r="P70" s="233" t="s">
        <v>696</v>
      </c>
      <c r="Q70" s="233" t="s">
        <v>697</v>
      </c>
      <c r="R70" s="233" t="s">
        <v>698</v>
      </c>
      <c r="S70" s="233" t="s">
        <v>699</v>
      </c>
      <c r="T70" s="147"/>
      <c r="U70" s="184"/>
      <c r="V70" s="147"/>
      <c r="W70" s="145"/>
    </row>
    <row r="71" spans="1:26" ht="114.75" customHeight="1">
      <c r="A71" s="234" t="s">
        <v>0</v>
      </c>
      <c r="B71" s="235"/>
      <c r="C71" s="236" t="s">
        <v>700</v>
      </c>
      <c r="D71" s="236" t="s">
        <v>701</v>
      </c>
      <c r="E71" s="236" t="s">
        <v>702</v>
      </c>
      <c r="F71" s="236" t="s">
        <v>703</v>
      </c>
      <c r="G71" s="236" t="s">
        <v>704</v>
      </c>
      <c r="H71" s="237" t="s">
        <v>705</v>
      </c>
      <c r="I71" s="237" t="s">
        <v>706</v>
      </c>
      <c r="J71" s="238" t="s">
        <v>707</v>
      </c>
      <c r="K71" s="239" t="s">
        <v>708</v>
      </c>
      <c r="L71" s="237" t="s">
        <v>709</v>
      </c>
      <c r="M71" s="237" t="s">
        <v>710</v>
      </c>
      <c r="N71" s="237" t="s">
        <v>711</v>
      </c>
      <c r="O71" s="239" t="s">
        <v>712</v>
      </c>
      <c r="P71" s="237" t="s">
        <v>713</v>
      </c>
      <c r="Q71" s="240" t="s">
        <v>714</v>
      </c>
      <c r="R71" s="241" t="s">
        <v>715</v>
      </c>
      <c r="S71" s="240" t="s">
        <v>716</v>
      </c>
      <c r="T71" s="212"/>
      <c r="U71" s="184"/>
      <c r="V71" s="147"/>
      <c r="W71" s="145"/>
    </row>
    <row r="72" spans="1:26" ht="46.5" customHeight="1">
      <c r="A72" s="242"/>
      <c r="B72" s="243"/>
      <c r="C72" s="243" t="s">
        <v>717</v>
      </c>
      <c r="D72" s="243"/>
      <c r="E72" s="244" t="s">
        <v>250</v>
      </c>
      <c r="F72" s="243"/>
      <c r="G72" s="245" t="s">
        <v>718</v>
      </c>
      <c r="H72" s="244" t="s">
        <v>719</v>
      </c>
      <c r="I72" s="245" t="s">
        <v>720</v>
      </c>
      <c r="J72" s="244" t="s">
        <v>721</v>
      </c>
      <c r="K72" s="246" t="s">
        <v>722</v>
      </c>
      <c r="L72" s="244" t="s">
        <v>723</v>
      </c>
      <c r="M72" s="247" t="s">
        <v>724</v>
      </c>
      <c r="N72" s="247" t="s">
        <v>725</v>
      </c>
      <c r="O72" s="248" t="s">
        <v>726</v>
      </c>
      <c r="P72" s="245" t="s">
        <v>274</v>
      </c>
      <c r="Q72" s="248" t="s">
        <v>727</v>
      </c>
      <c r="R72" s="249" t="s">
        <v>728</v>
      </c>
      <c r="S72" s="250" t="s">
        <v>729</v>
      </c>
      <c r="T72" s="147"/>
      <c r="U72" s="184"/>
      <c r="V72" s="147"/>
      <c r="W72" s="145"/>
    </row>
    <row r="73" spans="1:26">
      <c r="A73" s="251" t="s">
        <v>730</v>
      </c>
      <c r="B73" s="182"/>
      <c r="C73" s="182"/>
      <c r="D73" s="182"/>
      <c r="E73" s="182"/>
      <c r="F73" s="182"/>
      <c r="G73" s="182"/>
      <c r="H73" s="182"/>
      <c r="I73" s="182"/>
      <c r="J73" s="182"/>
      <c r="K73" s="252"/>
      <c r="L73" s="182"/>
      <c r="M73" s="182"/>
      <c r="N73" s="182"/>
      <c r="O73" s="252"/>
      <c r="P73" s="182"/>
      <c r="Q73" s="252"/>
      <c r="R73" s="185"/>
      <c r="S73" s="253"/>
      <c r="T73" s="147"/>
      <c r="U73" s="184"/>
      <c r="V73" s="147"/>
      <c r="W73" s="145"/>
    </row>
    <row r="74" spans="1:26" ht="45">
      <c r="A74" s="254" t="s">
        <v>367</v>
      </c>
      <c r="C74" s="280" t="s">
        <v>751</v>
      </c>
      <c r="D74" s="186">
        <v>1203</v>
      </c>
      <c r="E74" s="255">
        <f>+'2016ActualNonlevelized-IOU12.38'!D92+'2016ActualNonlevelized-IOU12.38'!D116+'2016ActualNonlevelized-IOU12.38'!D126</f>
        <v>29523886.886923071</v>
      </c>
      <c r="F74" s="255">
        <f>+'2016ActualNonlevelized-IOU12.38'!D101</f>
        <v>1229414.6592307694</v>
      </c>
      <c r="G74" s="211">
        <f>$L$29</f>
        <v>1.5360671810937978</v>
      </c>
      <c r="H74" s="148">
        <f>F74*G74</f>
        <v>1888463.51</v>
      </c>
      <c r="I74" s="211">
        <f>$L$44</f>
        <v>1.2665227528453877E-2</v>
      </c>
      <c r="J74" s="149">
        <f>E74*I74</f>
        <v>373926.74494721653</v>
      </c>
      <c r="K74" s="278">
        <f>H74+J74</f>
        <v>2262390.2549472167</v>
      </c>
      <c r="L74" s="148">
        <f>E74-F74</f>
        <v>28294472.227692302</v>
      </c>
      <c r="M74" s="211">
        <f>$L$54</f>
        <v>6.8090409681721364E-2</v>
      </c>
      <c r="N74" s="257">
        <f>J57</f>
        <v>1.858315413334069E-2</v>
      </c>
      <c r="O74" s="258">
        <f>L74*(M74+N74)</f>
        <v>2452382.7442403897</v>
      </c>
      <c r="P74" s="255">
        <f>+'2016ActualNonlevelized-IOU12.38'!I183</f>
        <v>638579</v>
      </c>
      <c r="Q74" s="258">
        <f>K74+O74+P74</f>
        <v>5353351.9991876064</v>
      </c>
      <c r="R74" s="259">
        <v>1266736</v>
      </c>
      <c r="S74" s="260">
        <f>Q74+R74</f>
        <v>6620087.9991876064</v>
      </c>
      <c r="T74" s="261"/>
      <c r="U74" s="261"/>
      <c r="V74" s="261"/>
      <c r="W74" s="261"/>
      <c r="X74" s="261"/>
      <c r="Y74" s="261"/>
      <c r="Z74" s="261"/>
    </row>
    <row r="75" spans="1:26" ht="15.75">
      <c r="A75" s="254" t="s">
        <v>731</v>
      </c>
      <c r="C75" s="146" t="s">
        <v>732</v>
      </c>
      <c r="D75" s="186"/>
      <c r="E75" s="255">
        <v>0</v>
      </c>
      <c r="F75" s="255">
        <v>0</v>
      </c>
      <c r="G75" s="211">
        <f t="shared" ref="G75:G76" si="0">$L$29</f>
        <v>1.5360671810937978</v>
      </c>
      <c r="H75" s="148">
        <f>F75*G75</f>
        <v>0</v>
      </c>
      <c r="I75" s="211">
        <f t="shared" ref="I75:I76" si="1">$L$44</f>
        <v>1.2665227528453877E-2</v>
      </c>
      <c r="J75" s="146">
        <f>E75*I75</f>
        <v>0</v>
      </c>
      <c r="K75" s="256">
        <f>H75+J75</f>
        <v>0</v>
      </c>
      <c r="L75" s="148">
        <f>E75-F75</f>
        <v>0</v>
      </c>
      <c r="M75" s="211">
        <f t="shared" ref="M75:M76" si="2">$L$54</f>
        <v>6.8090409681721364E-2</v>
      </c>
      <c r="N75" s="257">
        <v>0</v>
      </c>
      <c r="O75" s="258">
        <f>L75*(M75+N75)</f>
        <v>0</v>
      </c>
      <c r="P75" s="255">
        <v>0</v>
      </c>
      <c r="Q75" s="258">
        <f>K75+O75+P75</f>
        <v>0</v>
      </c>
      <c r="R75" s="259">
        <v>0</v>
      </c>
      <c r="S75" s="260">
        <f>Q75+R75</f>
        <v>0</v>
      </c>
      <c r="T75" s="261"/>
      <c r="U75" s="261"/>
      <c r="V75" s="261"/>
      <c r="W75" s="261"/>
      <c r="X75" s="261"/>
      <c r="Y75" s="261"/>
      <c r="Z75" s="261"/>
    </row>
    <row r="76" spans="1:26" ht="15.75">
      <c r="A76" s="254" t="s">
        <v>733</v>
      </c>
      <c r="C76" s="146" t="s">
        <v>734</v>
      </c>
      <c r="D76" s="186"/>
      <c r="E76" s="255">
        <v>0</v>
      </c>
      <c r="F76" s="255">
        <v>0</v>
      </c>
      <c r="G76" s="211">
        <f t="shared" si="0"/>
        <v>1.5360671810937978</v>
      </c>
      <c r="H76" s="148">
        <f>F76*G76</f>
        <v>0</v>
      </c>
      <c r="I76" s="211">
        <f t="shared" si="1"/>
        <v>1.2665227528453877E-2</v>
      </c>
      <c r="J76" s="146">
        <f>E76*I76</f>
        <v>0</v>
      </c>
      <c r="K76" s="256">
        <f>H76+J76</f>
        <v>0</v>
      </c>
      <c r="L76" s="148">
        <f>E76-F76</f>
        <v>0</v>
      </c>
      <c r="M76" s="211">
        <f t="shared" si="2"/>
        <v>6.8090409681721364E-2</v>
      </c>
      <c r="N76" s="257">
        <v>0</v>
      </c>
      <c r="O76" s="258">
        <f>L76*(M76+N76)</f>
        <v>0</v>
      </c>
      <c r="P76" s="255">
        <v>0</v>
      </c>
      <c r="Q76" s="258">
        <f>K76+O76+P76</f>
        <v>0</v>
      </c>
      <c r="R76" s="255">
        <v>0</v>
      </c>
      <c r="S76" s="260">
        <f>Q76+R76</f>
        <v>0</v>
      </c>
      <c r="T76" s="261"/>
      <c r="U76" s="261"/>
      <c r="V76" s="261"/>
      <c r="W76" s="261"/>
      <c r="X76" s="261"/>
      <c r="Y76" s="261"/>
      <c r="Z76" s="261"/>
    </row>
    <row r="77" spans="1:26">
      <c r="A77" s="254"/>
      <c r="D77" s="186"/>
      <c r="K77" s="256"/>
      <c r="O77" s="256"/>
      <c r="Q77" s="256"/>
      <c r="S77" s="256"/>
      <c r="T77" s="261"/>
      <c r="U77" s="261"/>
      <c r="V77" s="261"/>
      <c r="W77" s="261"/>
      <c r="X77" s="261"/>
      <c r="Y77" s="261"/>
      <c r="Z77" s="261"/>
    </row>
    <row r="78" spans="1:26">
      <c r="A78" s="254"/>
      <c r="D78" s="186"/>
      <c r="K78" s="256"/>
      <c r="O78" s="256"/>
      <c r="Q78" s="256"/>
      <c r="S78" s="256"/>
      <c r="T78" s="261"/>
      <c r="U78" s="261"/>
      <c r="V78" s="261"/>
      <c r="W78" s="261"/>
      <c r="X78" s="261"/>
      <c r="Y78" s="261"/>
      <c r="Z78" s="261"/>
    </row>
    <row r="79" spans="1:26">
      <c r="A79" s="254"/>
      <c r="D79" s="186"/>
      <c r="K79" s="256"/>
      <c r="O79" s="256"/>
      <c r="Q79" s="256"/>
      <c r="S79" s="256"/>
      <c r="T79" s="261"/>
      <c r="U79" s="261"/>
      <c r="V79" s="261"/>
      <c r="W79" s="261"/>
      <c r="X79" s="261"/>
      <c r="Y79" s="261"/>
      <c r="Z79" s="261"/>
    </row>
    <row r="80" spans="1:26">
      <c r="A80" s="254"/>
      <c r="D80" s="186"/>
      <c r="K80" s="256"/>
      <c r="O80" s="256"/>
      <c r="Q80" s="256"/>
      <c r="S80" s="256"/>
      <c r="T80" s="261"/>
      <c r="U80" s="261"/>
      <c r="V80" s="261"/>
      <c r="W80" s="261"/>
      <c r="X80" s="261"/>
      <c r="Y80" s="261"/>
      <c r="Z80" s="261"/>
    </row>
    <row r="81" spans="1:26">
      <c r="A81" s="254"/>
      <c r="D81" s="186"/>
      <c r="K81" s="256"/>
      <c r="O81" s="256"/>
      <c r="Q81" s="256"/>
      <c r="S81" s="256"/>
      <c r="T81" s="261"/>
      <c r="U81" s="261"/>
      <c r="V81" s="261"/>
      <c r="W81" s="261"/>
      <c r="X81" s="261"/>
      <c r="Y81" s="261"/>
      <c r="Z81" s="261"/>
    </row>
    <row r="82" spans="1:26">
      <c r="A82" s="254"/>
      <c r="C82" s="261"/>
      <c r="D82" s="262"/>
      <c r="E82" s="261"/>
      <c r="F82" s="261"/>
      <c r="G82" s="261"/>
      <c r="H82" s="261"/>
      <c r="I82" s="261"/>
      <c r="J82" s="261"/>
      <c r="K82" s="263"/>
      <c r="L82" s="261"/>
      <c r="M82" s="261"/>
      <c r="N82" s="261"/>
      <c r="O82" s="263"/>
      <c r="P82" s="261"/>
      <c r="Q82" s="263"/>
      <c r="R82" s="261"/>
      <c r="S82" s="263"/>
      <c r="T82" s="261"/>
      <c r="U82" s="261"/>
      <c r="V82" s="261"/>
      <c r="W82" s="261"/>
      <c r="X82" s="261"/>
      <c r="Y82" s="261"/>
      <c r="Z82" s="261"/>
    </row>
    <row r="83" spans="1:26">
      <c r="A83" s="254"/>
      <c r="C83" s="261"/>
      <c r="D83" s="262"/>
      <c r="E83" s="261"/>
      <c r="F83" s="261"/>
      <c r="G83" s="261"/>
      <c r="H83" s="261"/>
      <c r="I83" s="261"/>
      <c r="J83" s="261"/>
      <c r="K83" s="263"/>
      <c r="L83" s="261"/>
      <c r="M83" s="261"/>
      <c r="N83" s="261"/>
      <c r="O83" s="263"/>
      <c r="P83" s="261"/>
      <c r="Q83" s="263"/>
      <c r="R83" s="261"/>
      <c r="S83" s="263"/>
      <c r="T83" s="261"/>
      <c r="U83" s="261"/>
      <c r="V83" s="261"/>
      <c r="W83" s="261"/>
      <c r="X83" s="261"/>
      <c r="Y83" s="261"/>
      <c r="Z83" s="261"/>
    </row>
    <row r="84" spans="1:26">
      <c r="A84" s="254"/>
      <c r="C84" s="261"/>
      <c r="D84" s="262"/>
      <c r="E84" s="261"/>
      <c r="F84" s="261"/>
      <c r="G84" s="261"/>
      <c r="H84" s="261"/>
      <c r="I84" s="261"/>
      <c r="J84" s="261"/>
      <c r="K84" s="263"/>
      <c r="L84" s="261"/>
      <c r="M84" s="261"/>
      <c r="N84" s="261"/>
      <c r="O84" s="263"/>
      <c r="P84" s="261"/>
      <c r="Q84" s="263"/>
      <c r="R84" s="261"/>
      <c r="S84" s="263"/>
      <c r="T84" s="261"/>
      <c r="U84" s="261"/>
      <c r="V84" s="261"/>
      <c r="W84" s="261"/>
      <c r="X84" s="261"/>
      <c r="Y84" s="261"/>
      <c r="Z84" s="261"/>
    </row>
    <row r="85" spans="1:26">
      <c r="A85" s="254"/>
      <c r="C85" s="261"/>
      <c r="D85" s="262"/>
      <c r="E85" s="261"/>
      <c r="F85" s="261"/>
      <c r="G85" s="261"/>
      <c r="H85" s="261"/>
      <c r="I85" s="261"/>
      <c r="J85" s="261"/>
      <c r="K85" s="263"/>
      <c r="L85" s="261"/>
      <c r="M85" s="261"/>
      <c r="N85" s="261"/>
      <c r="O85" s="263"/>
      <c r="P85" s="261"/>
      <c r="Q85" s="263"/>
      <c r="R85" s="261"/>
      <c r="S85" s="263"/>
      <c r="T85" s="261"/>
      <c r="U85" s="261"/>
      <c r="V85" s="261"/>
      <c r="W85" s="261"/>
      <c r="X85" s="261"/>
      <c r="Y85" s="261"/>
      <c r="Z85" s="261"/>
    </row>
    <row r="86" spans="1:26">
      <c r="A86" s="254"/>
      <c r="C86" s="261"/>
      <c r="D86" s="262"/>
      <c r="E86" s="261"/>
      <c r="F86" s="261"/>
      <c r="G86" s="261"/>
      <c r="H86" s="261"/>
      <c r="I86" s="261"/>
      <c r="J86" s="261"/>
      <c r="K86" s="263"/>
      <c r="L86" s="261"/>
      <c r="M86" s="261"/>
      <c r="N86" s="261"/>
      <c r="O86" s="263"/>
      <c r="P86" s="261"/>
      <c r="Q86" s="263"/>
      <c r="R86" s="261"/>
      <c r="S86" s="263"/>
      <c r="T86" s="261"/>
      <c r="U86" s="261"/>
      <c r="V86" s="261"/>
      <c r="W86" s="261"/>
      <c r="X86" s="261"/>
      <c r="Y86" s="261"/>
      <c r="Z86" s="261"/>
    </row>
    <row r="87" spans="1:26">
      <c r="A87" s="254"/>
      <c r="C87" s="261"/>
      <c r="D87" s="262"/>
      <c r="E87" s="261"/>
      <c r="F87" s="261"/>
      <c r="G87" s="261"/>
      <c r="H87" s="261"/>
      <c r="I87" s="261"/>
      <c r="J87" s="261"/>
      <c r="K87" s="263"/>
      <c r="L87" s="261"/>
      <c r="M87" s="261"/>
      <c r="N87" s="261"/>
      <c r="O87" s="263"/>
      <c r="P87" s="261"/>
      <c r="Q87" s="263"/>
      <c r="R87" s="261"/>
      <c r="S87" s="263"/>
      <c r="T87" s="261"/>
      <c r="U87" s="261"/>
      <c r="V87" s="261"/>
      <c r="W87" s="261"/>
      <c r="X87" s="261"/>
      <c r="Y87" s="261"/>
      <c r="Z87" s="261"/>
    </row>
    <row r="88" spans="1:26">
      <c r="A88" s="254"/>
      <c r="C88" s="261"/>
      <c r="D88" s="262"/>
      <c r="E88" s="261"/>
      <c r="F88" s="261"/>
      <c r="G88" s="261"/>
      <c r="H88" s="261"/>
      <c r="I88" s="261"/>
      <c r="J88" s="261"/>
      <c r="K88" s="263"/>
      <c r="L88" s="261"/>
      <c r="M88" s="261"/>
      <c r="N88" s="261"/>
      <c r="O88" s="263"/>
      <c r="P88" s="261"/>
      <c r="Q88" s="263"/>
      <c r="R88" s="261"/>
      <c r="S88" s="263"/>
      <c r="T88" s="261"/>
      <c r="U88" s="261"/>
      <c r="V88" s="261"/>
      <c r="W88" s="261"/>
      <c r="X88" s="261"/>
      <c r="Y88" s="261"/>
      <c r="Z88" s="261"/>
    </row>
    <row r="89" spans="1:26">
      <c r="A89" s="254"/>
      <c r="C89" s="261"/>
      <c r="D89" s="262"/>
      <c r="E89" s="261"/>
      <c r="F89" s="261"/>
      <c r="G89" s="261"/>
      <c r="H89" s="261"/>
      <c r="I89" s="261"/>
      <c r="J89" s="261"/>
      <c r="K89" s="263"/>
      <c r="L89" s="261"/>
      <c r="M89" s="261"/>
      <c r="N89" s="261"/>
      <c r="O89" s="263"/>
      <c r="P89" s="261"/>
      <c r="Q89" s="263"/>
      <c r="R89" s="261"/>
      <c r="S89" s="263"/>
      <c r="T89" s="261"/>
      <c r="U89" s="261"/>
      <c r="V89" s="261"/>
      <c r="W89" s="261"/>
      <c r="X89" s="261"/>
      <c r="Y89" s="261"/>
      <c r="Z89" s="261"/>
    </row>
    <row r="90" spans="1:26">
      <c r="A90" s="254"/>
      <c r="C90" s="261"/>
      <c r="D90" s="262"/>
      <c r="E90" s="261"/>
      <c r="F90" s="261"/>
      <c r="G90" s="261"/>
      <c r="H90" s="261"/>
      <c r="I90" s="261"/>
      <c r="J90" s="261"/>
      <c r="K90" s="263"/>
      <c r="L90" s="261"/>
      <c r="M90" s="261"/>
      <c r="N90" s="261"/>
      <c r="O90" s="263"/>
      <c r="P90" s="261"/>
      <c r="Q90" s="263"/>
      <c r="R90" s="261"/>
      <c r="S90" s="263"/>
      <c r="T90" s="261"/>
      <c r="U90" s="261"/>
      <c r="V90" s="261"/>
      <c r="W90" s="261"/>
      <c r="X90" s="261"/>
      <c r="Y90" s="261"/>
      <c r="Z90" s="261"/>
    </row>
    <row r="91" spans="1:26">
      <c r="A91" s="254"/>
      <c r="C91" s="261"/>
      <c r="D91" s="262"/>
      <c r="E91" s="261"/>
      <c r="F91" s="261"/>
      <c r="G91" s="261"/>
      <c r="H91" s="261"/>
      <c r="I91" s="261"/>
      <c r="J91" s="261"/>
      <c r="K91" s="263"/>
      <c r="L91" s="261"/>
      <c r="M91" s="261"/>
      <c r="N91" s="261"/>
      <c r="O91" s="263"/>
      <c r="P91" s="261"/>
      <c r="Q91" s="263"/>
      <c r="R91" s="261"/>
      <c r="S91" s="263"/>
      <c r="T91" s="261"/>
      <c r="U91" s="261"/>
      <c r="V91" s="261"/>
      <c r="W91" s="261"/>
      <c r="X91" s="261"/>
      <c r="Y91" s="261"/>
      <c r="Z91" s="261"/>
    </row>
    <row r="92" spans="1:26">
      <c r="A92" s="254"/>
      <c r="C92" s="261"/>
      <c r="D92" s="262"/>
      <c r="E92" s="261"/>
      <c r="F92" s="261"/>
      <c r="G92" s="261"/>
      <c r="H92" s="261"/>
      <c r="I92" s="261"/>
      <c r="J92" s="261"/>
      <c r="K92" s="263"/>
      <c r="L92" s="261"/>
      <c r="M92" s="261"/>
      <c r="N92" s="261"/>
      <c r="O92" s="263"/>
      <c r="P92" s="261"/>
      <c r="Q92" s="263"/>
      <c r="R92" s="261"/>
      <c r="S92" s="263"/>
      <c r="T92" s="261"/>
      <c r="U92" s="261"/>
      <c r="V92" s="261"/>
      <c r="W92" s="261"/>
      <c r="X92" s="261"/>
      <c r="Y92" s="261"/>
      <c r="Z92" s="261"/>
    </row>
    <row r="93" spans="1:26">
      <c r="A93" s="264"/>
      <c r="B93" s="265"/>
      <c r="C93" s="266"/>
      <c r="D93" s="266"/>
      <c r="E93" s="266"/>
      <c r="F93" s="266"/>
      <c r="G93" s="266"/>
      <c r="H93" s="266"/>
      <c r="I93" s="266"/>
      <c r="J93" s="266"/>
      <c r="K93" s="267"/>
      <c r="L93" s="266"/>
      <c r="M93" s="266"/>
      <c r="N93" s="266"/>
      <c r="O93" s="267"/>
      <c r="P93" s="266"/>
      <c r="Q93" s="267"/>
      <c r="R93" s="266"/>
      <c r="S93" s="267"/>
      <c r="T93" s="261"/>
      <c r="U93" s="261"/>
      <c r="V93" s="261"/>
      <c r="W93" s="261"/>
      <c r="X93" s="261"/>
      <c r="Y93" s="261"/>
      <c r="Z93" s="261"/>
    </row>
    <row r="94" spans="1:26">
      <c r="A94" s="193" t="s">
        <v>735</v>
      </c>
      <c r="C94" s="194" t="s">
        <v>736</v>
      </c>
      <c r="D94" s="194"/>
      <c r="E94" s="194"/>
      <c r="F94" s="194"/>
      <c r="G94" s="194"/>
      <c r="H94" s="215"/>
      <c r="I94" s="215"/>
      <c r="J94" s="185"/>
      <c r="K94" s="185"/>
      <c r="L94" s="185"/>
      <c r="M94" s="185"/>
      <c r="N94" s="185"/>
      <c r="O94" s="185"/>
      <c r="P94" s="185"/>
      <c r="Q94" s="268">
        <f>SUM(Q74:Q93)</f>
        <v>5353351.9991876064</v>
      </c>
      <c r="R94" s="268">
        <f>SUM(R74:R93)</f>
        <v>1266736</v>
      </c>
      <c r="S94" s="268">
        <f>SUM(S74:S93)</f>
        <v>6620087.9991876064</v>
      </c>
      <c r="T94" s="261"/>
      <c r="U94" s="261"/>
      <c r="V94" s="261"/>
      <c r="W94" s="261"/>
      <c r="X94" s="261"/>
      <c r="Y94" s="261"/>
      <c r="Z94" s="261"/>
    </row>
    <row r="95" spans="1:26">
      <c r="A95" s="269"/>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row>
    <row r="96" spans="1:26">
      <c r="A96" s="270">
        <v>3</v>
      </c>
      <c r="B96" s="261"/>
      <c r="C96" s="225" t="s">
        <v>737</v>
      </c>
      <c r="D96" s="225"/>
      <c r="E96" s="225"/>
      <c r="F96" s="225"/>
      <c r="G96" s="261"/>
      <c r="H96" s="261"/>
      <c r="I96" s="261"/>
      <c r="J96" s="261"/>
      <c r="K96" s="261"/>
      <c r="L96" s="261"/>
      <c r="M96" s="525">
        <f>+M74</f>
        <v>6.8090409681721364E-2</v>
      </c>
      <c r="N96" s="525">
        <f>+N74</f>
        <v>1.858315413334069E-2</v>
      </c>
      <c r="O96" s="261"/>
      <c r="P96" s="261"/>
      <c r="Q96" s="268">
        <f>Q94</f>
        <v>5353351.9991876064</v>
      </c>
      <c r="R96" s="261"/>
      <c r="S96" s="261"/>
      <c r="T96" s="261"/>
      <c r="U96" s="261"/>
      <c r="V96" s="261"/>
      <c r="W96" s="261"/>
      <c r="X96" s="261"/>
      <c r="Y96" s="261"/>
      <c r="Z96" s="261"/>
    </row>
    <row r="97" spans="1:26">
      <c r="A97" s="261"/>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row>
    <row r="98" spans="1:26">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row>
    <row r="99" spans="1:26">
      <c r="A99" s="225" t="s">
        <v>519</v>
      </c>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row>
    <row r="100" spans="1:26" ht="15.75" thickBot="1">
      <c r="A100" s="271" t="s">
        <v>520</v>
      </c>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row>
    <row r="101" spans="1:26" ht="16.5" customHeight="1">
      <c r="A101" s="272" t="s">
        <v>521</v>
      </c>
      <c r="C101" s="629" t="s">
        <v>738</v>
      </c>
      <c r="D101" s="629"/>
      <c r="E101" s="629"/>
      <c r="F101" s="629"/>
      <c r="G101" s="629"/>
      <c r="H101" s="629"/>
      <c r="I101" s="629"/>
      <c r="J101" s="629"/>
      <c r="K101" s="629"/>
      <c r="L101" s="629"/>
      <c r="M101" s="629"/>
      <c r="N101" s="629"/>
      <c r="O101" s="629"/>
      <c r="P101" s="629"/>
      <c r="Q101" s="629"/>
      <c r="R101" s="629"/>
      <c r="S101" s="629"/>
      <c r="T101" s="261"/>
      <c r="U101" s="261"/>
      <c r="V101" s="261"/>
      <c r="W101" s="261"/>
      <c r="X101" s="261"/>
      <c r="Y101" s="261"/>
      <c r="Z101" s="261"/>
    </row>
    <row r="102" spans="1:26" ht="17.100000000000001" customHeight="1">
      <c r="A102" s="272"/>
      <c r="C102" s="273" t="s">
        <v>739</v>
      </c>
      <c r="D102" s="274"/>
      <c r="E102" s="274"/>
      <c r="F102" s="274"/>
      <c r="G102" s="274"/>
      <c r="H102" s="274"/>
      <c r="I102" s="274"/>
      <c r="J102" s="274"/>
      <c r="K102" s="274"/>
      <c r="L102" s="274"/>
      <c r="M102" s="274"/>
      <c r="N102" s="274"/>
      <c r="O102" s="274"/>
      <c r="P102" s="274"/>
      <c r="Q102" s="274"/>
      <c r="R102" s="274"/>
      <c r="S102" s="274"/>
      <c r="T102" s="261"/>
      <c r="U102" s="261"/>
      <c r="V102" s="261"/>
      <c r="W102" s="261"/>
      <c r="X102" s="261"/>
      <c r="Y102" s="261"/>
      <c r="Z102" s="261"/>
    </row>
    <row r="103" spans="1:26" ht="17.100000000000001" customHeight="1">
      <c r="A103" s="272" t="s">
        <v>523</v>
      </c>
      <c r="C103" s="629" t="s">
        <v>740</v>
      </c>
      <c r="D103" s="629"/>
      <c r="E103" s="629"/>
      <c r="F103" s="629"/>
      <c r="G103" s="629"/>
      <c r="H103" s="629"/>
      <c r="I103" s="629"/>
      <c r="J103" s="629"/>
      <c r="K103" s="629"/>
      <c r="L103" s="629"/>
      <c r="M103" s="629"/>
      <c r="N103" s="629"/>
      <c r="O103" s="629"/>
      <c r="P103" s="629"/>
      <c r="Q103" s="629"/>
      <c r="R103" s="629"/>
      <c r="S103" s="629"/>
      <c r="T103" s="261"/>
      <c r="U103" s="261"/>
      <c r="V103" s="261"/>
      <c r="W103" s="261"/>
      <c r="X103" s="261"/>
      <c r="Y103" s="261"/>
      <c r="Z103" s="261"/>
    </row>
    <row r="104" spans="1:26" ht="33" customHeight="1">
      <c r="A104" s="272" t="s">
        <v>525</v>
      </c>
      <c r="C104" s="629" t="s">
        <v>741</v>
      </c>
      <c r="D104" s="629"/>
      <c r="E104" s="629"/>
      <c r="F104" s="629"/>
      <c r="G104" s="629"/>
      <c r="H104" s="629"/>
      <c r="I104" s="629"/>
      <c r="J104" s="629"/>
      <c r="K104" s="629"/>
      <c r="L104" s="629"/>
      <c r="M104" s="629"/>
      <c r="N104" s="629"/>
      <c r="O104" s="629"/>
      <c r="P104" s="629"/>
      <c r="Q104" s="629"/>
      <c r="R104" s="629"/>
      <c r="S104" s="629"/>
      <c r="T104" s="261"/>
      <c r="U104" s="261"/>
      <c r="V104" s="261"/>
      <c r="W104" s="261"/>
      <c r="X104" s="261"/>
      <c r="Y104" s="261"/>
      <c r="Z104" s="261"/>
    </row>
    <row r="105" spans="1:26" ht="17.100000000000001" customHeight="1">
      <c r="A105" s="272" t="s">
        <v>527</v>
      </c>
      <c r="C105" s="630" t="s">
        <v>742</v>
      </c>
      <c r="D105" s="630"/>
      <c r="E105" s="630"/>
      <c r="F105" s="630"/>
      <c r="G105" s="630"/>
      <c r="H105" s="630"/>
      <c r="I105" s="630"/>
      <c r="J105" s="630"/>
      <c r="K105" s="630"/>
      <c r="L105" s="630"/>
      <c r="M105" s="630"/>
      <c r="N105" s="630"/>
      <c r="O105" s="630"/>
      <c r="P105" s="630"/>
      <c r="Q105" s="630"/>
      <c r="R105" s="630"/>
      <c r="S105" s="630"/>
      <c r="T105" s="261"/>
      <c r="U105" s="261"/>
      <c r="V105" s="261"/>
      <c r="W105" s="261"/>
      <c r="X105" s="261"/>
      <c r="Y105" s="261"/>
      <c r="Z105" s="261"/>
    </row>
    <row r="106" spans="1:26" ht="15.75" customHeight="1">
      <c r="A106" s="272" t="s">
        <v>528</v>
      </c>
      <c r="C106" s="629" t="s">
        <v>743</v>
      </c>
      <c r="D106" s="629"/>
      <c r="E106" s="629"/>
      <c r="F106" s="629"/>
      <c r="G106" s="629"/>
      <c r="H106" s="629"/>
      <c r="I106" s="629"/>
      <c r="J106" s="629"/>
      <c r="K106" s="629"/>
      <c r="L106" s="629"/>
      <c r="M106" s="629"/>
      <c r="N106" s="629"/>
      <c r="O106" s="629"/>
      <c r="P106" s="629"/>
      <c r="Q106" s="629"/>
      <c r="R106" s="629"/>
      <c r="S106" s="629"/>
      <c r="T106" s="261"/>
      <c r="U106" s="261"/>
      <c r="V106" s="261"/>
      <c r="W106" s="261"/>
      <c r="X106" s="261"/>
      <c r="Y106" s="261"/>
      <c r="Z106" s="261"/>
    </row>
    <row r="107" spans="1:26" ht="17.100000000000001" customHeight="1">
      <c r="A107" s="275" t="s">
        <v>530</v>
      </c>
      <c r="C107" s="628" t="s">
        <v>744</v>
      </c>
      <c r="D107" s="628"/>
      <c r="E107" s="628"/>
      <c r="F107" s="628"/>
      <c r="G107" s="628"/>
      <c r="H107" s="628"/>
      <c r="I107" s="628"/>
      <c r="J107" s="628"/>
      <c r="K107" s="628"/>
      <c r="L107" s="628"/>
      <c r="M107" s="628"/>
      <c r="N107" s="628"/>
      <c r="O107" s="628"/>
      <c r="P107" s="628"/>
      <c r="Q107" s="628"/>
      <c r="R107" s="628"/>
      <c r="S107" s="628"/>
      <c r="T107" s="261"/>
      <c r="U107" s="261"/>
      <c r="V107" s="261"/>
      <c r="W107" s="261"/>
      <c r="X107" s="261"/>
      <c r="Y107" s="261"/>
      <c r="Z107" s="261"/>
    </row>
    <row r="108" spans="1:26" ht="17.100000000000001" customHeight="1">
      <c r="A108" s="275" t="s">
        <v>532</v>
      </c>
      <c r="C108" s="628" t="s">
        <v>745</v>
      </c>
      <c r="D108" s="628"/>
      <c r="E108" s="628"/>
      <c r="F108" s="628"/>
      <c r="G108" s="628"/>
      <c r="H108" s="628"/>
      <c r="I108" s="628"/>
      <c r="J108" s="628"/>
      <c r="K108" s="628"/>
      <c r="L108" s="628"/>
      <c r="M108" s="628"/>
      <c r="N108" s="628"/>
      <c r="O108" s="628"/>
      <c r="P108" s="628"/>
      <c r="Q108" s="628"/>
      <c r="R108" s="628"/>
      <c r="S108" s="628"/>
      <c r="T108" s="261"/>
      <c r="U108" s="261"/>
      <c r="V108" s="261"/>
      <c r="W108" s="261"/>
      <c r="X108" s="261"/>
      <c r="Y108" s="261"/>
      <c r="Z108" s="261"/>
    </row>
    <row r="109" spans="1:26" ht="17.100000000000001" customHeight="1">
      <c r="A109" s="275" t="s">
        <v>534</v>
      </c>
      <c r="C109" s="628" t="s">
        <v>746</v>
      </c>
      <c r="D109" s="628"/>
      <c r="E109" s="628"/>
      <c r="F109" s="628"/>
      <c r="G109" s="628"/>
      <c r="H109" s="628"/>
      <c r="I109" s="628"/>
      <c r="J109" s="628"/>
      <c r="K109" s="628"/>
      <c r="L109" s="628"/>
      <c r="M109" s="628"/>
      <c r="N109" s="628"/>
      <c r="O109" s="628"/>
      <c r="P109" s="628"/>
      <c r="Q109" s="628"/>
      <c r="R109" s="628"/>
      <c r="S109" s="628"/>
      <c r="T109" s="261"/>
      <c r="U109" s="261"/>
      <c r="V109" s="261"/>
      <c r="W109" s="261"/>
      <c r="X109" s="261"/>
      <c r="Y109" s="261"/>
      <c r="Z109" s="261"/>
    </row>
    <row r="110" spans="1:26" ht="17.100000000000001" customHeight="1">
      <c r="A110" s="275" t="s">
        <v>536</v>
      </c>
      <c r="B110" s="261"/>
      <c r="C110" s="276" t="s">
        <v>747</v>
      </c>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row>
    <row r="111" spans="1:26" ht="17.100000000000001" customHeight="1">
      <c r="A111" s="275" t="s">
        <v>538</v>
      </c>
      <c r="C111" s="276" t="s">
        <v>748</v>
      </c>
      <c r="D111" s="214"/>
      <c r="E111" s="215"/>
      <c r="F111" s="215"/>
      <c r="G111" s="185"/>
      <c r="H111" s="215"/>
      <c r="I111" s="215"/>
      <c r="J111" s="185"/>
      <c r="K111" s="185"/>
      <c r="L111" s="225"/>
      <c r="M111" s="225"/>
      <c r="N111" s="225"/>
      <c r="O111" s="210"/>
      <c r="P111" s="225"/>
      <c r="R111" s="185"/>
      <c r="S111" s="277"/>
      <c r="T111" s="261"/>
      <c r="U111" s="261"/>
      <c r="V111" s="261"/>
      <c r="W111" s="261"/>
      <c r="X111" s="261"/>
      <c r="Y111" s="261"/>
      <c r="Z111" s="261"/>
    </row>
    <row r="112" spans="1:26" ht="15.75">
      <c r="A112" s="275" t="s">
        <v>540</v>
      </c>
      <c r="C112" s="276" t="s">
        <v>749</v>
      </c>
      <c r="D112" s="214"/>
      <c r="E112" s="215"/>
      <c r="F112" s="215"/>
      <c r="G112" s="185"/>
      <c r="H112" s="215"/>
      <c r="I112" s="215"/>
      <c r="J112" s="185"/>
      <c r="K112" s="185"/>
      <c r="L112" s="225"/>
      <c r="M112" s="225"/>
      <c r="N112" s="225"/>
      <c r="O112" s="210"/>
      <c r="P112" s="225"/>
      <c r="R112" s="185"/>
      <c r="S112" s="208"/>
      <c r="T112" s="261"/>
      <c r="U112" s="261"/>
      <c r="V112" s="261"/>
      <c r="W112" s="261"/>
      <c r="X112" s="261"/>
      <c r="Y112" s="261"/>
      <c r="Z112" s="261"/>
    </row>
    <row r="113" spans="1:26">
      <c r="A113" s="275" t="s">
        <v>548</v>
      </c>
      <c r="C113" s="276" t="s">
        <v>750</v>
      </c>
      <c r="D113" s="214"/>
      <c r="E113" s="215"/>
      <c r="F113" s="215"/>
      <c r="G113" s="185"/>
      <c r="H113" s="261"/>
      <c r="I113" s="261"/>
      <c r="J113" s="261"/>
      <c r="K113" s="261"/>
      <c r="L113" s="261"/>
      <c r="M113" s="261"/>
      <c r="N113" s="261"/>
      <c r="O113" s="261"/>
      <c r="P113" s="261"/>
      <c r="Q113" s="261"/>
      <c r="R113" s="261"/>
      <c r="S113" s="261"/>
      <c r="T113" s="261"/>
      <c r="U113" s="261"/>
      <c r="V113" s="261"/>
      <c r="W113" s="261"/>
      <c r="X113" s="261"/>
      <c r="Y113" s="261"/>
      <c r="Z113" s="261"/>
    </row>
    <row r="114" spans="1:26">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row>
    <row r="115" spans="1:26">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row>
    <row r="116" spans="1:26">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row>
    <row r="117" spans="1:26">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row>
    <row r="118" spans="1:26">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row>
    <row r="119" spans="1:26">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row>
    <row r="120" spans="1:26">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row>
    <row r="121" spans="1:26">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row>
    <row r="122" spans="1:26">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row>
    <row r="123" spans="1:26">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row>
    <row r="124" spans="1:26">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row>
    <row r="125" spans="1:26">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row>
    <row r="126" spans="1:26">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row>
    <row r="127" spans="1:26">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row>
    <row r="128" spans="1:26">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3:26">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3:26">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3:26">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3:26">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3:26">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3:26">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3:26">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3:26">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3:26">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row>
    <row r="138" spans="3:26">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row>
    <row r="139" spans="3:26">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row>
    <row r="140" spans="3:26">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row>
    <row r="141" spans="3:26">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row>
    <row r="142" spans="3:26">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row>
    <row r="143" spans="3:26">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row>
    <row r="144" spans="3:26">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row>
    <row r="145" spans="3:26">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row>
    <row r="146" spans="3:26">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row>
    <row r="147" spans="3:26">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row>
    <row r="148" spans="3:26">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row>
    <row r="149" spans="3:26">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row>
    <row r="150" spans="3:26">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row>
    <row r="151" spans="3:26">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row>
    <row r="152" spans="3:26">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row>
    <row r="153" spans="3:26">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row>
    <row r="154" spans="3:26">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row>
    <row r="155" spans="3:26">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row>
    <row r="156" spans="3:26">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row>
    <row r="157" spans="3:26">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row>
    <row r="158" spans="3:26">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row>
    <row r="159" spans="3:26">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row>
    <row r="160" spans="3:26">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row>
    <row r="161" spans="3:26">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row>
    <row r="162" spans="3:26">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row>
    <row r="163" spans="3:26">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row>
    <row r="164" spans="3:26">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row>
    <row r="165" spans="3:26">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row>
    <row r="166" spans="3:26">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row>
    <row r="167" spans="3:26">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row>
    <row r="168" spans="3:26">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row>
    <row r="169" spans="3:26">
      <c r="C169" s="261"/>
      <c r="D169" s="261"/>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row>
    <row r="170" spans="3:26">
      <c r="C170" s="261"/>
      <c r="D170" s="261"/>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row>
    <row r="171" spans="3:26">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row>
    <row r="172" spans="3:26">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row>
    <row r="173" spans="3:26">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row>
    <row r="174" spans="3:26">
      <c r="C174" s="261"/>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row>
    <row r="175" spans="3:26">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row>
    <row r="176" spans="3:26">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row>
    <row r="177" spans="3:26">
      <c r="C177" s="261"/>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row>
    <row r="178" spans="3:26">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row>
    <row r="179" spans="3:26">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row>
    <row r="180" spans="3:26">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row>
    <row r="181" spans="3:26">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row>
    <row r="182" spans="3:26">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row>
    <row r="183" spans="3:26">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row>
    <row r="184" spans="3:26">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row>
    <row r="185" spans="3:26">
      <c r="C185" s="261"/>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row>
    <row r="186" spans="3:26">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row>
    <row r="187" spans="3:26">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row>
    <row r="188" spans="3:26">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row>
    <row r="189" spans="3:26">
      <c r="C189" s="261"/>
      <c r="D189" s="261"/>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row>
    <row r="190" spans="3:26">
      <c r="C190" s="261"/>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row>
    <row r="191" spans="3:26">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row>
    <row r="192" spans="3:26">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row>
    <row r="193" spans="3:26">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row>
    <row r="194" spans="3:26">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row>
    <row r="195" spans="3:26">
      <c r="C195" s="261"/>
      <c r="D195" s="261"/>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row>
    <row r="196" spans="3:26">
      <c r="C196" s="261"/>
      <c r="D196" s="261"/>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row>
    <row r="197" spans="3:26">
      <c r="C197" s="261"/>
      <c r="D197" s="261"/>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row>
    <row r="198" spans="3:26">
      <c r="C198" s="261"/>
      <c r="D198" s="261"/>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row>
    <row r="199" spans="3:26">
      <c r="C199" s="261"/>
      <c r="D199" s="261"/>
      <c r="E199" s="261"/>
      <c r="F199" s="261"/>
      <c r="G199" s="261"/>
      <c r="H199" s="261"/>
      <c r="I199" s="261"/>
      <c r="J199" s="261"/>
      <c r="K199" s="261"/>
      <c r="L199" s="261"/>
      <c r="M199" s="261"/>
      <c r="N199" s="261"/>
      <c r="O199" s="261"/>
      <c r="P199" s="261"/>
      <c r="Q199" s="261"/>
      <c r="R199" s="261"/>
      <c r="S199" s="261"/>
      <c r="T199" s="261"/>
      <c r="U199" s="261"/>
      <c r="V199" s="261"/>
      <c r="W199" s="261"/>
      <c r="X199" s="261"/>
      <c r="Y199" s="261"/>
      <c r="Z199" s="261"/>
    </row>
    <row r="200" spans="3:26">
      <c r="C200" s="261"/>
      <c r="D200" s="261"/>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row>
    <row r="201" spans="3:26">
      <c r="C201" s="261"/>
      <c r="D201" s="261"/>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row>
    <row r="202" spans="3:26">
      <c r="C202" s="261"/>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row>
    <row r="203" spans="3:26">
      <c r="C203" s="261"/>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row>
    <row r="204" spans="3:26">
      <c r="C204" s="261"/>
      <c r="D204" s="261"/>
      <c r="E204" s="261"/>
      <c r="F204" s="261"/>
      <c r="G204" s="261"/>
      <c r="H204" s="261"/>
      <c r="I204" s="261"/>
      <c r="J204" s="261"/>
      <c r="K204" s="261"/>
      <c r="L204" s="261"/>
      <c r="M204" s="261"/>
      <c r="N204" s="261"/>
      <c r="O204" s="261"/>
      <c r="P204" s="261"/>
      <c r="Q204" s="261"/>
      <c r="R204" s="261"/>
      <c r="S204" s="261"/>
      <c r="T204" s="261"/>
      <c r="U204" s="261"/>
      <c r="V204" s="261"/>
      <c r="W204" s="261"/>
      <c r="X204" s="261"/>
      <c r="Y204" s="261"/>
      <c r="Z204" s="261"/>
    </row>
    <row r="205" spans="3:26">
      <c r="C205" s="261"/>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row>
    <row r="206" spans="3:26">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row>
    <row r="207" spans="3:26">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row>
    <row r="208" spans="3:26">
      <c r="C208" s="261"/>
      <c r="D208" s="261"/>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row>
    <row r="209" spans="3:26">
      <c r="C209" s="261"/>
      <c r="D209" s="261"/>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row>
    <row r="210" spans="3:26">
      <c r="C210" s="261"/>
      <c r="D210" s="261"/>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row>
    <row r="211" spans="3:26">
      <c r="C211" s="261"/>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row>
    <row r="212" spans="3:26">
      <c r="C212" s="261"/>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row>
    <row r="213" spans="3:26">
      <c r="C213" s="261"/>
      <c r="D213" s="261"/>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row>
    <row r="214" spans="3:26">
      <c r="C214" s="261"/>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row>
    <row r="215" spans="3:26">
      <c r="C215" s="261"/>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row>
    <row r="216" spans="3:26">
      <c r="C216" s="261"/>
      <c r="D216" s="261"/>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row>
    <row r="217" spans="3:26">
      <c r="C217" s="261"/>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row>
    <row r="218" spans="3:26">
      <c r="C218" s="261"/>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row>
    <row r="219" spans="3:26">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row>
    <row r="220" spans="3:26">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row>
    <row r="221" spans="3:26">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row>
    <row r="222" spans="3:26">
      <c r="C222" s="261"/>
      <c r="D222" s="261"/>
      <c r="E222" s="261"/>
      <c r="F222" s="261"/>
      <c r="G222" s="261"/>
      <c r="H222" s="261"/>
      <c r="I222" s="261"/>
      <c r="J222" s="261"/>
      <c r="K222" s="261"/>
      <c r="L222" s="261"/>
      <c r="M222" s="261"/>
      <c r="N222" s="261"/>
      <c r="O222" s="261"/>
      <c r="P222" s="261"/>
      <c r="Q222" s="261"/>
      <c r="R222" s="261"/>
      <c r="S222" s="261"/>
      <c r="T222" s="261"/>
      <c r="U222" s="261"/>
      <c r="V222" s="261"/>
      <c r="W222" s="261"/>
      <c r="X222" s="261"/>
      <c r="Y222" s="261"/>
      <c r="Z222" s="261"/>
    </row>
    <row r="223" spans="3:26">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1"/>
      <c r="Y223" s="261"/>
      <c r="Z223" s="261"/>
    </row>
    <row r="224" spans="3:26">
      <c r="C224" s="261"/>
      <c r="D224" s="261"/>
      <c r="E224" s="261"/>
      <c r="F224" s="261"/>
      <c r="G224" s="261"/>
      <c r="H224" s="261"/>
      <c r="I224" s="261"/>
      <c r="J224" s="261"/>
      <c r="K224" s="261"/>
      <c r="L224" s="261"/>
      <c r="M224" s="261"/>
      <c r="N224" s="261"/>
      <c r="O224" s="261"/>
      <c r="P224" s="261"/>
      <c r="Q224" s="261"/>
      <c r="R224" s="261"/>
      <c r="S224" s="261"/>
      <c r="T224" s="261"/>
      <c r="U224" s="261"/>
      <c r="V224" s="261"/>
      <c r="W224" s="261"/>
      <c r="X224" s="261"/>
      <c r="Y224" s="261"/>
      <c r="Z224" s="261"/>
    </row>
    <row r="225" spans="3:26">
      <c r="C225" s="261"/>
      <c r="D225" s="261"/>
      <c r="E225" s="261"/>
      <c r="F225" s="261"/>
      <c r="G225" s="261"/>
      <c r="H225" s="261"/>
      <c r="I225" s="261"/>
      <c r="J225" s="261"/>
      <c r="K225" s="261"/>
      <c r="L225" s="261"/>
      <c r="M225" s="261"/>
      <c r="N225" s="261"/>
      <c r="O225" s="261"/>
      <c r="P225" s="261"/>
      <c r="Q225" s="261"/>
      <c r="R225" s="261"/>
      <c r="S225" s="261"/>
      <c r="T225" s="261"/>
      <c r="U225" s="261"/>
      <c r="V225" s="261"/>
      <c r="W225" s="261"/>
      <c r="X225" s="261"/>
      <c r="Y225" s="261"/>
      <c r="Z225" s="261"/>
    </row>
    <row r="226" spans="3:26">
      <c r="C226" s="261"/>
      <c r="D226" s="261"/>
      <c r="E226" s="261"/>
      <c r="F226" s="261"/>
      <c r="G226" s="261"/>
      <c r="H226" s="261"/>
      <c r="I226" s="261"/>
      <c r="J226" s="261"/>
      <c r="K226" s="261"/>
      <c r="L226" s="261"/>
      <c r="M226" s="261"/>
      <c r="N226" s="261"/>
      <c r="O226" s="261"/>
      <c r="P226" s="261"/>
      <c r="Q226" s="261"/>
      <c r="R226" s="261"/>
      <c r="S226" s="261"/>
      <c r="T226" s="261"/>
      <c r="U226" s="261"/>
      <c r="V226" s="261"/>
      <c r="W226" s="261"/>
      <c r="X226" s="261"/>
      <c r="Y226" s="261"/>
      <c r="Z226" s="261"/>
    </row>
    <row r="227" spans="3:26">
      <c r="C227" s="261"/>
      <c r="D227" s="261"/>
      <c r="E227" s="261"/>
      <c r="F227" s="261"/>
      <c r="G227" s="261"/>
      <c r="H227" s="261"/>
      <c r="I227" s="261"/>
      <c r="J227" s="261"/>
      <c r="K227" s="261"/>
      <c r="L227" s="261"/>
      <c r="M227" s="261"/>
      <c r="N227" s="261"/>
      <c r="O227" s="261"/>
      <c r="P227" s="261"/>
      <c r="Q227" s="261"/>
      <c r="R227" s="261"/>
      <c r="S227" s="261"/>
      <c r="T227" s="261"/>
      <c r="U227" s="261"/>
      <c r="V227" s="261"/>
      <c r="W227" s="261"/>
      <c r="X227" s="261"/>
      <c r="Y227" s="261"/>
      <c r="Z227" s="261"/>
    </row>
    <row r="228" spans="3:26">
      <c r="C228" s="261"/>
      <c r="D228" s="261"/>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row>
    <row r="229" spans="3:26">
      <c r="C229" s="261"/>
      <c r="D229" s="261"/>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row>
    <row r="230" spans="3:26">
      <c r="C230" s="261"/>
      <c r="D230" s="261"/>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row>
    <row r="231" spans="3:26">
      <c r="C231" s="261"/>
      <c r="D231" s="261"/>
      <c r="E231" s="261"/>
      <c r="F231" s="261"/>
      <c r="G231" s="261"/>
      <c r="H231" s="261"/>
      <c r="I231" s="261"/>
      <c r="J231" s="261"/>
      <c r="K231" s="261"/>
      <c r="L231" s="261"/>
      <c r="M231" s="261"/>
      <c r="N231" s="261"/>
      <c r="O231" s="261"/>
      <c r="P231" s="261"/>
      <c r="Q231" s="261"/>
      <c r="R231" s="261"/>
      <c r="S231" s="261"/>
      <c r="T231" s="261"/>
      <c r="U231" s="261"/>
      <c r="V231" s="261"/>
      <c r="W231" s="261"/>
      <c r="X231" s="261"/>
      <c r="Y231" s="261"/>
      <c r="Z231" s="261"/>
    </row>
    <row r="232" spans="3:26">
      <c r="C232" s="261"/>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row>
    <row r="233" spans="3:26">
      <c r="C233" s="261"/>
      <c r="D233" s="261"/>
      <c r="E233" s="261"/>
      <c r="F233" s="261"/>
      <c r="G233" s="261"/>
      <c r="H233" s="261"/>
      <c r="I233" s="261"/>
      <c r="J233" s="261"/>
      <c r="K233" s="261"/>
      <c r="L233" s="261"/>
      <c r="M233" s="261"/>
      <c r="N233" s="261"/>
      <c r="O233" s="261"/>
      <c r="P233" s="261"/>
      <c r="Q233" s="261"/>
      <c r="R233" s="261"/>
      <c r="S233" s="261"/>
      <c r="T233" s="261"/>
      <c r="U233" s="261"/>
      <c r="V233" s="261"/>
      <c r="W233" s="261"/>
      <c r="X233" s="261"/>
      <c r="Y233" s="261"/>
      <c r="Z233" s="261"/>
    </row>
    <row r="234" spans="3:26">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row>
    <row r="235" spans="3:26">
      <c r="C235" s="261"/>
      <c r="D235" s="261"/>
      <c r="E235" s="261"/>
      <c r="F235" s="261"/>
      <c r="G235" s="261"/>
      <c r="H235" s="261"/>
      <c r="I235" s="261"/>
      <c r="J235" s="261"/>
      <c r="K235" s="261"/>
      <c r="L235" s="261"/>
      <c r="M235" s="261"/>
      <c r="N235" s="261"/>
      <c r="O235" s="261"/>
      <c r="P235" s="261"/>
      <c r="Q235" s="261"/>
      <c r="R235" s="261"/>
      <c r="S235" s="261"/>
      <c r="T235" s="261"/>
      <c r="U235" s="261"/>
      <c r="V235" s="261"/>
      <c r="W235" s="261"/>
      <c r="X235" s="261"/>
      <c r="Y235" s="261"/>
      <c r="Z235" s="261"/>
    </row>
    <row r="236" spans="3:26">
      <c r="C236" s="261"/>
      <c r="D236" s="261"/>
      <c r="E236" s="261"/>
      <c r="F236" s="261"/>
      <c r="G236" s="261"/>
      <c r="H236" s="261"/>
      <c r="I236" s="261"/>
      <c r="J236" s="261"/>
      <c r="K236" s="261"/>
      <c r="L236" s="261"/>
      <c r="M236" s="261"/>
      <c r="N236" s="261"/>
      <c r="O236" s="261"/>
      <c r="P236" s="261"/>
      <c r="Q236" s="261"/>
      <c r="R236" s="261"/>
      <c r="S236" s="261"/>
      <c r="T236" s="261"/>
      <c r="U236" s="261"/>
      <c r="V236" s="261"/>
      <c r="W236" s="261"/>
      <c r="X236" s="261"/>
      <c r="Y236" s="261"/>
      <c r="Z236" s="261"/>
    </row>
    <row r="237" spans="3:26">
      <c r="C237" s="261"/>
      <c r="D237" s="261"/>
      <c r="E237" s="261"/>
      <c r="F237" s="261"/>
      <c r="G237" s="261"/>
      <c r="H237" s="261"/>
      <c r="I237" s="261"/>
      <c r="J237" s="261"/>
      <c r="K237" s="261"/>
      <c r="L237" s="261"/>
      <c r="M237" s="261"/>
      <c r="N237" s="261"/>
      <c r="O237" s="261"/>
      <c r="P237" s="261"/>
      <c r="Q237" s="261"/>
      <c r="R237" s="261"/>
      <c r="S237" s="261"/>
      <c r="T237" s="261"/>
      <c r="U237" s="261"/>
      <c r="V237" s="261"/>
      <c r="W237" s="261"/>
      <c r="X237" s="261"/>
      <c r="Y237" s="261"/>
      <c r="Z237" s="261"/>
    </row>
    <row r="238" spans="3:26">
      <c r="C238" s="261"/>
      <c r="D238" s="261"/>
      <c r="E238" s="261"/>
      <c r="F238" s="261"/>
      <c r="G238" s="261"/>
      <c r="H238" s="261"/>
      <c r="I238" s="261"/>
      <c r="J238" s="261"/>
      <c r="K238" s="261"/>
      <c r="L238" s="261"/>
      <c r="M238" s="261"/>
      <c r="N238" s="261"/>
      <c r="O238" s="261"/>
      <c r="P238" s="261"/>
      <c r="Q238" s="261"/>
      <c r="R238" s="261"/>
      <c r="S238" s="261"/>
      <c r="T238" s="261"/>
      <c r="U238" s="261"/>
      <c r="V238" s="261"/>
      <c r="W238" s="261"/>
      <c r="X238" s="261"/>
      <c r="Y238" s="261"/>
      <c r="Z238" s="261"/>
    </row>
    <row r="239" spans="3:26">
      <c r="C239" s="261"/>
      <c r="D239" s="261"/>
      <c r="E239" s="261"/>
      <c r="F239" s="261"/>
      <c r="G239" s="261"/>
      <c r="H239" s="261"/>
      <c r="I239" s="261"/>
      <c r="J239" s="261"/>
      <c r="K239" s="261"/>
      <c r="L239" s="261"/>
      <c r="M239" s="261"/>
      <c r="N239" s="261"/>
      <c r="O239" s="261"/>
      <c r="P239" s="261"/>
      <c r="Q239" s="261"/>
      <c r="R239" s="261"/>
      <c r="S239" s="261"/>
      <c r="T239" s="261"/>
      <c r="U239" s="261"/>
      <c r="V239" s="261"/>
      <c r="W239" s="261"/>
      <c r="X239" s="261"/>
      <c r="Y239" s="261"/>
      <c r="Z239" s="261"/>
    </row>
    <row r="240" spans="3:26">
      <c r="C240" s="261"/>
      <c r="D240" s="261"/>
      <c r="E240" s="261"/>
      <c r="F240" s="261"/>
      <c r="G240" s="261"/>
      <c r="H240" s="261"/>
      <c r="I240" s="261"/>
      <c r="J240" s="261"/>
      <c r="K240" s="261"/>
      <c r="L240" s="261"/>
      <c r="M240" s="261"/>
      <c r="N240" s="261"/>
      <c r="O240" s="261"/>
      <c r="P240" s="261"/>
      <c r="Q240" s="261"/>
      <c r="R240" s="261"/>
      <c r="S240" s="261"/>
      <c r="T240" s="261"/>
      <c r="U240" s="261"/>
      <c r="V240" s="261"/>
      <c r="W240" s="261"/>
      <c r="X240" s="261"/>
      <c r="Y240" s="261"/>
      <c r="Z240" s="261"/>
    </row>
    <row r="241" spans="3:26">
      <c r="C241" s="261"/>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61"/>
      <c r="Z241" s="261"/>
    </row>
    <row r="242" spans="3:26">
      <c r="C242" s="261"/>
      <c r="D242" s="261"/>
      <c r="E242" s="261"/>
      <c r="F242" s="261"/>
      <c r="G242" s="261"/>
      <c r="H242" s="261"/>
      <c r="I242" s="261"/>
      <c r="J242" s="261"/>
      <c r="K242" s="261"/>
      <c r="L242" s="261"/>
      <c r="M242" s="261"/>
      <c r="N242" s="261"/>
      <c r="O242" s="261"/>
      <c r="P242" s="261"/>
      <c r="Q242" s="261"/>
      <c r="R242" s="261"/>
      <c r="S242" s="261"/>
      <c r="T242" s="261"/>
      <c r="U242" s="261"/>
      <c r="V242" s="261"/>
      <c r="W242" s="261"/>
      <c r="X242" s="261"/>
      <c r="Y242" s="261"/>
      <c r="Z242" s="261"/>
    </row>
    <row r="243" spans="3:26">
      <c r="C243" s="261"/>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row>
    <row r="244" spans="3:26">
      <c r="C244" s="261"/>
      <c r="D244" s="261"/>
      <c r="E244" s="261"/>
      <c r="F244" s="261"/>
      <c r="G244" s="261"/>
      <c r="H244" s="261"/>
      <c r="I244" s="261"/>
      <c r="J244" s="261"/>
      <c r="K244" s="261"/>
      <c r="L244" s="261"/>
      <c r="M244" s="261"/>
      <c r="N244" s="261"/>
      <c r="O244" s="261"/>
      <c r="P244" s="261"/>
      <c r="Q244" s="261"/>
      <c r="R244" s="261"/>
      <c r="S244" s="261"/>
      <c r="T244" s="261"/>
      <c r="U244" s="261"/>
      <c r="V244" s="261"/>
      <c r="W244" s="261"/>
      <c r="X244" s="261"/>
      <c r="Y244" s="261"/>
      <c r="Z244" s="261"/>
    </row>
    <row r="245" spans="3:26">
      <c r="C245" s="261"/>
      <c r="D245" s="261"/>
      <c r="E245" s="261"/>
      <c r="F245" s="261"/>
      <c r="G245" s="261"/>
      <c r="H245" s="261"/>
      <c r="I245" s="261"/>
      <c r="J245" s="261"/>
      <c r="K245" s="261"/>
      <c r="L245" s="261"/>
      <c r="M245" s="261"/>
      <c r="N245" s="261"/>
      <c r="O245" s="261"/>
      <c r="P245" s="261"/>
      <c r="Q245" s="261"/>
      <c r="R245" s="261"/>
      <c r="S245" s="261"/>
      <c r="T245" s="261"/>
      <c r="U245" s="261"/>
      <c r="V245" s="261"/>
      <c r="W245" s="261"/>
      <c r="X245" s="261"/>
      <c r="Y245" s="261"/>
      <c r="Z245" s="261"/>
    </row>
    <row r="246" spans="3:26">
      <c r="C246" s="261"/>
      <c r="D246" s="261"/>
      <c r="E246" s="261"/>
      <c r="F246" s="261"/>
      <c r="G246" s="261"/>
      <c r="H246" s="261"/>
      <c r="I246" s="261"/>
      <c r="J246" s="261"/>
      <c r="K246" s="261"/>
      <c r="L246" s="261"/>
      <c r="M246" s="261"/>
      <c r="N246" s="261"/>
      <c r="O246" s="261"/>
      <c r="P246" s="261"/>
      <c r="Q246" s="261"/>
      <c r="R246" s="261"/>
      <c r="S246" s="261"/>
      <c r="T246" s="261"/>
      <c r="U246" s="261"/>
      <c r="V246" s="261"/>
      <c r="W246" s="261"/>
      <c r="X246" s="261"/>
      <c r="Y246" s="261"/>
      <c r="Z246" s="261"/>
    </row>
    <row r="247" spans="3:26">
      <c r="C247" s="261"/>
      <c r="D247" s="261"/>
      <c r="E247" s="261"/>
      <c r="F247" s="261"/>
      <c r="G247" s="261"/>
      <c r="H247" s="261"/>
      <c r="I247" s="261"/>
      <c r="J247" s="261"/>
      <c r="K247" s="261"/>
      <c r="L247" s="261"/>
      <c r="M247" s="261"/>
      <c r="N247" s="261"/>
      <c r="O247" s="261"/>
      <c r="P247" s="261"/>
      <c r="Q247" s="261"/>
      <c r="R247" s="261"/>
      <c r="S247" s="261"/>
      <c r="T247" s="261"/>
      <c r="U247" s="261"/>
      <c r="V247" s="261"/>
      <c r="W247" s="261"/>
      <c r="X247" s="261"/>
      <c r="Y247" s="261"/>
      <c r="Z247" s="261"/>
    </row>
    <row r="248" spans="3:26">
      <c r="C248" s="261"/>
      <c r="D248" s="261"/>
      <c r="E248" s="261"/>
      <c r="F248" s="261"/>
      <c r="G248" s="261"/>
      <c r="H248" s="261"/>
      <c r="I248" s="261"/>
      <c r="J248" s="261"/>
      <c r="K248" s="261"/>
      <c r="L248" s="261"/>
      <c r="M248" s="261"/>
      <c r="N248" s="261"/>
      <c r="O248" s="261"/>
      <c r="P248" s="261"/>
      <c r="Q248" s="261"/>
      <c r="R248" s="261"/>
      <c r="S248" s="261"/>
      <c r="T248" s="261"/>
      <c r="U248" s="261"/>
      <c r="V248" s="261"/>
      <c r="W248" s="261"/>
      <c r="X248" s="261"/>
      <c r="Y248" s="261"/>
      <c r="Z248" s="261"/>
    </row>
    <row r="249" spans="3:26">
      <c r="C249" s="261"/>
      <c r="D249" s="261"/>
      <c r="E249" s="261"/>
      <c r="F249" s="261"/>
      <c r="G249" s="261"/>
      <c r="H249" s="261"/>
      <c r="I249" s="261"/>
      <c r="J249" s="261"/>
      <c r="K249" s="261"/>
      <c r="L249" s="261"/>
      <c r="M249" s="261"/>
      <c r="N249" s="261"/>
      <c r="O249" s="261"/>
      <c r="P249" s="261"/>
      <c r="Q249" s="261"/>
      <c r="R249" s="261"/>
      <c r="S249" s="261"/>
      <c r="T249" s="261"/>
      <c r="U249" s="261"/>
      <c r="V249" s="261"/>
      <c r="W249" s="261"/>
      <c r="X249" s="261"/>
      <c r="Y249" s="261"/>
      <c r="Z249" s="261"/>
    </row>
    <row r="250" spans="3:26">
      <c r="C250" s="261"/>
      <c r="D250" s="261"/>
      <c r="E250" s="261"/>
      <c r="F250" s="261"/>
      <c r="G250" s="261"/>
      <c r="H250" s="261"/>
      <c r="I250" s="261"/>
      <c r="J250" s="261"/>
      <c r="K250" s="261"/>
      <c r="L250" s="261"/>
      <c r="M250" s="261"/>
      <c r="N250" s="261"/>
      <c r="O250" s="261"/>
      <c r="P250" s="261"/>
      <c r="Q250" s="261"/>
      <c r="R250" s="261"/>
      <c r="S250" s="261"/>
      <c r="T250" s="261"/>
      <c r="U250" s="261"/>
      <c r="V250" s="261"/>
      <c r="W250" s="261"/>
      <c r="X250" s="261"/>
      <c r="Y250" s="261"/>
      <c r="Z250" s="261"/>
    </row>
    <row r="251" spans="3:26">
      <c r="C251" s="261"/>
      <c r="D251" s="261"/>
      <c r="E251" s="261"/>
      <c r="F251" s="261"/>
      <c r="G251" s="261"/>
      <c r="H251" s="261"/>
      <c r="I251" s="261"/>
      <c r="J251" s="261"/>
      <c r="K251" s="261"/>
      <c r="L251" s="261"/>
      <c r="M251" s="261"/>
      <c r="N251" s="261"/>
      <c r="O251" s="261"/>
      <c r="P251" s="261"/>
      <c r="Q251" s="261"/>
      <c r="R251" s="261"/>
      <c r="S251" s="261"/>
      <c r="T251" s="261"/>
      <c r="U251" s="261"/>
      <c r="V251" s="261"/>
      <c r="W251" s="261"/>
      <c r="X251" s="261"/>
      <c r="Y251" s="261"/>
      <c r="Z251" s="261"/>
    </row>
    <row r="252" spans="3:26">
      <c r="C252" s="261"/>
      <c r="D252" s="261"/>
      <c r="E252" s="261"/>
      <c r="F252" s="261"/>
      <c r="G252" s="261"/>
      <c r="H252" s="261"/>
      <c r="I252" s="261"/>
      <c r="J252" s="261"/>
      <c r="K252" s="261"/>
      <c r="L252" s="261"/>
      <c r="M252" s="261"/>
      <c r="N252" s="261"/>
      <c r="O252" s="261"/>
      <c r="P252" s="261"/>
      <c r="Q252" s="261"/>
      <c r="R252" s="261"/>
      <c r="S252" s="261"/>
      <c r="T252" s="261"/>
      <c r="U252" s="261"/>
      <c r="V252" s="261"/>
      <c r="W252" s="261"/>
      <c r="X252" s="261"/>
      <c r="Y252" s="261"/>
      <c r="Z252" s="261"/>
    </row>
    <row r="253" spans="3:26">
      <c r="C253" s="261"/>
      <c r="D253" s="261"/>
      <c r="E253" s="261"/>
      <c r="F253" s="261"/>
      <c r="G253" s="261"/>
      <c r="H253" s="261"/>
      <c r="I253" s="261"/>
      <c r="J253" s="261"/>
      <c r="K253" s="261"/>
      <c r="L253" s="261"/>
      <c r="M253" s="261"/>
      <c r="N253" s="261"/>
      <c r="O253" s="261"/>
      <c r="P253" s="261"/>
      <c r="Q253" s="261"/>
      <c r="R253" s="261"/>
      <c r="S253" s="261"/>
      <c r="T253" s="261"/>
      <c r="U253" s="261"/>
      <c r="V253" s="261"/>
      <c r="W253" s="261"/>
      <c r="X253" s="261"/>
      <c r="Y253" s="261"/>
      <c r="Z253" s="261"/>
    </row>
    <row r="254" spans="3:26">
      <c r="C254" s="261"/>
      <c r="D254" s="261"/>
      <c r="E254" s="261"/>
      <c r="F254" s="261"/>
      <c r="G254" s="261"/>
      <c r="H254" s="261"/>
      <c r="I254" s="261"/>
      <c r="J254" s="261"/>
      <c r="K254" s="261"/>
      <c r="L254" s="261"/>
      <c r="M254" s="261"/>
      <c r="N254" s="261"/>
      <c r="O254" s="261"/>
      <c r="P254" s="261"/>
      <c r="Q254" s="261"/>
      <c r="R254" s="261"/>
      <c r="S254" s="261"/>
      <c r="T254" s="261"/>
      <c r="U254" s="261"/>
      <c r="V254" s="261"/>
      <c r="W254" s="261"/>
      <c r="X254" s="261"/>
      <c r="Y254" s="261"/>
      <c r="Z254" s="261"/>
    </row>
    <row r="255" spans="3:26">
      <c r="C255" s="261"/>
      <c r="D255" s="261"/>
      <c r="E255" s="261"/>
      <c r="F255" s="261"/>
      <c r="G255" s="261"/>
      <c r="H255" s="261"/>
      <c r="I255" s="261"/>
      <c r="J255" s="261"/>
      <c r="K255" s="261"/>
      <c r="L255" s="261"/>
      <c r="M255" s="261"/>
      <c r="N255" s="261"/>
      <c r="O255" s="261"/>
      <c r="P255" s="261"/>
      <c r="Q255" s="261"/>
      <c r="R255" s="261"/>
      <c r="S255" s="261"/>
      <c r="T255" s="261"/>
      <c r="U255" s="261"/>
      <c r="V255" s="261"/>
      <c r="W255" s="261"/>
      <c r="X255" s="261"/>
      <c r="Y255" s="261"/>
      <c r="Z255" s="261"/>
    </row>
    <row r="256" spans="3:26">
      <c r="C256" s="261"/>
      <c r="D256" s="261"/>
      <c r="E256" s="261"/>
      <c r="F256" s="261"/>
      <c r="G256" s="261"/>
      <c r="H256" s="261"/>
      <c r="I256" s="261"/>
      <c r="J256" s="261"/>
      <c r="K256" s="261"/>
      <c r="L256" s="261"/>
      <c r="M256" s="261"/>
      <c r="N256" s="261"/>
      <c r="O256" s="261"/>
      <c r="P256" s="261"/>
      <c r="Q256" s="261"/>
      <c r="R256" s="261"/>
      <c r="S256" s="261"/>
      <c r="T256" s="261"/>
      <c r="U256" s="261"/>
      <c r="V256" s="261"/>
      <c r="W256" s="261"/>
      <c r="X256" s="261"/>
      <c r="Y256" s="261"/>
      <c r="Z256" s="261"/>
    </row>
    <row r="257" spans="3:26">
      <c r="C257" s="261"/>
      <c r="D257" s="261"/>
      <c r="E257" s="261"/>
      <c r="F257" s="261"/>
      <c r="G257" s="261"/>
      <c r="H257" s="261"/>
      <c r="I257" s="261"/>
      <c r="J257" s="261"/>
      <c r="K257" s="261"/>
      <c r="L257" s="261"/>
      <c r="M257" s="261"/>
      <c r="N257" s="261"/>
      <c r="O257" s="261"/>
      <c r="P257" s="261"/>
      <c r="Q257" s="261"/>
      <c r="R257" s="261"/>
      <c r="S257" s="261"/>
      <c r="T257" s="261"/>
      <c r="U257" s="261"/>
      <c r="V257" s="261"/>
      <c r="W257" s="261"/>
      <c r="X257" s="261"/>
      <c r="Y257" s="261"/>
      <c r="Z257" s="261"/>
    </row>
    <row r="258" spans="3:26">
      <c r="C258" s="261"/>
      <c r="D258" s="261"/>
      <c r="E258" s="261"/>
      <c r="F258" s="261"/>
      <c r="G258" s="261"/>
      <c r="H258" s="261"/>
      <c r="I258" s="261"/>
      <c r="J258" s="261"/>
      <c r="K258" s="261"/>
      <c r="L258" s="261"/>
      <c r="M258" s="261"/>
      <c r="N258" s="261"/>
      <c r="O258" s="261"/>
      <c r="P258" s="261"/>
      <c r="Q258" s="261"/>
      <c r="R258" s="261"/>
      <c r="S258" s="261"/>
      <c r="T258" s="261"/>
      <c r="U258" s="261"/>
      <c r="V258" s="261"/>
      <c r="W258" s="261"/>
      <c r="X258" s="261"/>
      <c r="Y258" s="261"/>
      <c r="Z258" s="261"/>
    </row>
    <row r="259" spans="3:26">
      <c r="C259" s="261"/>
      <c r="D259" s="261"/>
      <c r="E259" s="261"/>
      <c r="F259" s="261"/>
      <c r="G259" s="261"/>
      <c r="H259" s="261"/>
      <c r="I259" s="261"/>
      <c r="J259" s="261"/>
      <c r="K259" s="261"/>
      <c r="L259" s="261"/>
      <c r="M259" s="261"/>
      <c r="N259" s="261"/>
      <c r="O259" s="261"/>
      <c r="P259" s="261"/>
      <c r="Q259" s="261"/>
      <c r="R259" s="261"/>
      <c r="S259" s="261"/>
      <c r="T259" s="261"/>
      <c r="U259" s="261"/>
      <c r="V259" s="261"/>
      <c r="W259" s="261"/>
      <c r="X259" s="261"/>
      <c r="Y259" s="261"/>
      <c r="Z259" s="261"/>
    </row>
    <row r="260" spans="3:26">
      <c r="C260" s="261"/>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row>
    <row r="261" spans="3:26">
      <c r="C261" s="261"/>
      <c r="D261" s="261"/>
      <c r="E261" s="261"/>
      <c r="F261" s="261"/>
      <c r="G261" s="261"/>
      <c r="H261" s="261"/>
      <c r="I261" s="261"/>
      <c r="J261" s="261"/>
      <c r="K261" s="261"/>
      <c r="L261" s="261"/>
      <c r="M261" s="261"/>
      <c r="N261" s="261"/>
      <c r="O261" s="261"/>
      <c r="P261" s="261"/>
      <c r="Q261" s="261"/>
      <c r="R261" s="261"/>
      <c r="S261" s="261"/>
      <c r="T261" s="261"/>
      <c r="U261" s="261"/>
      <c r="V261" s="261"/>
      <c r="W261" s="261"/>
      <c r="X261" s="261"/>
      <c r="Y261" s="261"/>
      <c r="Z261" s="261"/>
    </row>
    <row r="262" spans="3:26">
      <c r="C262" s="261"/>
      <c r="D262" s="261"/>
      <c r="E262" s="261"/>
      <c r="F262" s="261"/>
      <c r="G262" s="261"/>
      <c r="H262" s="261"/>
      <c r="I262" s="261"/>
      <c r="J262" s="261"/>
      <c r="K262" s="261"/>
      <c r="L262" s="261"/>
      <c r="M262" s="261"/>
      <c r="N262" s="261"/>
      <c r="O262" s="261"/>
      <c r="P262" s="261"/>
      <c r="Q262" s="261"/>
      <c r="R262" s="261"/>
      <c r="S262" s="261"/>
      <c r="T262" s="261"/>
      <c r="U262" s="261"/>
      <c r="V262" s="261"/>
      <c r="W262" s="261"/>
      <c r="X262" s="261"/>
      <c r="Y262" s="261"/>
      <c r="Z262" s="261"/>
    </row>
    <row r="263" spans="3:26">
      <c r="C263" s="261"/>
      <c r="D263" s="261"/>
      <c r="E263" s="261"/>
      <c r="F263" s="261"/>
      <c r="G263" s="261"/>
      <c r="H263" s="261"/>
      <c r="I263" s="261"/>
      <c r="J263" s="261"/>
      <c r="K263" s="261"/>
      <c r="L263" s="261"/>
      <c r="M263" s="261"/>
      <c r="N263" s="261"/>
      <c r="O263" s="261"/>
      <c r="P263" s="261"/>
      <c r="Q263" s="261"/>
      <c r="R263" s="261"/>
      <c r="S263" s="261"/>
      <c r="T263" s="261"/>
      <c r="U263" s="261"/>
      <c r="V263" s="261"/>
      <c r="W263" s="261"/>
      <c r="X263" s="261"/>
      <c r="Y263" s="261"/>
      <c r="Z263" s="261"/>
    </row>
    <row r="264" spans="3:26">
      <c r="C264" s="261"/>
      <c r="D264" s="261"/>
      <c r="E264" s="261"/>
      <c r="F264" s="261"/>
      <c r="G264" s="261"/>
      <c r="H264" s="261"/>
      <c r="I264" s="261"/>
      <c r="J264" s="261"/>
      <c r="K264" s="261"/>
      <c r="L264" s="261"/>
      <c r="M264" s="261"/>
      <c r="N264" s="261"/>
      <c r="O264" s="261"/>
      <c r="P264" s="261"/>
      <c r="Q264" s="261"/>
      <c r="R264" s="261"/>
      <c r="S264" s="261"/>
      <c r="T264" s="261"/>
      <c r="U264" s="261"/>
      <c r="V264" s="261"/>
      <c r="W264" s="261"/>
      <c r="X264" s="261"/>
      <c r="Y264" s="261"/>
      <c r="Z264" s="261"/>
    </row>
    <row r="265" spans="3:26">
      <c r="C265" s="261"/>
      <c r="D265" s="261"/>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row>
    <row r="266" spans="3:26">
      <c r="C266" s="261"/>
      <c r="D266" s="261"/>
      <c r="E266" s="261"/>
      <c r="F266" s="261"/>
      <c r="G266" s="261"/>
      <c r="H266" s="261"/>
      <c r="I266" s="261"/>
      <c r="J266" s="261"/>
      <c r="K266" s="261"/>
      <c r="L266" s="261"/>
      <c r="M266" s="261"/>
      <c r="N266" s="261"/>
      <c r="O266" s="261"/>
      <c r="P266" s="261"/>
      <c r="Q266" s="261"/>
      <c r="R266" s="261"/>
      <c r="S266" s="261"/>
      <c r="T266" s="261"/>
      <c r="U266" s="261"/>
      <c r="V266" s="261"/>
      <c r="W266" s="261"/>
      <c r="X266" s="261"/>
      <c r="Y266" s="261"/>
      <c r="Z266" s="261"/>
    </row>
    <row r="267" spans="3:26">
      <c r="C267" s="261"/>
      <c r="D267" s="261"/>
      <c r="E267" s="261"/>
      <c r="F267" s="261"/>
      <c r="G267" s="261"/>
      <c r="H267" s="261"/>
      <c r="I267" s="261"/>
      <c r="J267" s="261"/>
      <c r="K267" s="261"/>
      <c r="L267" s="261"/>
      <c r="M267" s="261"/>
      <c r="N267" s="261"/>
      <c r="O267" s="261"/>
      <c r="P267" s="261"/>
      <c r="Q267" s="261"/>
      <c r="R267" s="261"/>
      <c r="S267" s="261"/>
      <c r="T267" s="261"/>
      <c r="U267" s="261"/>
      <c r="V267" s="261"/>
      <c r="W267" s="261"/>
      <c r="X267" s="261"/>
      <c r="Y267" s="261"/>
      <c r="Z267" s="261"/>
    </row>
    <row r="268" spans="3:26">
      <c r="C268" s="261"/>
      <c r="D268" s="261"/>
      <c r="E268" s="261"/>
      <c r="F268" s="261"/>
      <c r="G268" s="261"/>
      <c r="H268" s="261"/>
      <c r="I268" s="261"/>
      <c r="J268" s="261"/>
      <c r="K268" s="261"/>
      <c r="L268" s="261"/>
      <c r="M268" s="261"/>
      <c r="N268" s="261"/>
      <c r="O268" s="261"/>
      <c r="P268" s="261"/>
      <c r="Q268" s="261"/>
      <c r="R268" s="261"/>
      <c r="S268" s="261"/>
      <c r="T268" s="261"/>
      <c r="U268" s="261"/>
      <c r="V268" s="261"/>
      <c r="W268" s="261"/>
      <c r="X268" s="261"/>
      <c r="Y268" s="261"/>
      <c r="Z268" s="261"/>
    </row>
    <row r="269" spans="3:26">
      <c r="C269" s="261"/>
      <c r="D269" s="261"/>
      <c r="E269" s="261"/>
      <c r="F269" s="261"/>
      <c r="G269" s="261"/>
      <c r="H269" s="261"/>
      <c r="I269" s="261"/>
      <c r="J269" s="261"/>
      <c r="K269" s="261"/>
      <c r="L269" s="261"/>
      <c r="M269" s="261"/>
      <c r="N269" s="261"/>
      <c r="O269" s="261"/>
      <c r="P269" s="261"/>
      <c r="Q269" s="261"/>
      <c r="R269" s="261"/>
      <c r="S269" s="261"/>
      <c r="T269" s="261"/>
      <c r="U269" s="261"/>
      <c r="V269" s="261"/>
      <c r="W269" s="261"/>
      <c r="X269" s="261"/>
      <c r="Y269" s="261"/>
      <c r="Z269" s="261"/>
    </row>
    <row r="270" spans="3:26">
      <c r="C270" s="261"/>
      <c r="D270" s="261"/>
      <c r="E270" s="261"/>
      <c r="F270" s="261"/>
      <c r="G270" s="261"/>
      <c r="H270" s="261"/>
      <c r="I270" s="261"/>
      <c r="J270" s="261"/>
      <c r="K270" s="261"/>
      <c r="L270" s="261"/>
      <c r="M270" s="261"/>
      <c r="N270" s="261"/>
      <c r="O270" s="261"/>
      <c r="P270" s="261"/>
      <c r="Q270" s="261"/>
      <c r="R270" s="261"/>
      <c r="S270" s="261"/>
      <c r="T270" s="261"/>
      <c r="U270" s="261"/>
      <c r="V270" s="261"/>
      <c r="W270" s="261"/>
      <c r="X270" s="261"/>
      <c r="Y270" s="261"/>
      <c r="Z270" s="261"/>
    </row>
    <row r="271" spans="3:26">
      <c r="C271" s="261"/>
      <c r="D271" s="261"/>
      <c r="E271" s="261"/>
      <c r="F271" s="261"/>
      <c r="G271" s="261"/>
      <c r="H271" s="261"/>
      <c r="I271" s="261"/>
      <c r="J271" s="261"/>
      <c r="K271" s="261"/>
      <c r="L271" s="261"/>
      <c r="M271" s="261"/>
      <c r="N271" s="261"/>
      <c r="O271" s="261"/>
      <c r="P271" s="261"/>
      <c r="Q271" s="261"/>
      <c r="R271" s="261"/>
      <c r="S271" s="261"/>
      <c r="T271" s="261"/>
      <c r="U271" s="261"/>
      <c r="V271" s="261"/>
      <c r="W271" s="261"/>
      <c r="X271" s="261"/>
      <c r="Y271" s="261"/>
      <c r="Z271" s="261"/>
    </row>
    <row r="272" spans="3:26">
      <c r="C272" s="261"/>
      <c r="D272" s="261"/>
      <c r="E272" s="261"/>
      <c r="F272" s="261"/>
      <c r="G272" s="261"/>
      <c r="H272" s="261"/>
      <c r="I272" s="261"/>
      <c r="J272" s="261"/>
      <c r="K272" s="261"/>
      <c r="L272" s="261"/>
      <c r="M272" s="261"/>
      <c r="N272" s="261"/>
      <c r="O272" s="261"/>
      <c r="P272" s="261"/>
      <c r="Q272" s="261"/>
      <c r="R272" s="261"/>
      <c r="S272" s="261"/>
      <c r="T272" s="261"/>
      <c r="U272" s="261"/>
      <c r="V272" s="261"/>
      <c r="W272" s="261"/>
      <c r="X272" s="261"/>
      <c r="Y272" s="261"/>
      <c r="Z272" s="261"/>
    </row>
    <row r="273" spans="3:26">
      <c r="C273" s="261"/>
      <c r="D273" s="261"/>
      <c r="E273" s="261"/>
      <c r="F273" s="261"/>
      <c r="G273" s="261"/>
      <c r="H273" s="261"/>
      <c r="I273" s="261"/>
      <c r="J273" s="261"/>
      <c r="K273" s="261"/>
      <c r="L273" s="261"/>
      <c r="M273" s="261"/>
      <c r="N273" s="261"/>
      <c r="O273" s="261"/>
      <c r="P273" s="261"/>
      <c r="Q273" s="261"/>
      <c r="R273" s="261"/>
      <c r="S273" s="261"/>
      <c r="T273" s="261"/>
      <c r="U273" s="261"/>
      <c r="V273" s="261"/>
      <c r="W273" s="261"/>
      <c r="X273" s="261"/>
      <c r="Y273" s="261"/>
      <c r="Z273" s="261"/>
    </row>
    <row r="274" spans="3:26">
      <c r="C274" s="261"/>
      <c r="D274" s="261"/>
      <c r="E274" s="261"/>
      <c r="F274" s="261"/>
      <c r="G274" s="261"/>
      <c r="H274" s="261"/>
      <c r="I274" s="261"/>
      <c r="J274" s="261"/>
      <c r="K274" s="261"/>
      <c r="L274" s="261"/>
      <c r="M274" s="261"/>
      <c r="N274" s="261"/>
      <c r="O274" s="261"/>
      <c r="P274" s="261"/>
      <c r="Q274" s="261"/>
      <c r="R274" s="261"/>
      <c r="S274" s="261"/>
      <c r="T274" s="261"/>
      <c r="U274" s="261"/>
      <c r="V274" s="261"/>
      <c r="W274" s="261"/>
      <c r="X274" s="261"/>
      <c r="Y274" s="261"/>
      <c r="Z274" s="261"/>
    </row>
    <row r="275" spans="3:26">
      <c r="C275" s="261"/>
      <c r="D275" s="261"/>
      <c r="E275" s="261"/>
      <c r="F275" s="261"/>
      <c r="G275" s="261"/>
      <c r="H275" s="261"/>
      <c r="I275" s="261"/>
      <c r="J275" s="261"/>
      <c r="K275" s="261"/>
      <c r="L275" s="261"/>
      <c r="M275" s="261"/>
      <c r="N275" s="261"/>
      <c r="O275" s="261"/>
      <c r="P275" s="261"/>
      <c r="Q275" s="261"/>
      <c r="R275" s="261"/>
      <c r="S275" s="261"/>
      <c r="T275" s="261"/>
      <c r="U275" s="261"/>
      <c r="V275" s="261"/>
      <c r="W275" s="261"/>
      <c r="X275" s="261"/>
      <c r="Y275" s="261"/>
      <c r="Z275" s="261"/>
    </row>
    <row r="276" spans="3:26">
      <c r="C276" s="261"/>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row>
    <row r="277" spans="3:26">
      <c r="C277" s="261"/>
      <c r="D277" s="261"/>
      <c r="E277" s="261"/>
      <c r="F277" s="261"/>
      <c r="G277" s="261"/>
      <c r="H277" s="261"/>
      <c r="I277" s="261"/>
      <c r="J277" s="261"/>
      <c r="K277" s="261"/>
      <c r="L277" s="261"/>
      <c r="M277" s="261"/>
      <c r="N277" s="261"/>
      <c r="O277" s="261"/>
      <c r="P277" s="261"/>
      <c r="Q277" s="261"/>
      <c r="R277" s="261"/>
      <c r="S277" s="261"/>
      <c r="T277" s="261"/>
      <c r="U277" s="261"/>
      <c r="V277" s="261"/>
      <c r="W277" s="261"/>
      <c r="X277" s="261"/>
      <c r="Y277" s="261"/>
      <c r="Z277" s="261"/>
    </row>
    <row r="278" spans="3:26">
      <c r="C278" s="261"/>
      <c r="D278" s="261"/>
      <c r="E278" s="261"/>
      <c r="F278" s="261"/>
      <c r="G278" s="261"/>
      <c r="H278" s="261"/>
      <c r="I278" s="261"/>
      <c r="J278" s="261"/>
      <c r="K278" s="261"/>
      <c r="L278" s="261"/>
      <c r="M278" s="261"/>
      <c r="N278" s="261"/>
      <c r="O278" s="261"/>
      <c r="P278" s="261"/>
      <c r="Q278" s="261"/>
      <c r="R278" s="261"/>
      <c r="S278" s="261"/>
      <c r="T278" s="261"/>
      <c r="U278" s="261"/>
      <c r="V278" s="261"/>
      <c r="W278" s="261"/>
      <c r="X278" s="261"/>
      <c r="Y278" s="261"/>
      <c r="Z278" s="261"/>
    </row>
    <row r="279" spans="3:26">
      <c r="C279" s="261"/>
      <c r="D279" s="261"/>
      <c r="E279" s="261"/>
      <c r="F279" s="261"/>
      <c r="G279" s="261"/>
      <c r="H279" s="261"/>
      <c r="I279" s="261"/>
      <c r="J279" s="261"/>
      <c r="K279" s="261"/>
      <c r="L279" s="261"/>
      <c r="M279" s="261"/>
      <c r="N279" s="261"/>
      <c r="O279" s="261"/>
      <c r="P279" s="261"/>
      <c r="Q279" s="261"/>
      <c r="R279" s="261"/>
      <c r="S279" s="261"/>
      <c r="T279" s="261"/>
      <c r="U279" s="261"/>
      <c r="V279" s="261"/>
      <c r="W279" s="261"/>
      <c r="X279" s="261"/>
      <c r="Y279" s="261"/>
      <c r="Z279" s="261"/>
    </row>
    <row r="280" spans="3:26">
      <c r="C280" s="261"/>
      <c r="D280" s="261"/>
      <c r="E280" s="261"/>
      <c r="F280" s="261"/>
      <c r="G280" s="261"/>
      <c r="H280" s="261"/>
      <c r="I280" s="261"/>
      <c r="J280" s="261"/>
      <c r="K280" s="261"/>
      <c r="L280" s="261"/>
      <c r="M280" s="261"/>
      <c r="N280" s="261"/>
      <c r="O280" s="261"/>
      <c r="P280" s="261"/>
      <c r="Q280" s="261"/>
      <c r="R280" s="261"/>
      <c r="S280" s="261"/>
      <c r="T280" s="261"/>
      <c r="U280" s="261"/>
      <c r="V280" s="261"/>
      <c r="W280" s="261"/>
      <c r="X280" s="261"/>
      <c r="Y280" s="261"/>
      <c r="Z280" s="261"/>
    </row>
    <row r="281" spans="3:26">
      <c r="C281" s="261"/>
      <c r="D281" s="261"/>
      <c r="E281" s="261"/>
      <c r="F281" s="261"/>
      <c r="G281" s="261"/>
      <c r="H281" s="261"/>
      <c r="I281" s="261"/>
      <c r="J281" s="261"/>
      <c r="K281" s="261"/>
      <c r="L281" s="261"/>
      <c r="M281" s="261"/>
      <c r="N281" s="261"/>
      <c r="O281" s="261"/>
      <c r="P281" s="261"/>
      <c r="Q281" s="261"/>
      <c r="R281" s="261"/>
      <c r="S281" s="261"/>
      <c r="T281" s="261"/>
      <c r="U281" s="261"/>
      <c r="V281" s="261"/>
      <c r="W281" s="261"/>
      <c r="X281" s="261"/>
      <c r="Y281" s="261"/>
      <c r="Z281" s="261"/>
    </row>
    <row r="282" spans="3:26">
      <c r="C282" s="261"/>
      <c r="D282" s="261"/>
      <c r="E282" s="261"/>
      <c r="F282" s="261"/>
      <c r="G282" s="261"/>
      <c r="H282" s="261"/>
      <c r="I282" s="261"/>
      <c r="J282" s="261"/>
      <c r="K282" s="261"/>
      <c r="L282" s="261"/>
      <c r="M282" s="261"/>
      <c r="N282" s="261"/>
      <c r="O282" s="261"/>
      <c r="P282" s="261"/>
      <c r="Q282" s="261"/>
      <c r="R282" s="261"/>
      <c r="S282" s="261"/>
      <c r="T282" s="261"/>
      <c r="U282" s="261"/>
      <c r="V282" s="261"/>
      <c r="W282" s="261"/>
      <c r="X282" s="261"/>
      <c r="Y282" s="261"/>
      <c r="Z282" s="261"/>
    </row>
    <row r="283" spans="3:26">
      <c r="C283" s="261"/>
      <c r="D283" s="261"/>
      <c r="E283" s="261"/>
      <c r="F283" s="261"/>
      <c r="G283" s="261"/>
      <c r="H283" s="261"/>
      <c r="I283" s="261"/>
      <c r="J283" s="261"/>
      <c r="K283" s="261"/>
      <c r="L283" s="261"/>
      <c r="M283" s="261"/>
      <c r="N283" s="261"/>
      <c r="O283" s="261"/>
      <c r="P283" s="261"/>
      <c r="Q283" s="261"/>
      <c r="R283" s="261"/>
      <c r="S283" s="261"/>
      <c r="T283" s="261"/>
      <c r="U283" s="261"/>
      <c r="V283" s="261"/>
      <c r="W283" s="261"/>
      <c r="X283" s="261"/>
      <c r="Y283" s="261"/>
      <c r="Z283" s="261"/>
    </row>
    <row r="284" spans="3:26">
      <c r="C284" s="261"/>
      <c r="D284" s="261"/>
      <c r="E284" s="261"/>
      <c r="F284" s="261"/>
      <c r="G284" s="261"/>
      <c r="H284" s="261"/>
      <c r="I284" s="261"/>
      <c r="J284" s="261"/>
      <c r="K284" s="261"/>
      <c r="L284" s="261"/>
      <c r="M284" s="261"/>
      <c r="N284" s="261"/>
      <c r="O284" s="261"/>
      <c r="P284" s="261"/>
      <c r="Q284" s="261"/>
      <c r="R284" s="261"/>
      <c r="S284" s="261"/>
      <c r="T284" s="261"/>
      <c r="U284" s="261"/>
      <c r="V284" s="261"/>
      <c r="W284" s="261"/>
      <c r="X284" s="261"/>
      <c r="Y284" s="261"/>
      <c r="Z284" s="261"/>
    </row>
    <row r="285" spans="3:26">
      <c r="C285" s="261"/>
      <c r="D285" s="261"/>
      <c r="E285" s="261"/>
      <c r="F285" s="261"/>
      <c r="G285" s="261"/>
      <c r="H285" s="261"/>
      <c r="I285" s="261"/>
      <c r="J285" s="261"/>
      <c r="K285" s="261"/>
      <c r="L285" s="261"/>
      <c r="M285" s="261"/>
      <c r="N285" s="261"/>
      <c r="O285" s="261"/>
      <c r="P285" s="261"/>
      <c r="Q285" s="261"/>
      <c r="R285" s="261"/>
      <c r="S285" s="261"/>
      <c r="T285" s="261"/>
      <c r="U285" s="261"/>
      <c r="V285" s="261"/>
      <c r="W285" s="261"/>
      <c r="X285" s="261"/>
      <c r="Y285" s="261"/>
      <c r="Z285" s="261"/>
    </row>
    <row r="286" spans="3:26">
      <c r="C286" s="261"/>
      <c r="D286" s="261"/>
      <c r="E286" s="261"/>
      <c r="F286" s="261"/>
      <c r="G286" s="261"/>
      <c r="H286" s="261"/>
      <c r="I286" s="261"/>
      <c r="J286" s="261"/>
      <c r="K286" s="261"/>
      <c r="L286" s="261"/>
      <c r="M286" s="261"/>
      <c r="N286" s="261"/>
      <c r="O286" s="261"/>
      <c r="P286" s="261"/>
      <c r="Q286" s="261"/>
      <c r="R286" s="261"/>
      <c r="S286" s="261"/>
      <c r="T286" s="261"/>
      <c r="U286" s="261"/>
      <c r="V286" s="261"/>
      <c r="W286" s="261"/>
      <c r="X286" s="261"/>
      <c r="Y286" s="261"/>
      <c r="Z286" s="261"/>
    </row>
    <row r="287" spans="3:26">
      <c r="C287" s="261"/>
      <c r="D287" s="261"/>
      <c r="E287" s="261"/>
      <c r="F287" s="261"/>
      <c r="G287" s="261"/>
      <c r="H287" s="261"/>
      <c r="I287" s="261"/>
      <c r="J287" s="261"/>
      <c r="K287" s="261"/>
      <c r="L287" s="261"/>
      <c r="M287" s="261"/>
      <c r="N287" s="261"/>
      <c r="O287" s="261"/>
      <c r="P287" s="261"/>
      <c r="Q287" s="261"/>
      <c r="R287" s="261"/>
      <c r="S287" s="261"/>
      <c r="T287" s="261"/>
      <c r="U287" s="261"/>
      <c r="V287" s="261"/>
      <c r="W287" s="261"/>
      <c r="X287" s="261"/>
      <c r="Y287" s="261"/>
      <c r="Z287" s="261"/>
    </row>
    <row r="288" spans="3:26">
      <c r="C288" s="261"/>
      <c r="D288" s="261"/>
      <c r="E288" s="261"/>
      <c r="F288" s="261"/>
      <c r="G288" s="261"/>
      <c r="H288" s="261"/>
      <c r="I288" s="261"/>
      <c r="J288" s="261"/>
      <c r="K288" s="261"/>
      <c r="L288" s="261"/>
      <c r="M288" s="261"/>
      <c r="N288" s="261"/>
      <c r="O288" s="261"/>
      <c r="P288" s="261"/>
      <c r="Q288" s="261"/>
      <c r="R288" s="261"/>
      <c r="S288" s="261"/>
      <c r="T288" s="261"/>
      <c r="U288" s="261"/>
      <c r="V288" s="261"/>
      <c r="W288" s="261"/>
      <c r="X288" s="261"/>
      <c r="Y288" s="261"/>
      <c r="Z288" s="261"/>
    </row>
    <row r="289" spans="3:26">
      <c r="C289" s="261"/>
      <c r="D289" s="261"/>
      <c r="E289" s="261"/>
      <c r="F289" s="261"/>
      <c r="G289" s="261"/>
      <c r="H289" s="261"/>
      <c r="I289" s="261"/>
      <c r="J289" s="261"/>
      <c r="K289" s="261"/>
      <c r="L289" s="261"/>
      <c r="M289" s="261"/>
      <c r="N289" s="261"/>
      <c r="O289" s="261"/>
      <c r="P289" s="261"/>
      <c r="Q289" s="261"/>
      <c r="R289" s="261"/>
      <c r="S289" s="261"/>
      <c r="T289" s="261"/>
      <c r="U289" s="261"/>
      <c r="V289" s="261"/>
      <c r="W289" s="261"/>
      <c r="X289" s="261"/>
      <c r="Y289" s="261"/>
      <c r="Z289" s="261"/>
    </row>
    <row r="290" spans="3:26">
      <c r="C290" s="261"/>
      <c r="D290" s="261"/>
      <c r="E290" s="261"/>
      <c r="F290" s="261"/>
      <c r="G290" s="261"/>
      <c r="H290" s="261"/>
      <c r="I290" s="261"/>
      <c r="J290" s="261"/>
      <c r="K290" s="261"/>
      <c r="L290" s="261"/>
      <c r="M290" s="261"/>
      <c r="N290" s="261"/>
      <c r="O290" s="261"/>
      <c r="P290" s="261"/>
      <c r="Q290" s="261"/>
      <c r="R290" s="261"/>
      <c r="S290" s="261"/>
      <c r="T290" s="261"/>
      <c r="U290" s="261"/>
      <c r="V290" s="261"/>
      <c r="W290" s="261"/>
      <c r="X290" s="261"/>
      <c r="Y290" s="261"/>
      <c r="Z290" s="261"/>
    </row>
    <row r="291" spans="3:26">
      <c r="C291" s="261"/>
      <c r="D291" s="261"/>
      <c r="E291" s="261"/>
      <c r="F291" s="261"/>
      <c r="G291" s="261"/>
      <c r="H291" s="261"/>
      <c r="I291" s="261"/>
      <c r="J291" s="261"/>
      <c r="K291" s="261"/>
      <c r="L291" s="261"/>
      <c r="M291" s="261"/>
      <c r="N291" s="261"/>
      <c r="O291" s="261"/>
      <c r="P291" s="261"/>
      <c r="Q291" s="261"/>
      <c r="R291" s="261"/>
      <c r="S291" s="261"/>
      <c r="T291" s="261"/>
      <c r="U291" s="261"/>
      <c r="V291" s="261"/>
      <c r="W291" s="261"/>
      <c r="X291" s="261"/>
      <c r="Y291" s="261"/>
      <c r="Z291" s="261"/>
    </row>
    <row r="292" spans="3:26">
      <c r="C292" s="261"/>
      <c r="D292" s="261"/>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row>
    <row r="293" spans="3:26">
      <c r="C293" s="261"/>
      <c r="D293" s="261"/>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row>
    <row r="294" spans="3:26">
      <c r="C294" s="261"/>
      <c r="D294" s="261"/>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row>
    <row r="295" spans="3:26">
      <c r="C295" s="261"/>
      <c r="D295" s="261"/>
      <c r="E295" s="261"/>
      <c r="F295" s="261"/>
      <c r="G295" s="261"/>
      <c r="H295" s="261"/>
      <c r="I295" s="261"/>
      <c r="J295" s="261"/>
      <c r="K295" s="261"/>
      <c r="L295" s="261"/>
      <c r="M295" s="261"/>
      <c r="N295" s="261"/>
      <c r="O295" s="261"/>
      <c r="P295" s="261"/>
      <c r="Q295" s="261"/>
      <c r="R295" s="261"/>
      <c r="S295" s="261"/>
      <c r="T295" s="261"/>
      <c r="U295" s="261"/>
      <c r="V295" s="261"/>
      <c r="W295" s="261"/>
      <c r="X295" s="261"/>
      <c r="Y295" s="261"/>
      <c r="Z295" s="261"/>
    </row>
    <row r="296" spans="3:26">
      <c r="C296" s="261"/>
      <c r="D296" s="261"/>
      <c r="E296" s="261"/>
      <c r="F296" s="261"/>
      <c r="G296" s="261"/>
      <c r="H296" s="261"/>
      <c r="I296" s="261"/>
      <c r="J296" s="261"/>
      <c r="K296" s="261"/>
      <c r="L296" s="261"/>
      <c r="M296" s="261"/>
      <c r="N296" s="261"/>
      <c r="O296" s="261"/>
      <c r="P296" s="261"/>
      <c r="Q296" s="261"/>
      <c r="R296" s="261"/>
      <c r="S296" s="261"/>
      <c r="T296" s="261"/>
      <c r="U296" s="261"/>
      <c r="V296" s="261"/>
      <c r="W296" s="261"/>
      <c r="X296" s="261"/>
      <c r="Y296" s="261"/>
      <c r="Z296" s="261"/>
    </row>
    <row r="297" spans="3:26">
      <c r="C297" s="261"/>
      <c r="D297" s="261"/>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row>
    <row r="298" spans="3:26">
      <c r="C298" s="261"/>
      <c r="D298" s="261"/>
      <c r="E298" s="261"/>
      <c r="F298" s="261"/>
      <c r="G298" s="261"/>
      <c r="H298" s="261"/>
      <c r="I298" s="261"/>
      <c r="J298" s="261"/>
      <c r="K298" s="261"/>
      <c r="L298" s="261"/>
      <c r="M298" s="261"/>
      <c r="N298" s="261"/>
      <c r="O298" s="261"/>
      <c r="P298" s="261"/>
      <c r="Q298" s="261"/>
      <c r="R298" s="261"/>
      <c r="S298" s="261"/>
      <c r="T298" s="261"/>
      <c r="U298" s="261"/>
      <c r="V298" s="261"/>
      <c r="W298" s="261"/>
      <c r="X298" s="261"/>
      <c r="Y298" s="261"/>
      <c r="Z298" s="261"/>
    </row>
    <row r="299" spans="3:26">
      <c r="C299" s="261"/>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row>
    <row r="300" spans="3:26">
      <c r="C300" s="261"/>
      <c r="D300" s="261"/>
      <c r="E300" s="261"/>
      <c r="F300" s="261"/>
      <c r="G300" s="261"/>
      <c r="H300" s="261"/>
      <c r="I300" s="261"/>
      <c r="J300" s="261"/>
      <c r="K300" s="261"/>
      <c r="L300" s="261"/>
      <c r="M300" s="261"/>
      <c r="N300" s="261"/>
      <c r="O300" s="261"/>
      <c r="P300" s="261"/>
      <c r="Q300" s="261"/>
      <c r="R300" s="261"/>
      <c r="S300" s="261"/>
      <c r="T300" s="261"/>
      <c r="U300" s="261"/>
      <c r="V300" s="261"/>
      <c r="W300" s="261"/>
      <c r="X300" s="261"/>
      <c r="Y300" s="261"/>
      <c r="Z300" s="261"/>
    </row>
    <row r="301" spans="3:26">
      <c r="C301" s="261"/>
      <c r="D301" s="261"/>
      <c r="E301" s="261"/>
      <c r="F301" s="261"/>
      <c r="G301" s="261"/>
      <c r="H301" s="261"/>
      <c r="I301" s="261"/>
      <c r="J301" s="261"/>
      <c r="K301" s="261"/>
      <c r="L301" s="261"/>
      <c r="M301" s="261"/>
      <c r="N301" s="261"/>
      <c r="O301" s="261"/>
      <c r="P301" s="261"/>
      <c r="Q301" s="261"/>
      <c r="R301" s="261"/>
      <c r="S301" s="261"/>
    </row>
    <row r="302" spans="3:26">
      <c r="C302" s="261"/>
      <c r="D302" s="261"/>
      <c r="E302" s="261"/>
      <c r="F302" s="261"/>
      <c r="G302" s="261"/>
      <c r="H302" s="261"/>
      <c r="I302" s="261"/>
      <c r="J302" s="261"/>
      <c r="K302" s="261"/>
      <c r="L302" s="261"/>
      <c r="M302" s="261"/>
      <c r="N302" s="261"/>
      <c r="O302" s="261"/>
      <c r="P302" s="261"/>
      <c r="Q302" s="261"/>
      <c r="R302" s="261"/>
      <c r="S302" s="261"/>
    </row>
    <row r="303" spans="3:26">
      <c r="C303" s="261"/>
      <c r="D303" s="261"/>
      <c r="E303" s="261"/>
      <c r="F303" s="261"/>
      <c r="G303" s="261"/>
      <c r="H303" s="261"/>
      <c r="I303" s="261"/>
      <c r="J303" s="261"/>
      <c r="K303" s="261"/>
      <c r="L303" s="261"/>
      <c r="M303" s="261"/>
      <c r="N303" s="261"/>
      <c r="O303" s="261"/>
      <c r="P303" s="261"/>
      <c r="Q303" s="261"/>
      <c r="R303" s="261"/>
      <c r="S303" s="261"/>
    </row>
    <row r="304" spans="3:26">
      <c r="C304" s="261"/>
      <c r="D304" s="261"/>
      <c r="E304" s="261"/>
      <c r="F304" s="261"/>
      <c r="G304" s="261"/>
      <c r="H304" s="261"/>
      <c r="I304" s="261"/>
      <c r="J304" s="261"/>
      <c r="K304" s="261"/>
      <c r="L304" s="261"/>
      <c r="M304" s="261"/>
      <c r="N304" s="261"/>
      <c r="O304" s="261"/>
      <c r="P304" s="261"/>
      <c r="Q304" s="261"/>
      <c r="R304" s="261"/>
      <c r="S304" s="261"/>
    </row>
    <row r="305" spans="3:19">
      <c r="C305" s="261"/>
      <c r="D305" s="261"/>
      <c r="E305" s="261"/>
      <c r="F305" s="261"/>
      <c r="G305" s="261"/>
      <c r="H305" s="261"/>
      <c r="I305" s="261"/>
      <c r="J305" s="261"/>
      <c r="K305" s="261"/>
      <c r="L305" s="261"/>
      <c r="M305" s="261"/>
      <c r="N305" s="261"/>
      <c r="O305" s="261"/>
      <c r="P305" s="261"/>
      <c r="Q305" s="261"/>
      <c r="R305" s="261"/>
      <c r="S305" s="261"/>
    </row>
    <row r="306" spans="3:19">
      <c r="C306" s="261"/>
      <c r="D306" s="261"/>
      <c r="E306" s="261"/>
      <c r="F306" s="261"/>
      <c r="G306" s="261"/>
      <c r="H306" s="261"/>
      <c r="I306" s="261"/>
      <c r="J306" s="261"/>
      <c r="K306" s="261"/>
      <c r="L306" s="261"/>
      <c r="M306" s="261"/>
      <c r="N306" s="261"/>
      <c r="O306" s="261"/>
      <c r="P306" s="261"/>
      <c r="Q306" s="261"/>
      <c r="R306" s="261"/>
      <c r="S306" s="261"/>
    </row>
    <row r="307" spans="3:19">
      <c r="C307" s="261"/>
      <c r="D307" s="261"/>
      <c r="E307" s="261"/>
      <c r="F307" s="261"/>
      <c r="G307" s="261"/>
      <c r="H307" s="261"/>
      <c r="I307" s="261"/>
      <c r="J307" s="261"/>
      <c r="K307" s="261"/>
      <c r="L307" s="261"/>
      <c r="M307" s="261"/>
      <c r="N307" s="261"/>
      <c r="O307" s="261"/>
      <c r="P307" s="261"/>
      <c r="Q307" s="261"/>
      <c r="R307" s="261"/>
      <c r="S307" s="261"/>
    </row>
    <row r="308" spans="3:19">
      <c r="C308" s="261"/>
      <c r="D308" s="261"/>
      <c r="E308" s="261"/>
      <c r="F308" s="261"/>
      <c r="G308" s="261"/>
      <c r="H308" s="261"/>
      <c r="I308" s="261"/>
      <c r="J308" s="261"/>
      <c r="K308" s="261"/>
      <c r="L308" s="261"/>
      <c r="M308" s="261"/>
      <c r="N308" s="261"/>
      <c r="O308" s="261"/>
      <c r="P308" s="261"/>
      <c r="Q308" s="261"/>
      <c r="R308" s="261"/>
      <c r="S308" s="261"/>
    </row>
  </sheetData>
  <mergeCells count="8">
    <mergeCell ref="C108:S108"/>
    <mergeCell ref="C109:S109"/>
    <mergeCell ref="C101:S101"/>
    <mergeCell ref="C103:S103"/>
    <mergeCell ref="C104:S104"/>
    <mergeCell ref="C105:S105"/>
    <mergeCell ref="C106:S106"/>
    <mergeCell ref="C107:S107"/>
  </mergeCells>
  <printOptions horizontalCentered="1"/>
  <pageMargins left="0.25" right="0.25" top="0.77" bottom="0.75" header="0.25" footer="0.25"/>
  <pageSetup scale="44" fitToHeight="2" orientation="landscape" horizontalDpi="300" verticalDpi="300" r:id="rId1"/>
  <headerFooter alignWithMargins="0"/>
  <rowBreaks count="1" manualBreakCount="1">
    <brk id="61" max="1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3"/>
  <sheetViews>
    <sheetView workbookViewId="0"/>
  </sheetViews>
  <sheetFormatPr defaultRowHeight="15"/>
  <cols>
    <col min="1" max="1" width="9.140625" style="569"/>
    <col min="2" max="2" width="22" style="569" customWidth="1"/>
    <col min="3" max="3" width="9.140625" style="569"/>
    <col min="4" max="5" width="11.7109375" style="569" customWidth="1"/>
    <col min="6" max="6" width="11.5703125" style="569" customWidth="1"/>
    <col min="7" max="8" width="10.140625" style="569" customWidth="1"/>
    <col min="9" max="9" width="29.28515625" style="569" customWidth="1"/>
    <col min="10" max="16384" width="9.140625" style="569"/>
  </cols>
  <sheetData>
    <row r="1" spans="1:9">
      <c r="A1" s="570" t="s">
        <v>849</v>
      </c>
      <c r="B1" s="571"/>
      <c r="C1" s="571"/>
      <c r="D1" s="571"/>
      <c r="E1" s="571"/>
      <c r="F1" s="571"/>
      <c r="G1" s="571"/>
      <c r="H1" s="571"/>
      <c r="I1" s="571"/>
    </row>
    <row r="2" spans="1:9">
      <c r="A2" s="572" t="s">
        <v>850</v>
      </c>
      <c r="B2" s="571"/>
      <c r="C2" s="571"/>
      <c r="D2" s="571"/>
      <c r="E2" s="571"/>
      <c r="F2" s="571"/>
      <c r="G2" s="571"/>
      <c r="H2" s="571"/>
      <c r="I2" s="571"/>
    </row>
    <row r="3" spans="1:9">
      <c r="A3" s="570" t="s">
        <v>851</v>
      </c>
      <c r="B3" s="571"/>
      <c r="C3" s="571"/>
      <c r="D3" s="571"/>
      <c r="E3" s="571"/>
      <c r="F3" s="571"/>
      <c r="G3" s="571"/>
      <c r="H3" s="571"/>
      <c r="I3" s="571"/>
    </row>
    <row r="5" spans="1:9">
      <c r="A5" s="573" t="s">
        <v>852</v>
      </c>
    </row>
    <row r="6" spans="1:9">
      <c r="A6" s="574" t="s">
        <v>853</v>
      </c>
    </row>
    <row r="7" spans="1:9">
      <c r="A7" s="574" t="s">
        <v>854</v>
      </c>
    </row>
    <row r="8" spans="1:9">
      <c r="A8" s="575" t="s">
        <v>855</v>
      </c>
    </row>
    <row r="9" spans="1:9">
      <c r="A9" s="576" t="s">
        <v>856</v>
      </c>
    </row>
    <row r="10" spans="1:9">
      <c r="A10" s="577" t="s">
        <v>857</v>
      </c>
    </row>
    <row r="11" spans="1:9">
      <c r="A11" s="577"/>
    </row>
    <row r="12" spans="1:9" ht="30" customHeight="1">
      <c r="A12" s="578"/>
      <c r="B12" s="579"/>
      <c r="C12" s="580"/>
      <c r="D12" s="580"/>
      <c r="E12" s="580"/>
      <c r="F12" s="580"/>
      <c r="G12" s="580" t="s">
        <v>858</v>
      </c>
      <c r="H12" s="580" t="s">
        <v>858</v>
      </c>
      <c r="I12" s="580" t="s">
        <v>859</v>
      </c>
    </row>
    <row r="13" spans="1:9">
      <c r="A13" s="578" t="s">
        <v>860</v>
      </c>
      <c r="B13" s="579"/>
      <c r="C13" s="581"/>
      <c r="D13" s="581"/>
      <c r="E13" s="581"/>
      <c r="F13" s="581"/>
      <c r="G13" s="581">
        <v>0.12379999999999999</v>
      </c>
      <c r="H13" s="581">
        <v>0.1082</v>
      </c>
      <c r="I13" s="580" t="s">
        <v>861</v>
      </c>
    </row>
    <row r="14" spans="1:9">
      <c r="A14" s="631" t="s">
        <v>862</v>
      </c>
      <c r="B14" s="632"/>
      <c r="C14" s="582"/>
      <c r="D14" s="582"/>
      <c r="E14" s="582"/>
      <c r="F14" s="582"/>
      <c r="G14" s="582">
        <v>5353352</v>
      </c>
      <c r="H14" s="582">
        <v>5130928</v>
      </c>
      <c r="I14" s="579"/>
    </row>
    <row r="15" spans="1:9">
      <c r="A15" s="583" t="s">
        <v>863</v>
      </c>
      <c r="B15" s="579"/>
      <c r="C15" s="584"/>
      <c r="D15" s="584"/>
      <c r="E15" s="584"/>
      <c r="F15" s="584"/>
      <c r="G15" s="584">
        <v>0.74039999999999995</v>
      </c>
      <c r="H15" s="584">
        <v>0.2596</v>
      </c>
      <c r="I15" s="579"/>
    </row>
    <row r="16" spans="1:9">
      <c r="A16" s="583" t="s">
        <v>847</v>
      </c>
      <c r="B16" s="585"/>
      <c r="C16" s="586"/>
      <c r="D16" s="586"/>
      <c r="E16" s="586"/>
      <c r="F16" s="586"/>
      <c r="G16" s="586">
        <f>ROUND(G14*G15,0)</f>
        <v>3963622</v>
      </c>
      <c r="H16" s="586">
        <f>ROUND(H14*H15,0)</f>
        <v>1331989</v>
      </c>
      <c r="I16" s="587">
        <f>ROUND(G16+H16,0)</f>
        <v>5295611</v>
      </c>
    </row>
    <row r="17" spans="1:9">
      <c r="A17" s="583"/>
      <c r="B17" s="585"/>
      <c r="C17" s="586"/>
      <c r="D17" s="586"/>
      <c r="E17" s="586"/>
      <c r="F17" s="586"/>
      <c r="G17" s="586"/>
      <c r="H17" s="586"/>
      <c r="I17" s="587"/>
    </row>
    <row r="18" spans="1:9">
      <c r="A18" s="583" t="s">
        <v>864</v>
      </c>
      <c r="B18" s="579"/>
      <c r="C18" s="588"/>
      <c r="D18" s="579"/>
      <c r="E18" s="588"/>
      <c r="F18" s="579"/>
      <c r="G18" s="588"/>
      <c r="H18" s="579"/>
      <c r="I18" s="589">
        <f>6090419.66-1266736</f>
        <v>4823683.66</v>
      </c>
    </row>
    <row r="19" spans="1:9">
      <c r="A19" s="583"/>
      <c r="B19" s="579"/>
      <c r="C19" s="590"/>
      <c r="D19" s="579"/>
      <c r="E19" s="590"/>
      <c r="F19" s="579"/>
      <c r="G19" s="590"/>
      <c r="H19" s="579"/>
      <c r="I19" s="579"/>
    </row>
    <row r="20" spans="1:9">
      <c r="A20" s="578" t="s">
        <v>865</v>
      </c>
      <c r="B20" s="579"/>
      <c r="C20" s="590"/>
      <c r="D20" s="579"/>
      <c r="E20" s="590"/>
      <c r="F20" s="579"/>
      <c r="G20" s="590"/>
      <c r="H20" s="579"/>
      <c r="I20" s="591">
        <f>ROUND(I16-I18,0)</f>
        <v>471927</v>
      </c>
    </row>
    <row r="21" spans="1:9">
      <c r="A21" s="583"/>
      <c r="B21" s="579"/>
      <c r="C21" s="590"/>
      <c r="D21" s="579"/>
      <c r="E21" s="590"/>
      <c r="F21" s="579"/>
      <c r="G21" s="590"/>
      <c r="H21" s="579"/>
      <c r="I21" s="579">
        <v>0.29210000000000003</v>
      </c>
    </row>
    <row r="22" spans="1:9">
      <c r="A22" s="583" t="s">
        <v>866</v>
      </c>
      <c r="B22" s="579"/>
      <c r="C22" s="590"/>
      <c r="D22" s="579"/>
      <c r="E22" s="590"/>
      <c r="F22" s="579"/>
      <c r="G22" s="590"/>
      <c r="H22" s="579"/>
      <c r="I22" s="592">
        <v>2.921E-3</v>
      </c>
    </row>
    <row r="23" spans="1:9">
      <c r="A23" s="583" t="s">
        <v>867</v>
      </c>
      <c r="B23" s="579"/>
      <c r="C23" s="590"/>
      <c r="D23" s="579"/>
      <c r="E23" s="590"/>
      <c r="F23" s="579"/>
      <c r="G23" s="590"/>
      <c r="H23" s="579"/>
      <c r="I23" s="593">
        <f>+I20*(I22*24)</f>
        <v>33083.970408000001</v>
      </c>
    </row>
    <row r="24" spans="1:9">
      <c r="A24" s="583"/>
      <c r="B24" s="579"/>
      <c r="C24" s="590"/>
      <c r="D24" s="579"/>
      <c r="E24" s="590"/>
      <c r="F24" s="579"/>
      <c r="G24" s="590"/>
      <c r="H24" s="579"/>
      <c r="I24" s="579"/>
    </row>
    <row r="25" spans="1:9">
      <c r="A25" s="578" t="s">
        <v>868</v>
      </c>
      <c r="B25" s="579"/>
      <c r="C25" s="590"/>
      <c r="D25" s="579"/>
      <c r="E25" s="590"/>
      <c r="F25" s="579"/>
      <c r="G25" s="590"/>
      <c r="H25" s="579"/>
      <c r="I25" s="594">
        <f>ROUND(I20+I23,0)</f>
        <v>505011</v>
      </c>
    </row>
    <row r="26" spans="1:9">
      <c r="A26" s="577"/>
    </row>
    <row r="27" spans="1:9">
      <c r="A27" s="577"/>
    </row>
    <row r="28" spans="1:9">
      <c r="A28" s="577"/>
    </row>
    <row r="29" spans="1:9" ht="15.75">
      <c r="A29" s="633" t="str">
        <f>'[5]2016 TU'!A1</f>
        <v>CMMPA</v>
      </c>
      <c r="B29" s="633"/>
      <c r="C29" s="633"/>
      <c r="D29" s="633"/>
      <c r="E29" s="633"/>
      <c r="F29" s="633"/>
      <c r="G29" s="633"/>
    </row>
    <row r="30" spans="1:9">
      <c r="A30" s="595"/>
      <c r="D30" s="547"/>
      <c r="E30" s="573" t="s">
        <v>869</v>
      </c>
      <c r="G30" s="573" t="s">
        <v>869</v>
      </c>
    </row>
    <row r="31" spans="1:9" ht="17.25">
      <c r="D31" s="596" t="s">
        <v>870</v>
      </c>
      <c r="E31" s="596" t="s">
        <v>871</v>
      </c>
      <c r="F31" s="596" t="s">
        <v>872</v>
      </c>
      <c r="G31" s="597" t="s">
        <v>872</v>
      </c>
    </row>
    <row r="32" spans="1:9">
      <c r="A32" s="569">
        <v>1</v>
      </c>
      <c r="B32" s="598">
        <v>42370</v>
      </c>
      <c r="D32" s="599">
        <v>4.2950000000000002E-3</v>
      </c>
      <c r="E32" s="600"/>
      <c r="F32" s="601">
        <v>2.7000000000000001E-3</v>
      </c>
    </row>
    <row r="33" spans="1:7">
      <c r="A33" s="569">
        <f>A32+1</f>
        <v>2</v>
      </c>
      <c r="B33" s="598">
        <v>42401</v>
      </c>
      <c r="D33" s="599">
        <v>4.2500000000000003E-3</v>
      </c>
      <c r="E33" s="600"/>
      <c r="F33" s="601">
        <v>2.7000000000000001E-3</v>
      </c>
    </row>
    <row r="34" spans="1:7">
      <c r="A34" s="569">
        <f t="shared" ref="A34:A50" si="0">A33+1</f>
        <v>3</v>
      </c>
      <c r="B34" s="598">
        <v>42430</v>
      </c>
      <c r="D34" s="599">
        <v>4.4050000000000001E-3</v>
      </c>
      <c r="E34" s="600"/>
      <c r="F34" s="601">
        <v>2.7000000000000001E-3</v>
      </c>
    </row>
    <row r="35" spans="1:7">
      <c r="A35" s="569">
        <f t="shared" si="0"/>
        <v>4</v>
      </c>
      <c r="B35" s="598">
        <v>42461</v>
      </c>
      <c r="D35" s="599">
        <v>4.3724999999999997E-3</v>
      </c>
      <c r="E35" s="600"/>
      <c r="F35" s="601">
        <v>2.8999999999999998E-3</v>
      </c>
    </row>
    <row r="36" spans="1:7">
      <c r="A36" s="569">
        <f t="shared" si="0"/>
        <v>5</v>
      </c>
      <c r="B36" s="598">
        <v>42491</v>
      </c>
      <c r="D36" s="599">
        <v>4.3575000000000003E-3</v>
      </c>
      <c r="E36" s="600"/>
      <c r="F36" s="601">
        <v>2.8999999999999998E-3</v>
      </c>
    </row>
    <row r="37" spans="1:7">
      <c r="A37" s="569">
        <f t="shared" si="0"/>
        <v>6</v>
      </c>
      <c r="B37" s="598">
        <v>42522</v>
      </c>
      <c r="D37" s="599">
        <v>4.6885E-3</v>
      </c>
      <c r="E37" s="600"/>
      <c r="F37" s="601">
        <v>2.8999999999999998E-3</v>
      </c>
    </row>
    <row r="38" spans="1:7">
      <c r="A38" s="569">
        <f t="shared" si="0"/>
        <v>7</v>
      </c>
      <c r="B38" s="598">
        <v>42552</v>
      </c>
      <c r="D38" s="599">
        <v>4.6505000000000001E-3</v>
      </c>
      <c r="E38" s="600"/>
      <c r="F38" s="601">
        <v>2.8999999999999998E-3</v>
      </c>
      <c r="G38" s="602"/>
    </row>
    <row r="39" spans="1:7">
      <c r="A39" s="569">
        <f t="shared" si="0"/>
        <v>8</v>
      </c>
      <c r="B39" s="598">
        <v>42583</v>
      </c>
      <c r="D39" s="599">
        <v>4.9589999999999999E-3</v>
      </c>
      <c r="E39" s="600"/>
      <c r="F39" s="601">
        <v>2.8999999999999998E-3</v>
      </c>
      <c r="G39" s="602"/>
    </row>
    <row r="40" spans="1:7">
      <c r="A40" s="569">
        <f t="shared" si="0"/>
        <v>9</v>
      </c>
      <c r="B40" s="598">
        <v>42614</v>
      </c>
      <c r="D40" s="599">
        <v>5.2488999999999999E-3</v>
      </c>
      <c r="E40" s="600"/>
      <c r="F40" s="601">
        <v>2.8999999999999998E-3</v>
      </c>
      <c r="G40" s="602"/>
    </row>
    <row r="41" spans="1:7">
      <c r="A41" s="569">
        <f t="shared" si="0"/>
        <v>10</v>
      </c>
      <c r="B41" s="598">
        <v>42644</v>
      </c>
      <c r="D41" s="599">
        <v>5.31111E-3</v>
      </c>
      <c r="E41" s="600"/>
      <c r="F41" s="601">
        <v>2.8999999999999998E-3</v>
      </c>
      <c r="G41" s="602"/>
    </row>
    <row r="42" spans="1:7">
      <c r="A42" s="569">
        <f t="shared" si="0"/>
        <v>11</v>
      </c>
      <c r="B42" s="598">
        <v>42675</v>
      </c>
      <c r="D42" s="599">
        <v>5.3378000000000002E-3</v>
      </c>
      <c r="E42" s="600"/>
      <c r="F42" s="601">
        <v>2.8999999999999998E-3</v>
      </c>
      <c r="G42" s="602"/>
    </row>
    <row r="43" spans="1:7">
      <c r="A43" s="569">
        <f t="shared" si="0"/>
        <v>12</v>
      </c>
      <c r="B43" s="598">
        <v>42705</v>
      </c>
      <c r="D43" s="599">
        <v>6.2367000000000004E-3</v>
      </c>
      <c r="E43" s="600"/>
      <c r="F43" s="601">
        <v>2.8999999999999998E-3</v>
      </c>
      <c r="G43" s="602"/>
    </row>
    <row r="44" spans="1:7">
      <c r="A44" s="569">
        <f t="shared" si="0"/>
        <v>13</v>
      </c>
      <c r="B44" s="598">
        <v>42736</v>
      </c>
      <c r="D44" s="599">
        <v>7.7166999999999999E-3</v>
      </c>
      <c r="E44" s="600"/>
      <c r="F44" s="601">
        <v>2.8999999999999998E-3</v>
      </c>
      <c r="G44" s="602"/>
    </row>
    <row r="45" spans="1:7">
      <c r="A45" s="569">
        <f t="shared" si="0"/>
        <v>14</v>
      </c>
      <c r="B45" s="598">
        <v>42767</v>
      </c>
      <c r="D45" s="599">
        <v>7.7943999999999999E-3</v>
      </c>
      <c r="E45" s="600"/>
      <c r="F45" s="601">
        <v>2.8999999999999998E-3</v>
      </c>
      <c r="G45" s="602"/>
    </row>
    <row r="46" spans="1:7">
      <c r="A46" s="569">
        <f t="shared" si="0"/>
        <v>15</v>
      </c>
      <c r="B46" s="598">
        <v>42795</v>
      </c>
      <c r="D46" s="599">
        <v>7.8889000000000008E-3</v>
      </c>
      <c r="E46" s="600"/>
      <c r="F46" s="601">
        <v>2.8999999999999998E-3</v>
      </c>
      <c r="G46" s="602"/>
    </row>
    <row r="47" spans="1:7">
      <c r="A47" s="569">
        <f t="shared" si="0"/>
        <v>16</v>
      </c>
      <c r="B47" s="598">
        <v>42826</v>
      </c>
      <c r="D47" s="599">
        <v>9.8277999999999994E-3</v>
      </c>
      <c r="E47" s="600"/>
      <c r="F47" s="601">
        <v>3.0999999999999999E-3</v>
      </c>
      <c r="G47" s="602"/>
    </row>
    <row r="48" spans="1:7">
      <c r="A48" s="569">
        <f t="shared" si="0"/>
        <v>17</v>
      </c>
      <c r="B48" s="598">
        <v>42856</v>
      </c>
      <c r="D48" s="599">
        <v>9.9500000000000005E-3</v>
      </c>
      <c r="E48" s="600"/>
      <c r="F48" s="601">
        <v>3.0999999999999999E-3</v>
      </c>
      <c r="G48" s="602"/>
    </row>
    <row r="49" spans="1:9">
      <c r="A49" s="569">
        <f t="shared" si="0"/>
        <v>18</v>
      </c>
      <c r="B49" s="598">
        <v>42887</v>
      </c>
      <c r="D49" s="599">
        <v>1.06033E-2</v>
      </c>
      <c r="E49" s="600"/>
      <c r="F49" s="601">
        <v>3.0999999999999999E-3</v>
      </c>
      <c r="G49" s="602"/>
    </row>
    <row r="50" spans="1:9">
      <c r="A50" s="569">
        <f t="shared" si="0"/>
        <v>19</v>
      </c>
      <c r="B50" s="598">
        <v>42917</v>
      </c>
      <c r="D50" s="599">
        <v>1.22389E-2</v>
      </c>
      <c r="E50" s="600"/>
      <c r="F50" s="599">
        <v>3.3E-3</v>
      </c>
    </row>
    <row r="51" spans="1:9" ht="15.75" thickBot="1">
      <c r="B51" s="598"/>
    </row>
    <row r="52" spans="1:9" ht="15.75" thickBot="1">
      <c r="C52" s="601"/>
      <c r="D52" s="603">
        <f>AVERAGE(D32:D50)</f>
        <v>6.5332899999999998E-3</v>
      </c>
      <c r="E52" s="604">
        <f>IF(D52*12&gt;G52,G52,ROUND(D52*12,6))</f>
        <v>3.5053000000000001E-2</v>
      </c>
      <c r="F52" s="603">
        <f>AVERAGE(F32:F50)</f>
        <v>2.9210526315789466E-3</v>
      </c>
      <c r="G52" s="605">
        <f>ROUND(F52*12,6)</f>
        <v>3.5053000000000001E-2</v>
      </c>
      <c r="I52" s="569" t="s">
        <v>873</v>
      </c>
    </row>
    <row r="54" spans="1:9" ht="17.25">
      <c r="B54" s="569" t="s">
        <v>874</v>
      </c>
    </row>
    <row r="57" spans="1:9">
      <c r="A57" s="569" t="s">
        <v>875</v>
      </c>
    </row>
    <row r="58" spans="1:9">
      <c r="C58" s="602"/>
    </row>
    <row r="61" spans="1:9">
      <c r="A61" s="606"/>
      <c r="B61" s="607"/>
      <c r="C61" s="608"/>
      <c r="D61" s="607"/>
      <c r="E61" s="607"/>
      <c r="F61" s="606"/>
    </row>
    <row r="62" spans="1:9">
      <c r="A62" s="606"/>
      <c r="B62" s="607"/>
      <c r="C62" s="607"/>
      <c r="D62" s="607"/>
      <c r="E62" s="607"/>
      <c r="F62" s="606"/>
    </row>
    <row r="63" spans="1:9">
      <c r="A63" s="606"/>
      <c r="B63" s="634"/>
      <c r="C63" s="634"/>
      <c r="D63" s="609"/>
      <c r="E63" s="610"/>
      <c r="F63" s="606"/>
    </row>
    <row r="64" spans="1:9">
      <c r="A64" s="606"/>
      <c r="B64" s="634"/>
      <c r="C64" s="634"/>
      <c r="D64" s="609"/>
      <c r="E64" s="610"/>
      <c r="F64" s="606"/>
    </row>
    <row r="65" spans="1:6">
      <c r="A65" s="606"/>
      <c r="B65" s="611"/>
      <c r="C65" s="612"/>
      <c r="D65" s="611"/>
      <c r="E65" s="611"/>
      <c r="F65" s="606"/>
    </row>
    <row r="66" spans="1:6">
      <c r="A66" s="606"/>
      <c r="B66" s="611"/>
      <c r="C66" s="611"/>
      <c r="D66" s="611"/>
      <c r="E66" s="611"/>
      <c r="F66" s="606"/>
    </row>
    <row r="67" spans="1:6">
      <c r="A67" s="606"/>
      <c r="B67" s="611"/>
      <c r="C67" s="611"/>
      <c r="D67" s="611"/>
      <c r="E67" s="611"/>
      <c r="F67" s="606"/>
    </row>
    <row r="68" spans="1:6">
      <c r="A68" s="606"/>
      <c r="B68" s="611"/>
      <c r="C68" s="612"/>
      <c r="D68" s="611"/>
      <c r="E68" s="611"/>
      <c r="F68" s="606"/>
    </row>
    <row r="69" spans="1:6">
      <c r="A69" s="606"/>
      <c r="B69" s="611"/>
      <c r="C69" s="611"/>
      <c r="D69" s="611"/>
      <c r="E69" s="611"/>
      <c r="F69" s="606"/>
    </row>
    <row r="70" spans="1:6">
      <c r="A70" s="606"/>
      <c r="B70" s="611"/>
      <c r="C70" s="611"/>
      <c r="D70" s="611"/>
      <c r="E70" s="611"/>
      <c r="F70" s="606"/>
    </row>
    <row r="71" spans="1:6">
      <c r="A71" s="606"/>
      <c r="B71" s="611"/>
      <c r="C71" s="612"/>
      <c r="D71" s="611"/>
      <c r="E71" s="611"/>
      <c r="F71" s="606"/>
    </row>
    <row r="72" spans="1:6">
      <c r="A72" s="606"/>
      <c r="B72" s="611"/>
      <c r="C72" s="611"/>
      <c r="D72" s="611"/>
      <c r="E72" s="611"/>
      <c r="F72" s="606"/>
    </row>
    <row r="73" spans="1:6">
      <c r="A73" s="606"/>
      <c r="B73" s="611"/>
      <c r="C73" s="611"/>
      <c r="D73" s="611"/>
      <c r="E73" s="611"/>
      <c r="F73" s="606"/>
    </row>
    <row r="74" spans="1:6">
      <c r="A74" s="606"/>
      <c r="B74" s="611"/>
      <c r="C74" s="612"/>
      <c r="D74" s="611"/>
      <c r="E74" s="611"/>
      <c r="F74" s="606"/>
    </row>
    <row r="75" spans="1:6">
      <c r="A75" s="606"/>
      <c r="B75" s="611"/>
      <c r="C75" s="611"/>
      <c r="D75" s="611"/>
      <c r="E75" s="611"/>
      <c r="F75" s="606"/>
    </row>
    <row r="76" spans="1:6">
      <c r="A76" s="606"/>
      <c r="B76" s="611"/>
      <c r="C76" s="611"/>
      <c r="D76" s="611"/>
      <c r="E76" s="611"/>
      <c r="F76" s="606"/>
    </row>
    <row r="77" spans="1:6">
      <c r="A77" s="606"/>
      <c r="B77" s="611"/>
      <c r="C77" s="611"/>
      <c r="D77" s="611"/>
      <c r="E77" s="611"/>
      <c r="F77" s="606"/>
    </row>
    <row r="78" spans="1:6">
      <c r="A78" s="606"/>
      <c r="B78" s="611"/>
      <c r="C78" s="611"/>
      <c r="D78" s="611"/>
      <c r="E78" s="611"/>
      <c r="F78" s="606"/>
    </row>
    <row r="79" spans="1:6">
      <c r="A79" s="606"/>
      <c r="B79" s="611"/>
      <c r="C79" s="611"/>
      <c r="D79" s="611"/>
      <c r="E79" s="611"/>
      <c r="F79" s="606"/>
    </row>
    <row r="80" spans="1:6">
      <c r="A80" s="606"/>
      <c r="B80" s="611"/>
      <c r="C80" s="611"/>
      <c r="D80" s="611"/>
      <c r="E80" s="611"/>
      <c r="F80" s="606"/>
    </row>
    <row r="81" spans="1:6">
      <c r="A81" s="606"/>
      <c r="B81" s="611"/>
      <c r="C81" s="611"/>
      <c r="D81" s="611"/>
      <c r="E81" s="611"/>
      <c r="F81" s="606"/>
    </row>
    <row r="82" spans="1:6">
      <c r="A82" s="606"/>
      <c r="B82" s="611"/>
      <c r="C82" s="611"/>
      <c r="D82" s="611"/>
      <c r="E82" s="611"/>
      <c r="F82" s="606"/>
    </row>
    <row r="83" spans="1:6">
      <c r="A83" s="606"/>
      <c r="B83" s="635"/>
      <c r="C83" s="635"/>
      <c r="D83" s="635"/>
      <c r="E83" s="635"/>
      <c r="F83" s="606"/>
    </row>
  </sheetData>
  <mergeCells count="5">
    <mergeCell ref="A14:B14"/>
    <mergeCell ref="A29:G29"/>
    <mergeCell ref="B63:B64"/>
    <mergeCell ref="C63:C64"/>
    <mergeCell ref="B83:E83"/>
  </mergeCells>
  <pageMargins left="0.7" right="0.7" top="0.75" bottom="0.75" header="0.3" footer="0.3"/>
  <pageSetup orientation="portrait" r:id="rId1"/>
  <headerFooter>
    <oddHeader>&amp;R&amp;A</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9"/>
  <sheetViews>
    <sheetView showGridLines="0" workbookViewId="0"/>
  </sheetViews>
  <sheetFormatPr defaultRowHeight="15"/>
  <cols>
    <col min="2" max="2" width="123.42578125" customWidth="1"/>
  </cols>
  <sheetData>
    <row r="4" spans="2:2" ht="45">
      <c r="B4" s="315" t="s">
        <v>818</v>
      </c>
    </row>
    <row r="5" spans="2:2" s="539" customFormat="1">
      <c r="B5" s="315"/>
    </row>
    <row r="6" spans="2:2" ht="18.75" customHeight="1">
      <c r="B6" s="316" t="s">
        <v>797</v>
      </c>
    </row>
    <row r="7" spans="2:2" ht="18.75" customHeight="1">
      <c r="B7" s="315" t="s">
        <v>798</v>
      </c>
    </row>
    <row r="8" spans="2:2" ht="18.75" customHeight="1">
      <c r="B8" s="316" t="s">
        <v>799</v>
      </c>
    </row>
    <row r="9" spans="2:2" ht="18.75" customHeight="1">
      <c r="B9" s="315" t="s">
        <v>798</v>
      </c>
    </row>
    <row r="10" spans="2:2" ht="18.75" customHeight="1">
      <c r="B10" s="316" t="s">
        <v>800</v>
      </c>
    </row>
    <row r="11" spans="2:2">
      <c r="B11" s="315" t="s">
        <v>821</v>
      </c>
    </row>
    <row r="14" spans="2:2">
      <c r="B14" s="568" t="s">
        <v>835</v>
      </c>
    </row>
    <row r="15" spans="2:2">
      <c r="B15" t="s">
        <v>819</v>
      </c>
    </row>
    <row r="16" spans="2:2">
      <c r="B16" s="531" t="s">
        <v>820</v>
      </c>
    </row>
    <row r="17" spans="2:2">
      <c r="B17" s="531"/>
    </row>
    <row r="18" spans="2:2">
      <c r="B18" s="531"/>
    </row>
    <row r="19" spans="2:2">
      <c r="B19" s="53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Q72"/>
  <sheetViews>
    <sheetView showGridLines="0" zoomScale="70" zoomScaleNormal="70" zoomScalePageLayoutView="70" workbookViewId="0"/>
  </sheetViews>
  <sheetFormatPr defaultRowHeight="15"/>
  <cols>
    <col min="1" max="1" width="9.140625" style="4"/>
    <col min="2" max="3" width="1.42578125" style="4" customWidth="1"/>
    <col min="4" max="4" width="9.140625" style="4"/>
    <col min="5" max="5" width="27.85546875" style="4" customWidth="1"/>
    <col min="6" max="6" width="8" style="4" customWidth="1"/>
    <col min="7" max="7" width="18.140625" style="4" customWidth="1"/>
    <col min="8" max="8" width="20.28515625" style="4" customWidth="1"/>
    <col min="9" max="12" width="16" style="4" customWidth="1"/>
    <col min="13" max="13" width="18.7109375" style="4" customWidth="1"/>
    <col min="14" max="14" width="16.140625" style="4" customWidth="1"/>
    <col min="15" max="16" width="1.85546875" style="4" customWidth="1"/>
    <col min="17" max="17" width="14.140625" style="4" customWidth="1"/>
    <col min="18" max="16384" width="9.140625" style="4"/>
  </cols>
  <sheetData>
    <row r="3" spans="4:17" ht="6.75" customHeight="1"/>
    <row r="4" spans="4:17" ht="6.75" customHeight="1"/>
    <row r="5" spans="4:17" ht="15.75">
      <c r="D5" s="3" t="str">
        <f>Coversheet!D3</f>
        <v>Central Minnesota Municipal PowerAgency</v>
      </c>
      <c r="E5" s="3"/>
      <c r="F5" s="3"/>
      <c r="G5" s="3"/>
      <c r="H5" s="3"/>
      <c r="I5" s="3"/>
      <c r="J5" s="3"/>
      <c r="K5" s="3"/>
      <c r="L5" s="3"/>
      <c r="M5" s="3"/>
    </row>
    <row r="6" spans="4:17" ht="15.75">
      <c r="D6" s="3" t="s">
        <v>31</v>
      </c>
      <c r="F6" s="3"/>
      <c r="G6" s="3"/>
      <c r="H6" s="3"/>
      <c r="I6" s="3"/>
      <c r="J6" s="3"/>
      <c r="K6" s="3"/>
      <c r="L6" s="3"/>
      <c r="M6" s="3"/>
    </row>
    <row r="7" spans="4:17" ht="15.75">
      <c r="D7" s="3" t="str">
        <f>SubmissionType</f>
        <v>Actual 12 Months Ended December 31, 2016</v>
      </c>
      <c r="E7" s="3"/>
      <c r="F7" s="3"/>
      <c r="G7" s="6"/>
      <c r="M7" s="3"/>
    </row>
    <row r="8" spans="4:17" ht="17.25" customHeight="1">
      <c r="D8" s="3"/>
      <c r="E8" s="3"/>
      <c r="F8" s="3"/>
      <c r="G8" s="6"/>
      <c r="M8" s="3"/>
    </row>
    <row r="9" spans="4:17" s="8" customFormat="1" ht="30" customHeight="1">
      <c r="D9" s="7" t="s">
        <v>0</v>
      </c>
      <c r="E9" s="7" t="s">
        <v>25</v>
      </c>
      <c r="F9" s="7" t="s">
        <v>2</v>
      </c>
      <c r="G9" s="7" t="s">
        <v>19</v>
      </c>
      <c r="H9" s="7" t="s">
        <v>20</v>
      </c>
      <c r="I9" s="7" t="s">
        <v>21</v>
      </c>
      <c r="J9" s="7" t="s">
        <v>72</v>
      </c>
      <c r="K9" s="7" t="s">
        <v>73</v>
      </c>
      <c r="L9" s="7" t="s">
        <v>22</v>
      </c>
      <c r="M9" s="7" t="s">
        <v>24</v>
      </c>
      <c r="Q9" s="97"/>
    </row>
    <row r="10" spans="4:17" s="8" customFormat="1">
      <c r="D10" s="12">
        <v>1</v>
      </c>
      <c r="E10" s="552" t="s">
        <v>17</v>
      </c>
      <c r="F10" s="9">
        <f>CurrentYear-1</f>
        <v>2015</v>
      </c>
      <c r="G10" s="18">
        <v>347728.25</v>
      </c>
      <c r="H10" s="88">
        <v>25543167.010000002</v>
      </c>
      <c r="I10" s="18">
        <v>0</v>
      </c>
      <c r="J10" s="18">
        <v>1524329.88</v>
      </c>
      <c r="K10" s="18">
        <v>0</v>
      </c>
      <c r="L10" s="18">
        <v>0</v>
      </c>
      <c r="M10" s="11">
        <f>SUM(G10:L10)</f>
        <v>27415225.140000001</v>
      </c>
      <c r="N10" s="31"/>
      <c r="O10" s="31"/>
      <c r="Q10" s="97"/>
    </row>
    <row r="11" spans="4:17">
      <c r="D11" s="12">
        <v>2</v>
      </c>
      <c r="E11" s="553" t="s">
        <v>6</v>
      </c>
      <c r="F11" s="12">
        <f t="shared" ref="F11:F22" si="0">CurrentYear</f>
        <v>2016</v>
      </c>
      <c r="G11" s="18">
        <f>+G10</f>
        <v>347728.25</v>
      </c>
      <c r="H11" s="88">
        <f>+H10</f>
        <v>25543167.010000002</v>
      </c>
      <c r="I11" s="18">
        <v>0</v>
      </c>
      <c r="J11" s="18">
        <v>1525057.09</v>
      </c>
      <c r="K11" s="18">
        <f t="shared" ref="K11:K22" si="1">K10+I$69</f>
        <v>0</v>
      </c>
      <c r="L11" s="18">
        <v>0</v>
      </c>
      <c r="M11" s="11">
        <f t="shared" ref="M11:M22" si="2">SUM(G11:L11)</f>
        <v>27415952.350000001</v>
      </c>
      <c r="O11" s="31"/>
      <c r="Q11" s="97"/>
    </row>
    <row r="12" spans="4:17" ht="15.75">
      <c r="D12" s="12">
        <v>3</v>
      </c>
      <c r="E12" s="554" t="s">
        <v>7</v>
      </c>
      <c r="F12" s="12">
        <f t="shared" si="0"/>
        <v>2016</v>
      </c>
      <c r="G12" s="18">
        <f t="shared" ref="G12:G21" si="3">+G11</f>
        <v>347728.25</v>
      </c>
      <c r="H12" s="88">
        <f t="shared" ref="H12:H21" si="4">+H11</f>
        <v>25543167.010000002</v>
      </c>
      <c r="I12" s="18">
        <v>0</v>
      </c>
      <c r="J12" s="18">
        <v>1537948.79</v>
      </c>
      <c r="K12" s="18">
        <f t="shared" si="1"/>
        <v>0</v>
      </c>
      <c r="L12" s="18">
        <v>0</v>
      </c>
      <c r="M12" s="11">
        <f t="shared" si="2"/>
        <v>27428844.050000001</v>
      </c>
      <c r="O12" s="31"/>
      <c r="Q12" s="97"/>
    </row>
    <row r="13" spans="4:17" ht="15.75">
      <c r="D13" s="12">
        <v>4</v>
      </c>
      <c r="E13" s="554" t="s">
        <v>8</v>
      </c>
      <c r="F13" s="12">
        <f t="shared" si="0"/>
        <v>2016</v>
      </c>
      <c r="G13" s="18">
        <f t="shared" si="3"/>
        <v>347728.25</v>
      </c>
      <c r="H13" s="88">
        <f t="shared" si="4"/>
        <v>25543167.010000002</v>
      </c>
      <c r="I13" s="18">
        <v>0</v>
      </c>
      <c r="J13" s="18">
        <v>1543076.12</v>
      </c>
      <c r="K13" s="18">
        <f t="shared" si="1"/>
        <v>0</v>
      </c>
      <c r="L13" s="18">
        <v>0</v>
      </c>
      <c r="M13" s="11">
        <f t="shared" si="2"/>
        <v>27433971.380000003</v>
      </c>
      <c r="O13" s="31"/>
      <c r="Q13" s="97"/>
    </row>
    <row r="14" spans="4:17" ht="15.75">
      <c r="D14" s="12">
        <v>5</v>
      </c>
      <c r="E14" s="554" t="s">
        <v>9</v>
      </c>
      <c r="F14" s="12">
        <f t="shared" si="0"/>
        <v>2016</v>
      </c>
      <c r="G14" s="18">
        <f t="shared" si="3"/>
        <v>347728.25</v>
      </c>
      <c r="H14" s="88">
        <f t="shared" si="4"/>
        <v>25543167.010000002</v>
      </c>
      <c r="I14" s="18">
        <v>0</v>
      </c>
      <c r="J14" s="18">
        <f>+J13</f>
        <v>1543076.12</v>
      </c>
      <c r="K14" s="18">
        <f t="shared" si="1"/>
        <v>0</v>
      </c>
      <c r="L14" s="18">
        <v>0</v>
      </c>
      <c r="M14" s="11">
        <f t="shared" si="2"/>
        <v>27433971.380000003</v>
      </c>
      <c r="O14" s="31"/>
      <c r="Q14" s="97"/>
    </row>
    <row r="15" spans="4:17" ht="15.75">
      <c r="D15" s="12">
        <v>6</v>
      </c>
      <c r="E15" s="554" t="s">
        <v>10</v>
      </c>
      <c r="F15" s="12">
        <f t="shared" si="0"/>
        <v>2016</v>
      </c>
      <c r="G15" s="18">
        <f t="shared" si="3"/>
        <v>347728.25</v>
      </c>
      <c r="H15" s="88">
        <f t="shared" si="4"/>
        <v>25543167.010000002</v>
      </c>
      <c r="I15" s="18">
        <v>0</v>
      </c>
      <c r="J15" s="18">
        <f>+J14</f>
        <v>1543076.12</v>
      </c>
      <c r="K15" s="18">
        <f t="shared" si="1"/>
        <v>0</v>
      </c>
      <c r="L15" s="18">
        <v>0</v>
      </c>
      <c r="M15" s="11">
        <f t="shared" si="2"/>
        <v>27433971.380000003</v>
      </c>
      <c r="O15" s="31"/>
      <c r="Q15" s="97"/>
    </row>
    <row r="16" spans="4:17" ht="15.75">
      <c r="D16" s="12">
        <v>7</v>
      </c>
      <c r="E16" s="554" t="s">
        <v>11</v>
      </c>
      <c r="F16" s="12">
        <f t="shared" si="0"/>
        <v>2016</v>
      </c>
      <c r="G16" s="18">
        <f t="shared" si="3"/>
        <v>347728.25</v>
      </c>
      <c r="H16" s="88">
        <f t="shared" si="4"/>
        <v>25543167.010000002</v>
      </c>
      <c r="I16" s="18">
        <v>0</v>
      </c>
      <c r="J16" s="18">
        <f>+J15</f>
        <v>1543076.12</v>
      </c>
      <c r="K16" s="18">
        <f t="shared" si="1"/>
        <v>0</v>
      </c>
      <c r="L16" s="18">
        <v>0</v>
      </c>
      <c r="M16" s="11">
        <f t="shared" si="2"/>
        <v>27433971.380000003</v>
      </c>
      <c r="O16" s="31"/>
      <c r="Q16" s="97"/>
    </row>
    <row r="17" spans="4:17" ht="15.75">
      <c r="D17" s="12">
        <v>8</v>
      </c>
      <c r="E17" s="554" t="s">
        <v>12</v>
      </c>
      <c r="F17" s="12">
        <f t="shared" si="0"/>
        <v>2016</v>
      </c>
      <c r="G17" s="18">
        <f t="shared" si="3"/>
        <v>347728.25</v>
      </c>
      <c r="H17" s="88">
        <f t="shared" si="4"/>
        <v>25543167.010000002</v>
      </c>
      <c r="I17" s="18">
        <v>0</v>
      </c>
      <c r="J17" s="18">
        <v>1624076.12</v>
      </c>
      <c r="K17" s="18">
        <f t="shared" si="1"/>
        <v>0</v>
      </c>
      <c r="L17" s="18">
        <v>0</v>
      </c>
      <c r="M17" s="11">
        <f t="shared" si="2"/>
        <v>27514971.380000003</v>
      </c>
      <c r="O17" s="31"/>
      <c r="Q17" s="97"/>
    </row>
    <row r="18" spans="4:17" ht="15.75">
      <c r="D18" s="12">
        <v>9</v>
      </c>
      <c r="E18" s="554" t="s">
        <v>13</v>
      </c>
      <c r="F18" s="12">
        <f t="shared" si="0"/>
        <v>2016</v>
      </c>
      <c r="G18" s="18">
        <f t="shared" si="3"/>
        <v>347728.25</v>
      </c>
      <c r="H18" s="88">
        <f t="shared" si="4"/>
        <v>25543167.010000002</v>
      </c>
      <c r="I18" s="18">
        <v>0</v>
      </c>
      <c r="J18" s="18">
        <v>1646359.58</v>
      </c>
      <c r="K18" s="18">
        <f t="shared" si="1"/>
        <v>0</v>
      </c>
      <c r="L18" s="18">
        <v>0</v>
      </c>
      <c r="M18" s="11">
        <f t="shared" si="2"/>
        <v>27537254.840000004</v>
      </c>
      <c r="O18" s="31"/>
      <c r="Q18" s="96"/>
    </row>
    <row r="19" spans="4:17" ht="15.75">
      <c r="D19" s="12">
        <v>10</v>
      </c>
      <c r="E19" s="554" t="s">
        <v>14</v>
      </c>
      <c r="F19" s="12">
        <f t="shared" si="0"/>
        <v>2016</v>
      </c>
      <c r="G19" s="18">
        <f t="shared" si="3"/>
        <v>347728.25</v>
      </c>
      <c r="H19" s="88">
        <f t="shared" si="4"/>
        <v>25543167.010000002</v>
      </c>
      <c r="I19" s="18">
        <v>0</v>
      </c>
      <c r="J19" s="18">
        <v>1649198.89</v>
      </c>
      <c r="K19" s="18">
        <f t="shared" si="1"/>
        <v>0</v>
      </c>
      <c r="L19" s="18">
        <v>0</v>
      </c>
      <c r="M19" s="11">
        <f t="shared" si="2"/>
        <v>27540094.150000002</v>
      </c>
      <c r="O19" s="31"/>
    </row>
    <row r="20" spans="4:17" ht="15.75">
      <c r="D20" s="12">
        <v>11</v>
      </c>
      <c r="E20" s="554" t="s">
        <v>15</v>
      </c>
      <c r="F20" s="12">
        <f t="shared" si="0"/>
        <v>2016</v>
      </c>
      <c r="G20" s="18">
        <f t="shared" si="3"/>
        <v>347728.25</v>
      </c>
      <c r="H20" s="88">
        <f t="shared" si="4"/>
        <v>25543167.010000002</v>
      </c>
      <c r="I20" s="18">
        <v>0</v>
      </c>
      <c r="J20" s="18">
        <v>1661298.89</v>
      </c>
      <c r="K20" s="18">
        <f t="shared" si="1"/>
        <v>0</v>
      </c>
      <c r="L20" s="18">
        <v>0</v>
      </c>
      <c r="M20" s="11">
        <f t="shared" si="2"/>
        <v>27552194.150000002</v>
      </c>
      <c r="O20" s="31"/>
    </row>
    <row r="21" spans="4:17" ht="15.75">
      <c r="D21" s="12">
        <v>12</v>
      </c>
      <c r="E21" s="554" t="s">
        <v>16</v>
      </c>
      <c r="F21" s="12">
        <f t="shared" si="0"/>
        <v>2016</v>
      </c>
      <c r="G21" s="18">
        <f t="shared" si="3"/>
        <v>347728.25</v>
      </c>
      <c r="H21" s="88">
        <f t="shared" si="4"/>
        <v>25543167.010000002</v>
      </c>
      <c r="I21" s="18">
        <v>0</v>
      </c>
      <c r="J21" s="18">
        <v>1669098.89</v>
      </c>
      <c r="K21" s="18">
        <f t="shared" si="1"/>
        <v>0</v>
      </c>
      <c r="L21" s="18">
        <v>0</v>
      </c>
      <c r="M21" s="11">
        <f t="shared" si="2"/>
        <v>27559994.150000002</v>
      </c>
      <c r="O21" s="31"/>
    </row>
    <row r="22" spans="4:17" ht="17.25">
      <c r="D22" s="12">
        <v>13</v>
      </c>
      <c r="E22" s="554" t="s">
        <v>17</v>
      </c>
      <c r="F22" s="12">
        <f t="shared" si="0"/>
        <v>2016</v>
      </c>
      <c r="G22" s="19">
        <v>347728.25</v>
      </c>
      <c r="H22" s="95">
        <v>25543167.010000002</v>
      </c>
      <c r="I22" s="19">
        <v>0</v>
      </c>
      <c r="J22" s="32">
        <v>1567642.64</v>
      </c>
      <c r="K22" s="32">
        <f t="shared" si="1"/>
        <v>0</v>
      </c>
      <c r="L22" s="19">
        <v>0</v>
      </c>
      <c r="M22" s="14">
        <f t="shared" si="2"/>
        <v>27458537.900000002</v>
      </c>
      <c r="O22" s="31"/>
    </row>
    <row r="23" spans="4:17">
      <c r="D23" s="12">
        <v>14</v>
      </c>
      <c r="O23" s="31"/>
    </row>
    <row r="24" spans="4:17" ht="17.25">
      <c r="D24" s="12">
        <v>15</v>
      </c>
      <c r="E24" s="5" t="s">
        <v>23</v>
      </c>
      <c r="F24" s="15"/>
      <c r="G24" s="566">
        <f>SUM(G10:G22)/13</f>
        <v>347728.25</v>
      </c>
      <c r="H24" s="566">
        <f t="shared" ref="H24:M24" si="5">SUM(H10:H22)/13</f>
        <v>25543167.009999994</v>
      </c>
      <c r="I24" s="566">
        <f t="shared" si="5"/>
        <v>0</v>
      </c>
      <c r="J24" s="566">
        <f t="shared" si="5"/>
        <v>1582870.4038461542</v>
      </c>
      <c r="K24" s="27">
        <f t="shared" ref="K24" si="6">SUM(K10:K22)/13</f>
        <v>0</v>
      </c>
      <c r="L24" s="27">
        <f t="shared" si="5"/>
        <v>0</v>
      </c>
      <c r="M24" s="27">
        <f t="shared" si="5"/>
        <v>27473765.66384615</v>
      </c>
      <c r="O24" s="31"/>
    </row>
    <row r="25" spans="4:17">
      <c r="E25" s="86" t="s">
        <v>167</v>
      </c>
      <c r="F25" s="86"/>
      <c r="G25" s="86" t="s">
        <v>168</v>
      </c>
      <c r="H25" s="86" t="s">
        <v>169</v>
      </c>
      <c r="I25" s="86" t="s">
        <v>170</v>
      </c>
      <c r="J25" s="86" t="s">
        <v>171</v>
      </c>
      <c r="K25" s="86" t="s">
        <v>171</v>
      </c>
      <c r="L25" s="86" t="s">
        <v>172</v>
      </c>
      <c r="M25" s="86"/>
    </row>
    <row r="27" spans="4:17" ht="30">
      <c r="D27" s="7" t="s">
        <v>0</v>
      </c>
      <c r="E27" s="7" t="s">
        <v>26</v>
      </c>
      <c r="F27" s="7" t="s">
        <v>2</v>
      </c>
      <c r="G27" s="7" t="s">
        <v>19</v>
      </c>
      <c r="H27" s="7" t="s">
        <v>20</v>
      </c>
      <c r="I27" s="7" t="s">
        <v>21</v>
      </c>
      <c r="J27" s="7" t="str">
        <f>J9</f>
        <v xml:space="preserve">General </v>
      </c>
      <c r="K27" s="7" t="str">
        <f>K9</f>
        <v>Intangible</v>
      </c>
      <c r="L27" s="7" t="s">
        <v>22</v>
      </c>
      <c r="M27" s="7" t="s">
        <v>27</v>
      </c>
    </row>
    <row r="28" spans="4:17">
      <c r="D28" s="12">
        <v>16</v>
      </c>
      <c r="E28" s="552" t="s">
        <v>17</v>
      </c>
      <c r="F28" s="9">
        <f>CurrentYear-1</f>
        <v>2015</v>
      </c>
      <c r="G28" s="18">
        <v>57934.06</v>
      </c>
      <c r="H28" s="18">
        <v>909906.39</v>
      </c>
      <c r="I28" s="18">
        <v>0</v>
      </c>
      <c r="J28" s="18">
        <v>841055.5</v>
      </c>
      <c r="K28" s="18">
        <v>0</v>
      </c>
      <c r="L28" s="18">
        <v>0</v>
      </c>
      <c r="M28" s="11">
        <f>SUM(G28:L28)</f>
        <v>1808895.95</v>
      </c>
      <c r="N28" s="28"/>
    </row>
    <row r="29" spans="4:17">
      <c r="D29" s="12">
        <v>17</v>
      </c>
      <c r="E29" s="553" t="s">
        <v>6</v>
      </c>
      <c r="F29" s="12">
        <f t="shared" ref="F29:F40" si="7">CurrentYear</f>
        <v>2016</v>
      </c>
      <c r="G29" s="18">
        <v>58658.49</v>
      </c>
      <c r="H29" s="18">
        <v>963121.31</v>
      </c>
      <c r="I29" s="18">
        <v>0</v>
      </c>
      <c r="J29" s="18">
        <v>853367.8</v>
      </c>
      <c r="K29" s="18">
        <v>0</v>
      </c>
      <c r="L29" s="18">
        <v>0</v>
      </c>
      <c r="M29" s="11">
        <f t="shared" ref="M29:M40" si="8">SUM(G29:L29)</f>
        <v>1875147.6</v>
      </c>
    </row>
    <row r="30" spans="4:17" ht="15.75">
      <c r="D30" s="12">
        <v>18</v>
      </c>
      <c r="E30" s="554" t="s">
        <v>7</v>
      </c>
      <c r="F30" s="12">
        <f t="shared" si="7"/>
        <v>2016</v>
      </c>
      <c r="G30" s="18">
        <v>59382.92</v>
      </c>
      <c r="H30" s="18">
        <v>1016336.23</v>
      </c>
      <c r="I30" s="18">
        <v>0</v>
      </c>
      <c r="J30" s="18">
        <v>865680</v>
      </c>
      <c r="K30" s="18">
        <v>0</v>
      </c>
      <c r="L30" s="18">
        <v>0</v>
      </c>
      <c r="M30" s="11">
        <f t="shared" ref="M30:M39" si="9">SUM(G30:L30)</f>
        <v>1941399.15</v>
      </c>
    </row>
    <row r="31" spans="4:17" ht="15.75">
      <c r="D31" s="12">
        <v>19</v>
      </c>
      <c r="E31" s="554" t="s">
        <v>8</v>
      </c>
      <c r="F31" s="12">
        <f t="shared" si="7"/>
        <v>2016</v>
      </c>
      <c r="G31" s="18">
        <v>60107.35</v>
      </c>
      <c r="H31" s="18">
        <v>1069551.1499999999</v>
      </c>
      <c r="I31" s="18">
        <v>0</v>
      </c>
      <c r="J31" s="18">
        <v>877992.2</v>
      </c>
      <c r="K31" s="18">
        <v>0</v>
      </c>
      <c r="L31" s="18">
        <v>0</v>
      </c>
      <c r="M31" s="11">
        <f t="shared" si="9"/>
        <v>2007650.7</v>
      </c>
    </row>
    <row r="32" spans="4:17" ht="15.75">
      <c r="D32" s="12">
        <v>20</v>
      </c>
      <c r="E32" s="554" t="s">
        <v>9</v>
      </c>
      <c r="F32" s="12">
        <f t="shared" si="7"/>
        <v>2016</v>
      </c>
      <c r="G32" s="18">
        <v>60831.78</v>
      </c>
      <c r="H32" s="18">
        <v>1122766.07</v>
      </c>
      <c r="I32" s="18">
        <v>0</v>
      </c>
      <c r="J32" s="18">
        <v>890304.4</v>
      </c>
      <c r="K32" s="18">
        <v>0</v>
      </c>
      <c r="L32" s="18">
        <v>0</v>
      </c>
      <c r="M32" s="11">
        <f t="shared" si="9"/>
        <v>2073902.25</v>
      </c>
    </row>
    <row r="33" spans="4:14" ht="15.75">
      <c r="D33" s="12">
        <v>21</v>
      </c>
      <c r="E33" s="554" t="s">
        <v>10</v>
      </c>
      <c r="F33" s="12">
        <f t="shared" si="7"/>
        <v>2016</v>
      </c>
      <c r="G33" s="18">
        <v>61556.21</v>
      </c>
      <c r="H33" s="18">
        <v>1175980.99</v>
      </c>
      <c r="I33" s="18">
        <v>0</v>
      </c>
      <c r="J33" s="18">
        <v>902616.6</v>
      </c>
      <c r="K33" s="18">
        <v>0</v>
      </c>
      <c r="L33" s="18">
        <v>0</v>
      </c>
      <c r="M33" s="11">
        <f t="shared" si="9"/>
        <v>2140153.7999999998</v>
      </c>
    </row>
    <row r="34" spans="4:14" ht="15.75">
      <c r="D34" s="12">
        <v>22</v>
      </c>
      <c r="E34" s="554" t="s">
        <v>11</v>
      </c>
      <c r="F34" s="12">
        <f t="shared" si="7"/>
        <v>2016</v>
      </c>
      <c r="G34" s="18">
        <v>62280.639999999999</v>
      </c>
      <c r="H34" s="18">
        <v>1229195.9099999999</v>
      </c>
      <c r="I34" s="18">
        <v>0</v>
      </c>
      <c r="J34" s="18">
        <v>914928.9</v>
      </c>
      <c r="K34" s="18">
        <v>0</v>
      </c>
      <c r="L34" s="18">
        <v>0</v>
      </c>
      <c r="M34" s="11">
        <f t="shared" si="9"/>
        <v>2206405.4499999997</v>
      </c>
    </row>
    <row r="35" spans="4:14" ht="15.75">
      <c r="D35" s="12">
        <v>23</v>
      </c>
      <c r="E35" s="554" t="s">
        <v>12</v>
      </c>
      <c r="F35" s="12">
        <f t="shared" si="7"/>
        <v>2016</v>
      </c>
      <c r="G35" s="18">
        <v>63005.07</v>
      </c>
      <c r="H35" s="18">
        <v>1282600.4099999999</v>
      </c>
      <c r="I35" s="18">
        <v>0</v>
      </c>
      <c r="J35" s="18">
        <v>927241.1</v>
      </c>
      <c r="K35" s="18">
        <v>0</v>
      </c>
      <c r="L35" s="18">
        <v>0</v>
      </c>
      <c r="M35" s="11">
        <f t="shared" si="9"/>
        <v>2272846.58</v>
      </c>
    </row>
    <row r="36" spans="4:14" ht="15.75">
      <c r="D36" s="12">
        <v>24</v>
      </c>
      <c r="E36" s="554" t="s">
        <v>13</v>
      </c>
      <c r="F36" s="12">
        <f t="shared" si="7"/>
        <v>2016</v>
      </c>
      <c r="G36" s="18">
        <v>63729.5</v>
      </c>
      <c r="H36" s="18">
        <v>1336004.9099999999</v>
      </c>
      <c r="I36" s="18">
        <v>0</v>
      </c>
      <c r="J36" s="18">
        <v>939553.3</v>
      </c>
      <c r="K36" s="18">
        <v>0</v>
      </c>
      <c r="L36" s="18">
        <v>0</v>
      </c>
      <c r="M36" s="11">
        <f t="shared" si="9"/>
        <v>2339287.71</v>
      </c>
    </row>
    <row r="37" spans="4:14" ht="15.75">
      <c r="D37" s="12">
        <v>25</v>
      </c>
      <c r="E37" s="554" t="s">
        <v>14</v>
      </c>
      <c r="F37" s="12">
        <f t="shared" si="7"/>
        <v>2016</v>
      </c>
      <c r="G37" s="18">
        <v>64453.93</v>
      </c>
      <c r="H37" s="18">
        <v>1389409.41</v>
      </c>
      <c r="I37" s="18">
        <v>0</v>
      </c>
      <c r="J37" s="18">
        <v>951865.5</v>
      </c>
      <c r="K37" s="18">
        <v>0</v>
      </c>
      <c r="L37" s="18">
        <v>0</v>
      </c>
      <c r="M37" s="11">
        <f t="shared" si="9"/>
        <v>2405728.84</v>
      </c>
    </row>
    <row r="38" spans="4:14" ht="15.75">
      <c r="D38" s="12">
        <v>26</v>
      </c>
      <c r="E38" s="554" t="s">
        <v>15</v>
      </c>
      <c r="F38" s="12">
        <f t="shared" si="7"/>
        <v>2016</v>
      </c>
      <c r="G38" s="18">
        <v>65178.36</v>
      </c>
      <c r="H38" s="18">
        <v>1442813.91</v>
      </c>
      <c r="I38" s="18">
        <v>0</v>
      </c>
      <c r="J38" s="18">
        <v>964177.7</v>
      </c>
      <c r="K38" s="18">
        <v>0</v>
      </c>
      <c r="L38" s="18">
        <v>0</v>
      </c>
      <c r="M38" s="11">
        <f t="shared" si="9"/>
        <v>2472169.9699999997</v>
      </c>
    </row>
    <row r="39" spans="4:14" ht="15.75">
      <c r="D39" s="12">
        <v>27</v>
      </c>
      <c r="E39" s="554" t="s">
        <v>16</v>
      </c>
      <c r="F39" s="12">
        <f t="shared" si="7"/>
        <v>2016</v>
      </c>
      <c r="G39" s="18">
        <v>65902.789999999994</v>
      </c>
      <c r="H39" s="18">
        <v>1496218.41</v>
      </c>
      <c r="I39" s="18">
        <v>0</v>
      </c>
      <c r="J39" s="18">
        <v>976490</v>
      </c>
      <c r="K39" s="18">
        <v>0</v>
      </c>
      <c r="L39" s="18">
        <v>0</v>
      </c>
      <c r="M39" s="11">
        <f t="shared" si="9"/>
        <v>2538611.2000000002</v>
      </c>
    </row>
    <row r="40" spans="4:14" ht="17.25">
      <c r="D40" s="12">
        <v>28</v>
      </c>
      <c r="E40" s="554" t="s">
        <v>17</v>
      </c>
      <c r="F40" s="12">
        <f t="shared" si="7"/>
        <v>2016</v>
      </c>
      <c r="G40" s="32">
        <v>66627.22</v>
      </c>
      <c r="H40" s="32">
        <v>1548485.47</v>
      </c>
      <c r="I40" s="19">
        <v>0</v>
      </c>
      <c r="J40" s="19">
        <v>878797.2</v>
      </c>
      <c r="K40" s="32">
        <v>0</v>
      </c>
      <c r="L40" s="19">
        <v>0</v>
      </c>
      <c r="M40" s="567">
        <f t="shared" si="8"/>
        <v>2493909.8899999997</v>
      </c>
      <c r="N40" s="96"/>
    </row>
    <row r="41" spans="4:14">
      <c r="D41" s="12">
        <v>29</v>
      </c>
    </row>
    <row r="42" spans="4:14" ht="17.25">
      <c r="D42" s="12">
        <v>30</v>
      </c>
      <c r="E42" s="94" t="s">
        <v>23</v>
      </c>
      <c r="F42" s="15"/>
      <c r="G42" s="566">
        <f t="shared" ref="G42:L42" si="10">SUM(G28:G40)/13</f>
        <v>62280.640000000007</v>
      </c>
      <c r="H42" s="566">
        <f t="shared" si="10"/>
        <v>1229414.6592307694</v>
      </c>
      <c r="I42" s="566">
        <f t="shared" si="10"/>
        <v>0</v>
      </c>
      <c r="J42" s="566">
        <f t="shared" si="10"/>
        <v>906466.9384615384</v>
      </c>
      <c r="K42" s="27">
        <f t="shared" si="10"/>
        <v>0</v>
      </c>
      <c r="L42" s="27">
        <f t="shared" si="10"/>
        <v>0</v>
      </c>
      <c r="M42" s="27">
        <f>SUM(G42:L42)</f>
        <v>2198162.2376923077</v>
      </c>
    </row>
    <row r="43" spans="4:14">
      <c r="E43" s="86" t="s">
        <v>167</v>
      </c>
      <c r="F43" s="86"/>
      <c r="G43" s="86" t="s">
        <v>173</v>
      </c>
      <c r="H43" s="86" t="s">
        <v>174</v>
      </c>
      <c r="I43" s="86" t="s">
        <v>175</v>
      </c>
      <c r="J43" s="86" t="s">
        <v>176</v>
      </c>
      <c r="K43" s="86" t="s">
        <v>176</v>
      </c>
      <c r="L43" s="86" t="s">
        <v>177</v>
      </c>
    </row>
    <row r="44" spans="4:14" ht="30">
      <c r="D44" s="7" t="s">
        <v>0</v>
      </c>
      <c r="E44" s="7" t="s">
        <v>28</v>
      </c>
      <c r="F44" s="7" t="s">
        <v>2</v>
      </c>
      <c r="G44" s="7" t="s">
        <v>19</v>
      </c>
      <c r="H44" s="7" t="s">
        <v>20</v>
      </c>
      <c r="I44" s="7" t="s">
        <v>21</v>
      </c>
      <c r="J44" s="7" t="str">
        <f>J27</f>
        <v xml:space="preserve">General </v>
      </c>
      <c r="K44" s="7" t="str">
        <f>K27</f>
        <v>Intangible</v>
      </c>
      <c r="L44" s="7" t="s">
        <v>22</v>
      </c>
      <c r="M44" s="7" t="s">
        <v>29</v>
      </c>
    </row>
    <row r="45" spans="4:14">
      <c r="D45" s="12">
        <v>31</v>
      </c>
      <c r="E45" s="552" t="s">
        <v>17</v>
      </c>
      <c r="F45" s="9">
        <f>CurrentYear-1</f>
        <v>2015</v>
      </c>
      <c r="G45" s="18">
        <f>G10-G28</f>
        <v>289794.19</v>
      </c>
      <c r="H45" s="18">
        <f t="shared" ref="H45:M45" si="11">H10-H28</f>
        <v>24633260.620000001</v>
      </c>
      <c r="I45" s="18">
        <f t="shared" si="11"/>
        <v>0</v>
      </c>
      <c r="J45" s="18">
        <f t="shared" si="11"/>
        <v>683274.37999999989</v>
      </c>
      <c r="K45" s="18">
        <f t="shared" ref="K45" si="12">K10-K28</f>
        <v>0</v>
      </c>
      <c r="L45" s="18">
        <f t="shared" si="11"/>
        <v>0</v>
      </c>
      <c r="M45" s="18">
        <f t="shared" si="11"/>
        <v>25606329.190000001</v>
      </c>
    </row>
    <row r="46" spans="4:14">
      <c r="D46" s="12">
        <v>32</v>
      </c>
      <c r="E46" s="553" t="s">
        <v>6</v>
      </c>
      <c r="F46" s="12">
        <f t="shared" ref="F46:F57" si="13">CurrentYear</f>
        <v>2016</v>
      </c>
      <c r="G46" s="18">
        <f t="shared" ref="G46:M57" si="14">G11-G29</f>
        <v>289069.76</v>
      </c>
      <c r="H46" s="18">
        <f t="shared" si="14"/>
        <v>24580045.700000003</v>
      </c>
      <c r="I46" s="18">
        <f t="shared" si="14"/>
        <v>0</v>
      </c>
      <c r="J46" s="18">
        <f t="shared" si="14"/>
        <v>671689.29</v>
      </c>
      <c r="K46" s="18">
        <f t="shared" ref="K46" si="15">K11-K29</f>
        <v>0</v>
      </c>
      <c r="L46" s="18">
        <f t="shared" si="14"/>
        <v>0</v>
      </c>
      <c r="M46" s="18">
        <f t="shared" si="14"/>
        <v>25540804.75</v>
      </c>
    </row>
    <row r="47" spans="4:14" ht="15.75">
      <c r="D47" s="12">
        <v>33</v>
      </c>
      <c r="E47" s="554" t="s">
        <v>7</v>
      </c>
      <c r="F47" s="12">
        <f t="shared" si="13"/>
        <v>2016</v>
      </c>
      <c r="G47" s="18">
        <f t="shared" si="14"/>
        <v>288345.33</v>
      </c>
      <c r="H47" s="18">
        <f t="shared" si="14"/>
        <v>24526830.780000001</v>
      </c>
      <c r="I47" s="18">
        <f t="shared" si="14"/>
        <v>0</v>
      </c>
      <c r="J47" s="18">
        <f t="shared" si="14"/>
        <v>672268.79</v>
      </c>
      <c r="K47" s="18">
        <f t="shared" ref="K47" si="16">K12-K30</f>
        <v>0</v>
      </c>
      <c r="L47" s="18">
        <f t="shared" si="14"/>
        <v>0</v>
      </c>
      <c r="M47" s="18">
        <f t="shared" si="14"/>
        <v>25487444.900000002</v>
      </c>
    </row>
    <row r="48" spans="4:14" ht="15.75">
      <c r="D48" s="12">
        <v>34</v>
      </c>
      <c r="E48" s="554" t="s">
        <v>8</v>
      </c>
      <c r="F48" s="12">
        <f t="shared" si="13"/>
        <v>2016</v>
      </c>
      <c r="G48" s="18">
        <f t="shared" si="14"/>
        <v>287620.90000000002</v>
      </c>
      <c r="H48" s="18">
        <f t="shared" si="14"/>
        <v>24473615.860000003</v>
      </c>
      <c r="I48" s="18">
        <f t="shared" si="14"/>
        <v>0</v>
      </c>
      <c r="J48" s="18">
        <f t="shared" si="14"/>
        <v>665083.92000000016</v>
      </c>
      <c r="K48" s="18">
        <f t="shared" ref="K48" si="17">K13-K31</f>
        <v>0</v>
      </c>
      <c r="L48" s="18">
        <f t="shared" si="14"/>
        <v>0</v>
      </c>
      <c r="M48" s="18">
        <f t="shared" si="14"/>
        <v>25426320.680000003</v>
      </c>
    </row>
    <row r="49" spans="4:13" ht="15.75">
      <c r="D49" s="12">
        <v>35</v>
      </c>
      <c r="E49" s="554" t="s">
        <v>9</v>
      </c>
      <c r="F49" s="12">
        <f t="shared" si="13"/>
        <v>2016</v>
      </c>
      <c r="G49" s="18">
        <f t="shared" si="14"/>
        <v>286896.46999999997</v>
      </c>
      <c r="H49" s="18">
        <f t="shared" si="14"/>
        <v>24420400.940000001</v>
      </c>
      <c r="I49" s="18">
        <f t="shared" si="14"/>
        <v>0</v>
      </c>
      <c r="J49" s="18">
        <f t="shared" si="14"/>
        <v>652771.72000000009</v>
      </c>
      <c r="K49" s="18">
        <f t="shared" ref="K49" si="18">K14-K32</f>
        <v>0</v>
      </c>
      <c r="L49" s="18">
        <f t="shared" si="14"/>
        <v>0</v>
      </c>
      <c r="M49" s="18">
        <f t="shared" si="14"/>
        <v>25360069.130000003</v>
      </c>
    </row>
    <row r="50" spans="4:13" ht="15.75">
      <c r="D50" s="12">
        <v>36</v>
      </c>
      <c r="E50" s="554" t="s">
        <v>10</v>
      </c>
      <c r="F50" s="12">
        <f t="shared" si="13"/>
        <v>2016</v>
      </c>
      <c r="G50" s="18">
        <f t="shared" si="14"/>
        <v>286172.03999999998</v>
      </c>
      <c r="H50" s="18">
        <f t="shared" si="14"/>
        <v>24367186.020000003</v>
      </c>
      <c r="I50" s="18">
        <f t="shared" si="14"/>
        <v>0</v>
      </c>
      <c r="J50" s="18">
        <f t="shared" si="14"/>
        <v>640459.52000000014</v>
      </c>
      <c r="K50" s="18">
        <f t="shared" ref="K50" si="19">K15-K33</f>
        <v>0</v>
      </c>
      <c r="L50" s="18">
        <f t="shared" si="14"/>
        <v>0</v>
      </c>
      <c r="M50" s="18">
        <f t="shared" si="14"/>
        <v>25293817.580000002</v>
      </c>
    </row>
    <row r="51" spans="4:13" ht="15.75">
      <c r="D51" s="12">
        <v>37</v>
      </c>
      <c r="E51" s="554" t="s">
        <v>11</v>
      </c>
      <c r="F51" s="12">
        <f t="shared" si="13"/>
        <v>2016</v>
      </c>
      <c r="G51" s="18">
        <f t="shared" si="14"/>
        <v>285447.61</v>
      </c>
      <c r="H51" s="18">
        <f t="shared" si="14"/>
        <v>24313971.100000001</v>
      </c>
      <c r="I51" s="18">
        <f t="shared" si="14"/>
        <v>0</v>
      </c>
      <c r="J51" s="18">
        <f t="shared" si="14"/>
        <v>628147.22000000009</v>
      </c>
      <c r="K51" s="18">
        <f t="shared" ref="K51" si="20">K16-K34</f>
        <v>0</v>
      </c>
      <c r="L51" s="18">
        <f t="shared" si="14"/>
        <v>0</v>
      </c>
      <c r="M51" s="18">
        <f t="shared" si="14"/>
        <v>25227565.930000003</v>
      </c>
    </row>
    <row r="52" spans="4:13" ht="15.75">
      <c r="D52" s="12">
        <v>38</v>
      </c>
      <c r="E52" s="554" t="s">
        <v>12</v>
      </c>
      <c r="F52" s="12">
        <f t="shared" si="13"/>
        <v>2016</v>
      </c>
      <c r="G52" s="18">
        <f t="shared" si="14"/>
        <v>284723.18</v>
      </c>
      <c r="H52" s="18">
        <f t="shared" si="14"/>
        <v>24260566.600000001</v>
      </c>
      <c r="I52" s="18">
        <f t="shared" si="14"/>
        <v>0</v>
      </c>
      <c r="J52" s="18">
        <f t="shared" si="14"/>
        <v>696835.02000000014</v>
      </c>
      <c r="K52" s="18">
        <f t="shared" ref="K52" si="21">K17-K35</f>
        <v>0</v>
      </c>
      <c r="L52" s="18">
        <f t="shared" si="14"/>
        <v>0</v>
      </c>
      <c r="M52" s="18">
        <f t="shared" si="14"/>
        <v>25242124.800000004</v>
      </c>
    </row>
    <row r="53" spans="4:13" ht="15.75">
      <c r="D53" s="12">
        <v>39</v>
      </c>
      <c r="E53" s="554" t="s">
        <v>13</v>
      </c>
      <c r="F53" s="12">
        <f t="shared" si="13"/>
        <v>2016</v>
      </c>
      <c r="G53" s="18">
        <f t="shared" si="14"/>
        <v>283998.75</v>
      </c>
      <c r="H53" s="18">
        <f t="shared" si="14"/>
        <v>24207162.100000001</v>
      </c>
      <c r="I53" s="18">
        <f t="shared" si="14"/>
        <v>0</v>
      </c>
      <c r="J53" s="18">
        <f t="shared" si="14"/>
        <v>706806.28</v>
      </c>
      <c r="K53" s="18">
        <f t="shared" ref="K53" si="22">K18-K36</f>
        <v>0</v>
      </c>
      <c r="L53" s="18">
        <f t="shared" si="14"/>
        <v>0</v>
      </c>
      <c r="M53" s="18">
        <f t="shared" si="14"/>
        <v>25197967.130000003</v>
      </c>
    </row>
    <row r="54" spans="4:13" ht="15.75">
      <c r="D54" s="12">
        <v>40</v>
      </c>
      <c r="E54" s="554" t="s">
        <v>14</v>
      </c>
      <c r="F54" s="12">
        <f t="shared" si="13"/>
        <v>2016</v>
      </c>
      <c r="G54" s="18">
        <f t="shared" si="14"/>
        <v>283274.32</v>
      </c>
      <c r="H54" s="18">
        <f t="shared" si="14"/>
        <v>24153757.600000001</v>
      </c>
      <c r="I54" s="18">
        <f t="shared" si="14"/>
        <v>0</v>
      </c>
      <c r="J54" s="18">
        <f t="shared" si="14"/>
        <v>697333.3899999999</v>
      </c>
      <c r="K54" s="18">
        <f t="shared" ref="K54" si="23">K19-K37</f>
        <v>0</v>
      </c>
      <c r="L54" s="18">
        <f t="shared" si="14"/>
        <v>0</v>
      </c>
      <c r="M54" s="18">
        <f t="shared" si="14"/>
        <v>25134365.310000002</v>
      </c>
    </row>
    <row r="55" spans="4:13" ht="15.75">
      <c r="D55" s="12">
        <v>41</v>
      </c>
      <c r="E55" s="554" t="s">
        <v>15</v>
      </c>
      <c r="F55" s="12">
        <f t="shared" si="13"/>
        <v>2016</v>
      </c>
      <c r="G55" s="18">
        <f t="shared" si="14"/>
        <v>282549.89</v>
      </c>
      <c r="H55" s="18">
        <f t="shared" si="14"/>
        <v>24100353.100000001</v>
      </c>
      <c r="I55" s="18">
        <f t="shared" si="14"/>
        <v>0</v>
      </c>
      <c r="J55" s="18">
        <f t="shared" si="14"/>
        <v>697121.19</v>
      </c>
      <c r="K55" s="18">
        <f t="shared" ref="K55" si="24">K20-K38</f>
        <v>0</v>
      </c>
      <c r="L55" s="18">
        <f t="shared" si="14"/>
        <v>0</v>
      </c>
      <c r="M55" s="18">
        <f t="shared" si="14"/>
        <v>25080024.180000003</v>
      </c>
    </row>
    <row r="56" spans="4:13" ht="15.75">
      <c r="D56" s="12">
        <v>42</v>
      </c>
      <c r="E56" s="554" t="s">
        <v>16</v>
      </c>
      <c r="F56" s="12">
        <f t="shared" si="13"/>
        <v>2016</v>
      </c>
      <c r="G56" s="18">
        <f t="shared" si="14"/>
        <v>281825.46000000002</v>
      </c>
      <c r="H56" s="18">
        <f t="shared" si="14"/>
        <v>24046948.600000001</v>
      </c>
      <c r="I56" s="18">
        <f t="shared" si="14"/>
        <v>0</v>
      </c>
      <c r="J56" s="18">
        <f t="shared" si="14"/>
        <v>692608.8899999999</v>
      </c>
      <c r="K56" s="18">
        <f t="shared" ref="K56" si="25">K21-K39</f>
        <v>0</v>
      </c>
      <c r="L56" s="18">
        <f t="shared" si="14"/>
        <v>0</v>
      </c>
      <c r="M56" s="18">
        <f t="shared" si="14"/>
        <v>25021382.950000003</v>
      </c>
    </row>
    <row r="57" spans="4:13" ht="15.75">
      <c r="D57" s="12">
        <v>43</v>
      </c>
      <c r="E57" s="554" t="s">
        <v>17</v>
      </c>
      <c r="F57" s="12">
        <f t="shared" si="13"/>
        <v>2016</v>
      </c>
      <c r="G57" s="19">
        <f t="shared" si="14"/>
        <v>281101.03000000003</v>
      </c>
      <c r="H57" s="19">
        <f t="shared" si="14"/>
        <v>23994681.540000003</v>
      </c>
      <c r="I57" s="19">
        <f t="shared" si="14"/>
        <v>0</v>
      </c>
      <c r="J57" s="19">
        <f t="shared" si="14"/>
        <v>688845.44</v>
      </c>
      <c r="K57" s="19">
        <f t="shared" ref="K57" si="26">K22-K40</f>
        <v>0</v>
      </c>
      <c r="L57" s="19">
        <f t="shared" si="14"/>
        <v>0</v>
      </c>
      <c r="M57" s="19">
        <f t="shared" si="14"/>
        <v>24964628.010000002</v>
      </c>
    </row>
    <row r="58" spans="4:13">
      <c r="D58" s="12">
        <v>44</v>
      </c>
    </row>
    <row r="59" spans="4:13" ht="17.25">
      <c r="D59" s="12">
        <v>45</v>
      </c>
      <c r="E59" s="5" t="s">
        <v>192</v>
      </c>
      <c r="F59" s="15"/>
      <c r="G59" s="27">
        <f>G24-G42</f>
        <v>285447.61</v>
      </c>
      <c r="H59" s="27">
        <f t="shared" ref="H59:M59" si="27">H24-H42</f>
        <v>24313752.350769226</v>
      </c>
      <c r="I59" s="27">
        <f t="shared" si="27"/>
        <v>0</v>
      </c>
      <c r="J59" s="27">
        <f t="shared" si="27"/>
        <v>676403.46538461582</v>
      </c>
      <c r="K59" s="27">
        <f t="shared" si="27"/>
        <v>0</v>
      </c>
      <c r="L59" s="27">
        <f t="shared" si="27"/>
        <v>0</v>
      </c>
      <c r="M59" s="27">
        <f t="shared" si="27"/>
        <v>25275603.426153842</v>
      </c>
    </row>
    <row r="61" spans="4:13" ht="17.25">
      <c r="G61" s="33"/>
      <c r="H61" s="34"/>
      <c r="I61" s="34"/>
    </row>
    <row r="62" spans="4:13">
      <c r="G62" s="18"/>
      <c r="H62" s="28"/>
      <c r="I62" s="28"/>
    </row>
    <row r="63" spans="4:13">
      <c r="G63" s="18"/>
      <c r="H63" s="28"/>
      <c r="I63" s="28"/>
    </row>
    <row r="64" spans="4:13">
      <c r="G64" s="18"/>
      <c r="H64" s="28"/>
      <c r="I64" s="28"/>
    </row>
    <row r="65" spans="7:9">
      <c r="G65" s="18"/>
      <c r="H65" s="28"/>
      <c r="I65" s="28"/>
    </row>
    <row r="66" spans="7:9">
      <c r="G66" s="18"/>
      <c r="H66" s="28"/>
      <c r="I66" s="28"/>
    </row>
    <row r="67" spans="7:9">
      <c r="G67" s="18"/>
      <c r="H67" s="28"/>
      <c r="I67" s="28"/>
    </row>
    <row r="68" spans="7:9">
      <c r="G68" s="18"/>
      <c r="H68" s="28"/>
      <c r="I68" s="28"/>
    </row>
    <row r="69" spans="7:9">
      <c r="G69" s="18"/>
      <c r="H69" s="28"/>
      <c r="I69" s="28"/>
    </row>
    <row r="70" spans="7:9">
      <c r="G70" s="18"/>
      <c r="H70" s="28"/>
    </row>
    <row r="71" spans="7:9" ht="6.75" customHeight="1"/>
    <row r="72" spans="7:9" ht="6.75" customHeight="1"/>
  </sheetData>
  <printOptions horizontalCentered="1" verticalCentered="1"/>
  <pageMargins left="0.2" right="0.2" top="0.5" bottom="0.25" header="0.3" footer="0.3"/>
  <pageSetup scale="52" orientation="landscape" r:id="rId1"/>
  <headerFooter>
    <oddHeader>&amp;L&amp;"-,Bold"Central Minnesota Municipal Power Agency
2014 Attachment O Workpapers&amp;R&amp;"-,Bold"&amp;12Exhibit CMMPA-11
Page 2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zoomScale="70" zoomScaleNormal="70" workbookViewId="0">
      <selection sqref="A1:C1"/>
    </sheetView>
  </sheetViews>
  <sheetFormatPr defaultRowHeight="15"/>
  <cols>
    <col min="1" max="1" width="15" customWidth="1"/>
    <col min="2" max="2" width="20.28515625" customWidth="1"/>
    <col min="3" max="3" width="17.28515625" customWidth="1"/>
    <col min="4" max="4" width="19.85546875" customWidth="1"/>
    <col min="5" max="5" width="2" customWidth="1"/>
    <col min="6" max="8" width="16.140625" customWidth="1"/>
    <col min="9" max="9" width="2" customWidth="1"/>
    <col min="10" max="10" width="16.85546875" customWidth="1"/>
    <col min="11" max="11" width="15.5703125" customWidth="1"/>
    <col min="12" max="12" width="22.140625" bestFit="1" customWidth="1"/>
    <col min="13" max="13" width="1.85546875" customWidth="1"/>
    <col min="14" max="14" width="18.28515625" customWidth="1"/>
  </cols>
  <sheetData>
    <row r="1" spans="1:14" ht="129.75" customHeight="1">
      <c r="A1" s="636" t="s">
        <v>752</v>
      </c>
      <c r="B1" s="637"/>
      <c r="C1" s="637"/>
    </row>
    <row r="2" spans="1:14">
      <c r="A2" s="638"/>
      <c r="B2" s="638"/>
    </row>
    <row r="4" spans="1:14">
      <c r="B4" t="s">
        <v>753</v>
      </c>
    </row>
    <row r="5" spans="1:14">
      <c r="B5" s="281" t="s">
        <v>754</v>
      </c>
      <c r="C5" s="282" t="s">
        <v>755</v>
      </c>
      <c r="D5" s="282" t="s">
        <v>756</v>
      </c>
      <c r="E5" s="12"/>
      <c r="F5" s="282" t="s">
        <v>757</v>
      </c>
      <c r="G5" s="282" t="s">
        <v>758</v>
      </c>
      <c r="H5" s="282" t="s">
        <v>759</v>
      </c>
      <c r="I5" s="12"/>
      <c r="J5" s="282" t="s">
        <v>760</v>
      </c>
      <c r="K5" s="282" t="s">
        <v>761</v>
      </c>
      <c r="L5" s="282" t="s">
        <v>762</v>
      </c>
      <c r="N5" s="282" t="s">
        <v>763</v>
      </c>
    </row>
    <row r="6" spans="1:14">
      <c r="B6" s="283"/>
      <c r="C6" s="283"/>
      <c r="D6" s="281" t="s">
        <v>764</v>
      </c>
      <c r="E6" s="284"/>
      <c r="F6" s="283"/>
      <c r="G6" s="283"/>
      <c r="H6" s="281" t="s">
        <v>765</v>
      </c>
      <c r="J6" s="283"/>
      <c r="K6" s="283"/>
      <c r="L6" s="281" t="s">
        <v>766</v>
      </c>
      <c r="N6" s="281" t="s">
        <v>767</v>
      </c>
    </row>
    <row r="7" spans="1:14" ht="147" customHeight="1">
      <c r="A7" s="285"/>
      <c r="B7" s="286" t="s">
        <v>768</v>
      </c>
      <c r="C7" s="287" t="s">
        <v>769</v>
      </c>
      <c r="D7" s="286" t="s">
        <v>770</v>
      </c>
      <c r="E7" s="288"/>
      <c r="F7" s="287" t="s">
        <v>771</v>
      </c>
      <c r="G7" s="289" t="s">
        <v>772</v>
      </c>
      <c r="H7" s="287" t="s">
        <v>773</v>
      </c>
      <c r="J7" s="287" t="s">
        <v>774</v>
      </c>
      <c r="K7" s="287" t="s">
        <v>775</v>
      </c>
      <c r="L7" s="287" t="s">
        <v>776</v>
      </c>
      <c r="N7" s="287" t="s">
        <v>777</v>
      </c>
    </row>
    <row r="8" spans="1:14">
      <c r="A8" s="290">
        <v>42339</v>
      </c>
      <c r="B8" s="498">
        <f>Plant!H10</f>
        <v>25543167.010000002</v>
      </c>
      <c r="C8" s="499">
        <v>0</v>
      </c>
      <c r="D8" s="291">
        <f>+B8-C8</f>
        <v>25543167.010000002</v>
      </c>
      <c r="E8" s="292"/>
      <c r="F8" s="498">
        <f>Plant!H28</f>
        <v>909906.39</v>
      </c>
      <c r="G8" s="498">
        <v>0</v>
      </c>
      <c r="H8" s="291">
        <f>+F8-G8</f>
        <v>909906.39</v>
      </c>
      <c r="J8" s="498">
        <f>CWIP!H10</f>
        <v>0</v>
      </c>
      <c r="K8" s="498">
        <v>0</v>
      </c>
      <c r="L8" s="291">
        <f>+J8-K8</f>
        <v>0</v>
      </c>
      <c r="N8" s="293">
        <f>+C8-G8+K8</f>
        <v>0</v>
      </c>
    </row>
    <row r="9" spans="1:14">
      <c r="A9" s="290">
        <v>42370</v>
      </c>
      <c r="B9" s="500">
        <f>Plant!H11</f>
        <v>25543167.010000002</v>
      </c>
      <c r="C9" s="501">
        <v>0</v>
      </c>
      <c r="D9" s="294">
        <f t="shared" ref="D9:D20" si="0">+B9-C9</f>
        <v>25543167.010000002</v>
      </c>
      <c r="E9" s="292"/>
      <c r="F9" s="500">
        <f>Plant!H29</f>
        <v>963121.31</v>
      </c>
      <c r="G9" s="500">
        <v>0</v>
      </c>
      <c r="H9" s="294">
        <f t="shared" ref="H9:H20" si="1">+F9-G9</f>
        <v>963121.31</v>
      </c>
      <c r="J9" s="500">
        <f>CWIP!H11</f>
        <v>0</v>
      </c>
      <c r="K9" s="500">
        <v>0</v>
      </c>
      <c r="L9" s="294">
        <f t="shared" ref="L9:L20" si="2">+J9-K9</f>
        <v>0</v>
      </c>
      <c r="N9" s="295">
        <f t="shared" ref="N9:N20" si="3">+C9-G9+K9</f>
        <v>0</v>
      </c>
    </row>
    <row r="10" spans="1:14">
      <c r="A10" s="290">
        <v>42401</v>
      </c>
      <c r="B10" s="500">
        <f>Plant!H12</f>
        <v>25543167.010000002</v>
      </c>
      <c r="C10" s="501">
        <v>0</v>
      </c>
      <c r="D10" s="294">
        <f t="shared" si="0"/>
        <v>25543167.010000002</v>
      </c>
      <c r="E10" s="292"/>
      <c r="F10" s="500">
        <f>Plant!H30</f>
        <v>1016336.23</v>
      </c>
      <c r="G10" s="500">
        <v>0</v>
      </c>
      <c r="H10" s="294">
        <f t="shared" si="1"/>
        <v>1016336.23</v>
      </c>
      <c r="J10" s="500">
        <f>CWIP!H12</f>
        <v>0</v>
      </c>
      <c r="K10" s="500">
        <v>0</v>
      </c>
      <c r="L10" s="294">
        <f t="shared" si="2"/>
        <v>0</v>
      </c>
      <c r="N10" s="295">
        <f t="shared" si="3"/>
        <v>0</v>
      </c>
    </row>
    <row r="11" spans="1:14">
      <c r="A11" s="290">
        <v>42430</v>
      </c>
      <c r="B11" s="500">
        <f>Plant!H13</f>
        <v>25543167.010000002</v>
      </c>
      <c r="C11" s="501">
        <v>0</v>
      </c>
      <c r="D11" s="294">
        <f t="shared" si="0"/>
        <v>25543167.010000002</v>
      </c>
      <c r="E11" s="292"/>
      <c r="F11" s="500">
        <f>Plant!H31</f>
        <v>1069551.1499999999</v>
      </c>
      <c r="G11" s="500">
        <v>0</v>
      </c>
      <c r="H11" s="294">
        <f t="shared" si="1"/>
        <v>1069551.1499999999</v>
      </c>
      <c r="J11" s="500">
        <f>CWIP!H13</f>
        <v>0</v>
      </c>
      <c r="K11" s="500">
        <v>0</v>
      </c>
      <c r="L11" s="294">
        <f t="shared" si="2"/>
        <v>0</v>
      </c>
      <c r="N11" s="295">
        <f t="shared" si="3"/>
        <v>0</v>
      </c>
    </row>
    <row r="12" spans="1:14">
      <c r="A12" s="290">
        <v>42461</v>
      </c>
      <c r="B12" s="500">
        <f>Plant!H14</f>
        <v>25543167.010000002</v>
      </c>
      <c r="C12" s="501">
        <v>0</v>
      </c>
      <c r="D12" s="294">
        <f t="shared" si="0"/>
        <v>25543167.010000002</v>
      </c>
      <c r="E12" s="292"/>
      <c r="F12" s="500">
        <f>Plant!H32</f>
        <v>1122766.07</v>
      </c>
      <c r="G12" s="500">
        <v>0</v>
      </c>
      <c r="H12" s="294">
        <f t="shared" si="1"/>
        <v>1122766.07</v>
      </c>
      <c r="J12" s="500">
        <f>CWIP!H14</f>
        <v>0</v>
      </c>
      <c r="K12" s="500">
        <v>0</v>
      </c>
      <c r="L12" s="294">
        <f t="shared" si="2"/>
        <v>0</v>
      </c>
      <c r="N12" s="295">
        <f t="shared" si="3"/>
        <v>0</v>
      </c>
    </row>
    <row r="13" spans="1:14">
      <c r="A13" s="290">
        <v>42491</v>
      </c>
      <c r="B13" s="500">
        <f>Plant!H15</f>
        <v>25543167.010000002</v>
      </c>
      <c r="C13" s="501">
        <v>0</v>
      </c>
      <c r="D13" s="294">
        <f t="shared" si="0"/>
        <v>25543167.010000002</v>
      </c>
      <c r="E13" s="292"/>
      <c r="F13" s="500">
        <f>Plant!H33</f>
        <v>1175980.99</v>
      </c>
      <c r="G13" s="500">
        <v>0</v>
      </c>
      <c r="H13" s="294">
        <f t="shared" si="1"/>
        <v>1175980.99</v>
      </c>
      <c r="J13" s="500">
        <f>CWIP!H15</f>
        <v>0</v>
      </c>
      <c r="K13" s="500">
        <v>0</v>
      </c>
      <c r="L13" s="294">
        <f t="shared" si="2"/>
        <v>0</v>
      </c>
      <c r="N13" s="295">
        <f t="shared" si="3"/>
        <v>0</v>
      </c>
    </row>
    <row r="14" spans="1:14">
      <c r="A14" s="290">
        <v>42522</v>
      </c>
      <c r="B14" s="500">
        <f>Plant!H16</f>
        <v>25543167.010000002</v>
      </c>
      <c r="C14" s="501">
        <v>0</v>
      </c>
      <c r="D14" s="294">
        <f t="shared" si="0"/>
        <v>25543167.010000002</v>
      </c>
      <c r="E14" s="292"/>
      <c r="F14" s="500">
        <f>Plant!H34</f>
        <v>1229195.9099999999</v>
      </c>
      <c r="G14" s="500">
        <v>0</v>
      </c>
      <c r="H14" s="294">
        <f t="shared" si="1"/>
        <v>1229195.9099999999</v>
      </c>
      <c r="J14" s="500">
        <f>CWIP!H16</f>
        <v>0</v>
      </c>
      <c r="K14" s="500">
        <v>0</v>
      </c>
      <c r="L14" s="294">
        <f t="shared" si="2"/>
        <v>0</v>
      </c>
      <c r="N14" s="295">
        <f t="shared" si="3"/>
        <v>0</v>
      </c>
    </row>
    <row r="15" spans="1:14">
      <c r="A15" s="290">
        <v>42552</v>
      </c>
      <c r="B15" s="500">
        <f>Plant!H17</f>
        <v>25543167.010000002</v>
      </c>
      <c r="C15" s="501">
        <v>0</v>
      </c>
      <c r="D15" s="294">
        <f t="shared" si="0"/>
        <v>25543167.010000002</v>
      </c>
      <c r="E15" s="292"/>
      <c r="F15" s="500">
        <f>Plant!H35</f>
        <v>1282600.4099999999</v>
      </c>
      <c r="G15" s="500">
        <v>0</v>
      </c>
      <c r="H15" s="294">
        <f t="shared" si="1"/>
        <v>1282600.4099999999</v>
      </c>
      <c r="J15" s="500">
        <f>CWIP!H17</f>
        <v>92823.07</v>
      </c>
      <c r="K15" s="500">
        <v>0</v>
      </c>
      <c r="L15" s="294">
        <f t="shared" si="2"/>
        <v>92823.07</v>
      </c>
      <c r="N15" s="295">
        <f t="shared" si="3"/>
        <v>0</v>
      </c>
    </row>
    <row r="16" spans="1:14">
      <c r="A16" s="290">
        <v>42583</v>
      </c>
      <c r="B16" s="500">
        <f>Plant!H18</f>
        <v>25543167.010000002</v>
      </c>
      <c r="C16" s="501">
        <v>0</v>
      </c>
      <c r="D16" s="294">
        <f t="shared" si="0"/>
        <v>25543167.010000002</v>
      </c>
      <c r="E16" s="292"/>
      <c r="F16" s="500">
        <f>Plant!H36</f>
        <v>1336004.9099999999</v>
      </c>
      <c r="G16" s="500">
        <v>0</v>
      </c>
      <c r="H16" s="294">
        <f t="shared" si="1"/>
        <v>1336004.9099999999</v>
      </c>
      <c r="J16" s="500">
        <f>CWIP!H18</f>
        <v>92823.07</v>
      </c>
      <c r="K16" s="500">
        <v>0</v>
      </c>
      <c r="L16" s="294">
        <f t="shared" si="2"/>
        <v>92823.07</v>
      </c>
      <c r="N16" s="295">
        <f t="shared" si="3"/>
        <v>0</v>
      </c>
    </row>
    <row r="17" spans="1:14">
      <c r="A17" s="290">
        <v>42614</v>
      </c>
      <c r="B17" s="500">
        <f>Plant!H19</f>
        <v>25543167.010000002</v>
      </c>
      <c r="C17" s="501">
        <v>0</v>
      </c>
      <c r="D17" s="294">
        <f t="shared" si="0"/>
        <v>25543167.010000002</v>
      </c>
      <c r="E17" s="292"/>
      <c r="F17" s="500">
        <f>Plant!H37</f>
        <v>1389409.41</v>
      </c>
      <c r="G17" s="500">
        <v>0</v>
      </c>
      <c r="H17" s="294">
        <f t="shared" si="1"/>
        <v>1389409.41</v>
      </c>
      <c r="J17" s="500">
        <f>CWIP!H19</f>
        <v>92823.07</v>
      </c>
      <c r="K17" s="500">
        <v>0</v>
      </c>
      <c r="L17" s="294">
        <f t="shared" si="2"/>
        <v>92823.07</v>
      </c>
      <c r="N17" s="295">
        <f t="shared" si="3"/>
        <v>0</v>
      </c>
    </row>
    <row r="18" spans="1:14">
      <c r="A18" s="290">
        <v>42644</v>
      </c>
      <c r="B18" s="500">
        <f>Plant!H20</f>
        <v>25543167.010000002</v>
      </c>
      <c r="C18" s="501">
        <v>0</v>
      </c>
      <c r="D18" s="294">
        <f t="shared" si="0"/>
        <v>25543167.010000002</v>
      </c>
      <c r="E18" s="292"/>
      <c r="F18" s="500">
        <f>Plant!H38</f>
        <v>1442813.91</v>
      </c>
      <c r="G18" s="500">
        <v>0</v>
      </c>
      <c r="H18" s="294">
        <f t="shared" si="1"/>
        <v>1442813.91</v>
      </c>
      <c r="J18" s="500">
        <f>CWIP!H20</f>
        <v>35482.470000000008</v>
      </c>
      <c r="K18" s="500">
        <v>0</v>
      </c>
      <c r="L18" s="294">
        <f t="shared" si="2"/>
        <v>35482.470000000008</v>
      </c>
      <c r="N18" s="295">
        <f t="shared" si="3"/>
        <v>0</v>
      </c>
    </row>
    <row r="19" spans="1:14">
      <c r="A19" s="290">
        <v>42675</v>
      </c>
      <c r="B19" s="500">
        <f>Plant!H21</f>
        <v>25543167.010000002</v>
      </c>
      <c r="C19" s="501">
        <v>0</v>
      </c>
      <c r="D19" s="294">
        <f t="shared" si="0"/>
        <v>25543167.010000002</v>
      </c>
      <c r="E19" s="292"/>
      <c r="F19" s="500">
        <f>Plant!H39</f>
        <v>1496218.41</v>
      </c>
      <c r="G19" s="500">
        <v>0</v>
      </c>
      <c r="H19" s="294">
        <f t="shared" si="1"/>
        <v>1496218.41</v>
      </c>
      <c r="J19" s="500">
        <f>CWIP!H21</f>
        <v>35482.470000000008</v>
      </c>
      <c r="K19" s="500">
        <v>0</v>
      </c>
      <c r="L19" s="294">
        <f t="shared" si="2"/>
        <v>35482.470000000008</v>
      </c>
      <c r="N19" s="295">
        <f t="shared" si="3"/>
        <v>0</v>
      </c>
    </row>
    <row r="20" spans="1:14">
      <c r="A20" s="290">
        <v>42705</v>
      </c>
      <c r="B20" s="500">
        <f>Plant!H22</f>
        <v>25543167.010000002</v>
      </c>
      <c r="C20" s="501">
        <v>0</v>
      </c>
      <c r="D20" s="294">
        <f t="shared" si="0"/>
        <v>25543167.010000002</v>
      </c>
      <c r="E20" s="292"/>
      <c r="F20" s="500">
        <f>Plant!H40</f>
        <v>1548485.47</v>
      </c>
      <c r="G20" s="500">
        <v>0</v>
      </c>
      <c r="H20" s="294">
        <f t="shared" si="1"/>
        <v>1548485.47</v>
      </c>
      <c r="J20" s="500">
        <f>CWIP!H22</f>
        <v>-17705.349999999991</v>
      </c>
      <c r="K20" s="500">
        <v>0</v>
      </c>
      <c r="L20" s="294">
        <f t="shared" si="2"/>
        <v>-17705.349999999991</v>
      </c>
      <c r="N20" s="295">
        <f t="shared" si="3"/>
        <v>0</v>
      </c>
    </row>
    <row r="21" spans="1:14">
      <c r="B21" s="502"/>
      <c r="C21" s="503"/>
      <c r="D21" s="296"/>
      <c r="F21" s="504"/>
      <c r="G21" s="504"/>
      <c r="H21" s="296"/>
      <c r="J21" s="504"/>
      <c r="K21" s="504"/>
      <c r="L21" s="296"/>
      <c r="N21" s="297"/>
    </row>
    <row r="22" spans="1:14">
      <c r="A22" t="s">
        <v>778</v>
      </c>
      <c r="B22" s="298">
        <f>AVERAGE(B8:B20)</f>
        <v>25543167.009999994</v>
      </c>
      <c r="C22" s="299">
        <f>AVERAGE(C8:C20)</f>
        <v>0</v>
      </c>
      <c r="D22" s="298">
        <f>AVERAGE(D8:D20)</f>
        <v>25543167.009999994</v>
      </c>
      <c r="E22" s="300"/>
      <c r="F22" s="298">
        <f>AVERAGE(F8:F20)</f>
        <v>1229414.6592307694</v>
      </c>
      <c r="G22" s="298">
        <f>AVERAGE(G8:G20)</f>
        <v>0</v>
      </c>
      <c r="H22" s="298">
        <f>AVERAGE(H8:H20)</f>
        <v>1229414.6592307694</v>
      </c>
      <c r="J22" s="298">
        <f>AVERAGE(J8:J20)</f>
        <v>25517.600000000009</v>
      </c>
      <c r="K22" s="298">
        <f>AVERAGE(K8:K20)</f>
        <v>0</v>
      </c>
      <c r="L22" s="298">
        <f>AVERAGE(L8:L20)</f>
        <v>25517.600000000009</v>
      </c>
      <c r="N22" s="299">
        <f>AVERAGE(N8:N20)</f>
        <v>0</v>
      </c>
    </row>
    <row r="23" spans="1:14">
      <c r="B23" s="283"/>
      <c r="D23" s="283"/>
      <c r="H23" s="283"/>
      <c r="J23" s="283"/>
      <c r="K23" s="283"/>
      <c r="L23" s="283"/>
      <c r="N23" s="283"/>
    </row>
    <row r="24" spans="1:14" ht="60">
      <c r="B24" s="287" t="s">
        <v>779</v>
      </c>
      <c r="C24" s="301"/>
      <c r="D24" s="287" t="s">
        <v>780</v>
      </c>
      <c r="E24" s="288"/>
      <c r="H24" s="287" t="s">
        <v>781</v>
      </c>
      <c r="J24" s="287" t="s">
        <v>782</v>
      </c>
      <c r="K24" s="287" t="s">
        <v>783</v>
      </c>
      <c r="L24" s="287" t="s">
        <v>780</v>
      </c>
      <c r="N24" s="287" t="s">
        <v>783</v>
      </c>
    </row>
    <row r="25" spans="1:14">
      <c r="F25" s="300"/>
      <c r="G25" s="300"/>
    </row>
    <row r="28" spans="1:14">
      <c r="B28" t="s">
        <v>784</v>
      </c>
    </row>
    <row r="29" spans="1:14">
      <c r="B29" s="281" t="s">
        <v>754</v>
      </c>
      <c r="C29" s="282" t="s">
        <v>755</v>
      </c>
      <c r="D29" s="282" t="s">
        <v>756</v>
      </c>
      <c r="E29" s="12"/>
      <c r="F29" s="282" t="s">
        <v>757</v>
      </c>
      <c r="G29" s="282" t="s">
        <v>758</v>
      </c>
      <c r="H29" s="282" t="s">
        <v>759</v>
      </c>
      <c r="I29" s="12"/>
      <c r="J29" s="282" t="s">
        <v>760</v>
      </c>
      <c r="K29" s="282" t="s">
        <v>761</v>
      </c>
      <c r="L29" s="282" t="s">
        <v>762</v>
      </c>
      <c r="N29" s="282" t="s">
        <v>763</v>
      </c>
    </row>
    <row r="30" spans="1:14">
      <c r="B30" s="283"/>
      <c r="C30" s="283"/>
      <c r="D30" s="281" t="s">
        <v>764</v>
      </c>
      <c r="E30" s="284"/>
      <c r="F30" s="283"/>
      <c r="G30" s="283"/>
      <c r="H30" s="281" t="s">
        <v>765</v>
      </c>
      <c r="J30" s="283"/>
      <c r="K30" s="283"/>
      <c r="L30" s="281" t="s">
        <v>766</v>
      </c>
      <c r="N30" s="281" t="s">
        <v>767</v>
      </c>
    </row>
    <row r="31" spans="1:14" ht="120">
      <c r="B31" s="287" t="s">
        <v>785</v>
      </c>
      <c r="C31" s="287" t="s">
        <v>786</v>
      </c>
      <c r="D31" s="287" t="s">
        <v>787</v>
      </c>
      <c r="E31" s="288"/>
      <c r="F31" s="287" t="s">
        <v>771</v>
      </c>
      <c r="G31" s="287" t="s">
        <v>788</v>
      </c>
      <c r="H31" s="287" t="s">
        <v>773</v>
      </c>
      <c r="J31" s="287" t="s">
        <v>774</v>
      </c>
      <c r="K31" s="287" t="s">
        <v>789</v>
      </c>
      <c r="L31" s="287" t="s">
        <v>776</v>
      </c>
      <c r="N31" s="287" t="s">
        <v>777</v>
      </c>
    </row>
    <row r="32" spans="1:14">
      <c r="A32" s="290">
        <v>42339</v>
      </c>
      <c r="B32" s="505">
        <v>0</v>
      </c>
      <c r="C32" s="505">
        <v>0</v>
      </c>
      <c r="D32" s="302">
        <f>+B32-C32</f>
        <v>0</v>
      </c>
      <c r="E32" s="292"/>
      <c r="F32" s="505">
        <v>0</v>
      </c>
      <c r="G32" s="505">
        <v>0</v>
      </c>
      <c r="H32" s="302">
        <f>+F32-G32</f>
        <v>0</v>
      </c>
      <c r="J32" s="505">
        <v>0</v>
      </c>
      <c r="K32" s="505">
        <v>0</v>
      </c>
      <c r="L32" s="302">
        <f>+J32-K32</f>
        <v>0</v>
      </c>
      <c r="N32" s="293">
        <f>+C32-G32+K32</f>
        <v>0</v>
      </c>
    </row>
    <row r="33" spans="1:14">
      <c r="A33" s="290">
        <v>42370</v>
      </c>
      <c r="B33" s="506">
        <v>0</v>
      </c>
      <c r="C33" s="506">
        <v>0</v>
      </c>
      <c r="D33" s="303">
        <f t="shared" ref="D33:D44" si="4">+B33-C33</f>
        <v>0</v>
      </c>
      <c r="E33" s="292"/>
      <c r="F33" s="506">
        <v>0</v>
      </c>
      <c r="G33" s="506">
        <v>0</v>
      </c>
      <c r="H33" s="303">
        <f t="shared" ref="H33:H44" si="5">+F33-G33</f>
        <v>0</v>
      </c>
      <c r="J33" s="506">
        <v>0</v>
      </c>
      <c r="K33" s="506">
        <v>0</v>
      </c>
      <c r="L33" s="303">
        <f t="shared" ref="L33:L44" si="6">+J33-K33</f>
        <v>0</v>
      </c>
      <c r="N33" s="295">
        <f t="shared" ref="N33:N44" si="7">+C33-G33+K33</f>
        <v>0</v>
      </c>
    </row>
    <row r="34" spans="1:14">
      <c r="A34" s="290">
        <v>42401</v>
      </c>
      <c r="B34" s="506">
        <v>0</v>
      </c>
      <c r="C34" s="506">
        <v>0</v>
      </c>
      <c r="D34" s="303">
        <f t="shared" si="4"/>
        <v>0</v>
      </c>
      <c r="E34" s="292"/>
      <c r="F34" s="506">
        <v>0</v>
      </c>
      <c r="G34" s="506">
        <v>0</v>
      </c>
      <c r="H34" s="303">
        <f t="shared" si="5"/>
        <v>0</v>
      </c>
      <c r="J34" s="506">
        <v>0</v>
      </c>
      <c r="K34" s="506">
        <v>0</v>
      </c>
      <c r="L34" s="303">
        <f t="shared" si="6"/>
        <v>0</v>
      </c>
      <c r="N34" s="295">
        <f t="shared" si="7"/>
        <v>0</v>
      </c>
    </row>
    <row r="35" spans="1:14">
      <c r="A35" s="290">
        <v>42430</v>
      </c>
      <c r="B35" s="506">
        <v>0</v>
      </c>
      <c r="C35" s="506">
        <v>0</v>
      </c>
      <c r="D35" s="303">
        <f t="shared" si="4"/>
        <v>0</v>
      </c>
      <c r="E35" s="292"/>
      <c r="F35" s="506">
        <v>0</v>
      </c>
      <c r="G35" s="506">
        <v>0</v>
      </c>
      <c r="H35" s="303">
        <f t="shared" si="5"/>
        <v>0</v>
      </c>
      <c r="J35" s="506">
        <v>0</v>
      </c>
      <c r="K35" s="506">
        <v>0</v>
      </c>
      <c r="L35" s="303">
        <f t="shared" si="6"/>
        <v>0</v>
      </c>
      <c r="N35" s="295">
        <f t="shared" si="7"/>
        <v>0</v>
      </c>
    </row>
    <row r="36" spans="1:14">
      <c r="A36" s="290">
        <v>42461</v>
      </c>
      <c r="B36" s="506">
        <v>0</v>
      </c>
      <c r="C36" s="506">
        <v>0</v>
      </c>
      <c r="D36" s="303">
        <f t="shared" si="4"/>
        <v>0</v>
      </c>
      <c r="E36" s="292"/>
      <c r="F36" s="506">
        <v>0</v>
      </c>
      <c r="G36" s="506">
        <v>0</v>
      </c>
      <c r="H36" s="303">
        <f t="shared" si="5"/>
        <v>0</v>
      </c>
      <c r="J36" s="506">
        <v>0</v>
      </c>
      <c r="K36" s="506">
        <v>0</v>
      </c>
      <c r="L36" s="303">
        <f t="shared" si="6"/>
        <v>0</v>
      </c>
      <c r="N36" s="295">
        <f t="shared" si="7"/>
        <v>0</v>
      </c>
    </row>
    <row r="37" spans="1:14">
      <c r="A37" s="290">
        <v>42491</v>
      </c>
      <c r="B37" s="506">
        <v>0</v>
      </c>
      <c r="C37" s="506">
        <v>0</v>
      </c>
      <c r="D37" s="303">
        <f t="shared" si="4"/>
        <v>0</v>
      </c>
      <c r="E37" s="292"/>
      <c r="F37" s="506">
        <v>0</v>
      </c>
      <c r="G37" s="506">
        <v>0</v>
      </c>
      <c r="H37" s="303">
        <f t="shared" si="5"/>
        <v>0</v>
      </c>
      <c r="J37" s="506">
        <v>0</v>
      </c>
      <c r="K37" s="506">
        <v>0</v>
      </c>
      <c r="L37" s="303">
        <f t="shared" si="6"/>
        <v>0</v>
      </c>
      <c r="N37" s="295">
        <f t="shared" si="7"/>
        <v>0</v>
      </c>
    </row>
    <row r="38" spans="1:14">
      <c r="A38" s="290">
        <v>42522</v>
      </c>
      <c r="B38" s="506">
        <v>0</v>
      </c>
      <c r="C38" s="506">
        <v>0</v>
      </c>
      <c r="D38" s="303">
        <f t="shared" si="4"/>
        <v>0</v>
      </c>
      <c r="E38" s="292"/>
      <c r="F38" s="506">
        <v>0</v>
      </c>
      <c r="G38" s="506">
        <v>0</v>
      </c>
      <c r="H38" s="303">
        <f t="shared" si="5"/>
        <v>0</v>
      </c>
      <c r="J38" s="506">
        <v>0</v>
      </c>
      <c r="K38" s="506">
        <v>0</v>
      </c>
      <c r="L38" s="303">
        <f t="shared" si="6"/>
        <v>0</v>
      </c>
      <c r="N38" s="295">
        <f t="shared" si="7"/>
        <v>0</v>
      </c>
    </row>
    <row r="39" spans="1:14">
      <c r="A39" s="290">
        <v>42552</v>
      </c>
      <c r="B39" s="506">
        <v>0</v>
      </c>
      <c r="C39" s="506">
        <v>0</v>
      </c>
      <c r="D39" s="303">
        <f t="shared" si="4"/>
        <v>0</v>
      </c>
      <c r="E39" s="292"/>
      <c r="F39" s="506">
        <v>0</v>
      </c>
      <c r="G39" s="506">
        <v>0</v>
      </c>
      <c r="H39" s="303">
        <f t="shared" si="5"/>
        <v>0</v>
      </c>
      <c r="J39" s="506">
        <v>0</v>
      </c>
      <c r="K39" s="506">
        <v>0</v>
      </c>
      <c r="L39" s="303">
        <f t="shared" si="6"/>
        <v>0</v>
      </c>
      <c r="N39" s="295">
        <f t="shared" si="7"/>
        <v>0</v>
      </c>
    </row>
    <row r="40" spans="1:14">
      <c r="A40" s="290">
        <v>42583</v>
      </c>
      <c r="B40" s="506">
        <v>0</v>
      </c>
      <c r="C40" s="506">
        <v>0</v>
      </c>
      <c r="D40" s="303">
        <f t="shared" si="4"/>
        <v>0</v>
      </c>
      <c r="E40" s="292"/>
      <c r="F40" s="506">
        <v>0</v>
      </c>
      <c r="G40" s="506">
        <v>0</v>
      </c>
      <c r="H40" s="303">
        <f t="shared" si="5"/>
        <v>0</v>
      </c>
      <c r="J40" s="506">
        <v>0</v>
      </c>
      <c r="K40" s="506">
        <v>0</v>
      </c>
      <c r="L40" s="303">
        <f t="shared" si="6"/>
        <v>0</v>
      </c>
      <c r="N40" s="295">
        <f t="shared" si="7"/>
        <v>0</v>
      </c>
    </row>
    <row r="41" spans="1:14">
      <c r="A41" s="290">
        <v>42614</v>
      </c>
      <c r="B41" s="506">
        <v>0</v>
      </c>
      <c r="C41" s="506">
        <v>0</v>
      </c>
      <c r="D41" s="303">
        <f t="shared" si="4"/>
        <v>0</v>
      </c>
      <c r="E41" s="292"/>
      <c r="F41" s="506">
        <v>0</v>
      </c>
      <c r="G41" s="506">
        <v>0</v>
      </c>
      <c r="H41" s="303">
        <f t="shared" si="5"/>
        <v>0</v>
      </c>
      <c r="J41" s="506">
        <v>0</v>
      </c>
      <c r="K41" s="506">
        <v>0</v>
      </c>
      <c r="L41" s="303">
        <f t="shared" si="6"/>
        <v>0</v>
      </c>
      <c r="N41" s="295">
        <f t="shared" si="7"/>
        <v>0</v>
      </c>
    </row>
    <row r="42" spans="1:14">
      <c r="A42" s="290">
        <v>42644</v>
      </c>
      <c r="B42" s="506">
        <v>0</v>
      </c>
      <c r="C42" s="506">
        <v>0</v>
      </c>
      <c r="D42" s="303">
        <f t="shared" si="4"/>
        <v>0</v>
      </c>
      <c r="E42" s="292"/>
      <c r="F42" s="506">
        <v>0</v>
      </c>
      <c r="G42" s="506">
        <v>0</v>
      </c>
      <c r="H42" s="303">
        <f t="shared" si="5"/>
        <v>0</v>
      </c>
      <c r="J42" s="506">
        <v>0</v>
      </c>
      <c r="K42" s="506">
        <v>0</v>
      </c>
      <c r="L42" s="303">
        <f t="shared" si="6"/>
        <v>0</v>
      </c>
      <c r="N42" s="295">
        <f t="shared" si="7"/>
        <v>0</v>
      </c>
    </row>
    <row r="43" spans="1:14">
      <c r="A43" s="290">
        <v>42675</v>
      </c>
      <c r="B43" s="506">
        <v>0</v>
      </c>
      <c r="C43" s="506">
        <v>0</v>
      </c>
      <c r="D43" s="303">
        <f t="shared" si="4"/>
        <v>0</v>
      </c>
      <c r="E43" s="292"/>
      <c r="F43" s="506">
        <v>0</v>
      </c>
      <c r="G43" s="506">
        <v>0</v>
      </c>
      <c r="H43" s="303">
        <f t="shared" si="5"/>
        <v>0</v>
      </c>
      <c r="J43" s="506">
        <v>0</v>
      </c>
      <c r="K43" s="506">
        <v>0</v>
      </c>
      <c r="L43" s="303">
        <f t="shared" si="6"/>
        <v>0</v>
      </c>
      <c r="N43" s="295">
        <f t="shared" si="7"/>
        <v>0</v>
      </c>
    </row>
    <row r="44" spans="1:14">
      <c r="A44" s="290">
        <v>42705</v>
      </c>
      <c r="B44" s="506">
        <v>0</v>
      </c>
      <c r="C44" s="506">
        <v>0</v>
      </c>
      <c r="D44" s="303">
        <f t="shared" si="4"/>
        <v>0</v>
      </c>
      <c r="E44" s="292"/>
      <c r="F44" s="506">
        <v>0</v>
      </c>
      <c r="G44" s="506">
        <v>0</v>
      </c>
      <c r="H44" s="303">
        <f t="shared" si="5"/>
        <v>0</v>
      </c>
      <c r="J44" s="506">
        <v>0</v>
      </c>
      <c r="K44" s="506">
        <v>0</v>
      </c>
      <c r="L44" s="303">
        <f t="shared" si="6"/>
        <v>0</v>
      </c>
      <c r="N44" s="295">
        <f t="shared" si="7"/>
        <v>0</v>
      </c>
    </row>
    <row r="45" spans="1:14">
      <c r="B45" s="502"/>
      <c r="C45" s="502"/>
      <c r="D45" s="297"/>
      <c r="F45" s="502"/>
      <c r="G45" s="502"/>
      <c r="H45" s="297"/>
      <c r="J45" s="502"/>
      <c r="K45" s="502"/>
      <c r="L45" s="297"/>
      <c r="N45" s="297"/>
    </row>
    <row r="46" spans="1:14">
      <c r="A46" t="s">
        <v>778</v>
      </c>
      <c r="B46" s="299">
        <f>AVERAGE(B32:B44)</f>
        <v>0</v>
      </c>
      <c r="C46" s="299">
        <f>AVERAGE(C32:C44)</f>
        <v>0</v>
      </c>
      <c r="D46" s="299">
        <f>AVERAGE(D32:D44)</f>
        <v>0</v>
      </c>
      <c r="E46" s="300"/>
      <c r="F46" s="299">
        <f>AVERAGE(F32:F44)</f>
        <v>0</v>
      </c>
      <c r="G46" s="299">
        <f>AVERAGE(G32:G44)</f>
        <v>0</v>
      </c>
      <c r="H46" s="299">
        <f>AVERAGE(H32:H44)</f>
        <v>0</v>
      </c>
      <c r="J46" s="299">
        <f>AVERAGE(J32:J44)</f>
        <v>0</v>
      </c>
      <c r="K46" s="299">
        <f>AVERAGE(K32:K44)</f>
        <v>0</v>
      </c>
      <c r="L46" s="299" t="s">
        <v>211</v>
      </c>
      <c r="N46" s="299">
        <f>AVERAGE(N32:N44)</f>
        <v>0</v>
      </c>
    </row>
    <row r="47" spans="1:14">
      <c r="B47" s="283"/>
      <c r="D47" s="283"/>
      <c r="H47" s="283"/>
      <c r="J47" s="283"/>
      <c r="K47" s="283"/>
      <c r="L47" s="283"/>
      <c r="N47" s="283"/>
    </row>
    <row r="48" spans="1:14" ht="60">
      <c r="B48" s="287" t="s">
        <v>779</v>
      </c>
      <c r="C48" s="301"/>
      <c r="D48" s="287" t="s">
        <v>780</v>
      </c>
      <c r="E48" s="288"/>
      <c r="F48" s="300"/>
      <c r="H48" s="287" t="s">
        <v>781</v>
      </c>
      <c r="J48" s="287" t="s">
        <v>782</v>
      </c>
      <c r="K48" s="287" t="s">
        <v>783</v>
      </c>
      <c r="L48" s="287" t="s">
        <v>780</v>
      </c>
      <c r="N48" s="287" t="s">
        <v>783</v>
      </c>
    </row>
    <row r="50" spans="1:14">
      <c r="G50" s="300"/>
    </row>
    <row r="52" spans="1:14">
      <c r="B52" t="s">
        <v>784</v>
      </c>
    </row>
    <row r="53" spans="1:14">
      <c r="B53" s="281" t="s">
        <v>754</v>
      </c>
      <c r="C53" s="282" t="s">
        <v>755</v>
      </c>
      <c r="D53" s="282" t="s">
        <v>756</v>
      </c>
      <c r="E53" s="12"/>
      <c r="F53" s="282" t="s">
        <v>757</v>
      </c>
      <c r="G53" s="282" t="s">
        <v>758</v>
      </c>
      <c r="H53" s="282" t="s">
        <v>759</v>
      </c>
      <c r="I53" s="12"/>
      <c r="J53" s="282" t="s">
        <v>760</v>
      </c>
      <c r="K53" s="282" t="s">
        <v>761</v>
      </c>
      <c r="L53" s="282" t="s">
        <v>762</v>
      </c>
      <c r="N53" s="282" t="s">
        <v>763</v>
      </c>
    </row>
    <row r="54" spans="1:14">
      <c r="B54" s="283"/>
      <c r="C54" s="283"/>
      <c r="D54" s="281" t="s">
        <v>764</v>
      </c>
      <c r="E54" s="284"/>
      <c r="F54" s="283"/>
      <c r="G54" s="283"/>
      <c r="H54" s="281" t="s">
        <v>765</v>
      </c>
      <c r="J54" s="283"/>
      <c r="K54" s="283"/>
      <c r="L54" s="281" t="s">
        <v>766</v>
      </c>
      <c r="N54" s="281" t="s">
        <v>767</v>
      </c>
    </row>
    <row r="55" spans="1:14" ht="120">
      <c r="A55" s="285"/>
      <c r="B55" s="286" t="s">
        <v>790</v>
      </c>
      <c r="C55" s="287" t="s">
        <v>769</v>
      </c>
      <c r="D55" s="286" t="s">
        <v>770</v>
      </c>
      <c r="E55" s="288"/>
      <c r="F55" s="287" t="s">
        <v>771</v>
      </c>
      <c r="G55" s="289" t="s">
        <v>772</v>
      </c>
      <c r="H55" s="287" t="s">
        <v>773</v>
      </c>
      <c r="J55" s="287" t="s">
        <v>774</v>
      </c>
      <c r="K55" s="287" t="s">
        <v>775</v>
      </c>
      <c r="L55" s="287" t="s">
        <v>776</v>
      </c>
      <c r="N55" s="287" t="s">
        <v>777</v>
      </c>
    </row>
    <row r="56" spans="1:14">
      <c r="A56" s="290">
        <v>42339</v>
      </c>
      <c r="B56" s="505">
        <v>0</v>
      </c>
      <c r="C56" s="506">
        <v>0</v>
      </c>
      <c r="D56" s="302">
        <f>+B56-C56</f>
        <v>0</v>
      </c>
      <c r="E56" s="292"/>
      <c r="F56" s="505">
        <v>0</v>
      </c>
      <c r="G56" s="505">
        <v>0</v>
      </c>
      <c r="H56" s="302">
        <f>+F56-G56</f>
        <v>0</v>
      </c>
      <c r="J56" s="505">
        <v>0</v>
      </c>
      <c r="K56" s="505">
        <v>0</v>
      </c>
      <c r="L56" s="302">
        <f>+J56-K56</f>
        <v>0</v>
      </c>
      <c r="N56" s="293">
        <f>+C56-G56+K56</f>
        <v>0</v>
      </c>
    </row>
    <row r="57" spans="1:14">
      <c r="A57" s="290">
        <v>42370</v>
      </c>
      <c r="B57" s="506">
        <v>0</v>
      </c>
      <c r="C57" s="506">
        <v>0</v>
      </c>
      <c r="D57" s="303">
        <f t="shared" ref="D57:D68" si="8">+B57-C57</f>
        <v>0</v>
      </c>
      <c r="E57" s="292"/>
      <c r="F57" s="506">
        <v>0</v>
      </c>
      <c r="G57" s="506">
        <v>0</v>
      </c>
      <c r="H57" s="303">
        <f t="shared" ref="H57:H68" si="9">+F57-G57</f>
        <v>0</v>
      </c>
      <c r="J57" s="506">
        <v>0</v>
      </c>
      <c r="K57" s="506">
        <v>0</v>
      </c>
      <c r="L57" s="303">
        <f t="shared" ref="L57:L68" si="10">+J57-K57</f>
        <v>0</v>
      </c>
      <c r="N57" s="295">
        <f t="shared" ref="N57:N68" si="11">+C57-G57+K57</f>
        <v>0</v>
      </c>
    </row>
    <row r="58" spans="1:14">
      <c r="A58" s="290">
        <v>42401</v>
      </c>
      <c r="B58" s="506">
        <v>0</v>
      </c>
      <c r="C58" s="506">
        <v>0</v>
      </c>
      <c r="D58" s="303">
        <f t="shared" si="8"/>
        <v>0</v>
      </c>
      <c r="E58" s="292"/>
      <c r="F58" s="506">
        <v>0</v>
      </c>
      <c r="G58" s="506">
        <v>0</v>
      </c>
      <c r="H58" s="303">
        <f t="shared" si="9"/>
        <v>0</v>
      </c>
      <c r="J58" s="506">
        <v>0</v>
      </c>
      <c r="K58" s="506">
        <v>0</v>
      </c>
      <c r="L58" s="303">
        <f t="shared" si="10"/>
        <v>0</v>
      </c>
      <c r="N58" s="295">
        <f t="shared" si="11"/>
        <v>0</v>
      </c>
    </row>
    <row r="59" spans="1:14">
      <c r="A59" s="290">
        <v>42430</v>
      </c>
      <c r="B59" s="506">
        <v>0</v>
      </c>
      <c r="C59" s="506">
        <v>0</v>
      </c>
      <c r="D59" s="303">
        <f t="shared" si="8"/>
        <v>0</v>
      </c>
      <c r="E59" s="292"/>
      <c r="F59" s="506">
        <v>0</v>
      </c>
      <c r="G59" s="506">
        <v>0</v>
      </c>
      <c r="H59" s="303">
        <f t="shared" si="9"/>
        <v>0</v>
      </c>
      <c r="J59" s="506">
        <v>0</v>
      </c>
      <c r="K59" s="506">
        <v>0</v>
      </c>
      <c r="L59" s="303">
        <f t="shared" si="10"/>
        <v>0</v>
      </c>
      <c r="N59" s="295">
        <f t="shared" si="11"/>
        <v>0</v>
      </c>
    </row>
    <row r="60" spans="1:14">
      <c r="A60" s="290">
        <v>42461</v>
      </c>
      <c r="B60" s="506">
        <v>0</v>
      </c>
      <c r="C60" s="506">
        <v>0</v>
      </c>
      <c r="D60" s="303">
        <f t="shared" si="8"/>
        <v>0</v>
      </c>
      <c r="E60" s="292"/>
      <c r="F60" s="506">
        <v>0</v>
      </c>
      <c r="G60" s="506">
        <v>0</v>
      </c>
      <c r="H60" s="303">
        <f t="shared" si="9"/>
        <v>0</v>
      </c>
      <c r="J60" s="506">
        <v>0</v>
      </c>
      <c r="K60" s="506">
        <v>0</v>
      </c>
      <c r="L60" s="303">
        <f t="shared" si="10"/>
        <v>0</v>
      </c>
      <c r="N60" s="295">
        <f t="shared" si="11"/>
        <v>0</v>
      </c>
    </row>
    <row r="61" spans="1:14">
      <c r="A61" s="290">
        <v>42491</v>
      </c>
      <c r="B61" s="506">
        <v>0</v>
      </c>
      <c r="C61" s="506">
        <v>0</v>
      </c>
      <c r="D61" s="303">
        <f t="shared" si="8"/>
        <v>0</v>
      </c>
      <c r="E61" s="292"/>
      <c r="F61" s="506">
        <v>0</v>
      </c>
      <c r="G61" s="506">
        <v>0</v>
      </c>
      <c r="H61" s="303">
        <f t="shared" si="9"/>
        <v>0</v>
      </c>
      <c r="J61" s="506">
        <v>0</v>
      </c>
      <c r="K61" s="506">
        <v>0</v>
      </c>
      <c r="L61" s="303">
        <f t="shared" si="10"/>
        <v>0</v>
      </c>
      <c r="N61" s="295">
        <f t="shared" si="11"/>
        <v>0</v>
      </c>
    </row>
    <row r="62" spans="1:14">
      <c r="A62" s="290">
        <v>42522</v>
      </c>
      <c r="B62" s="506">
        <v>0</v>
      </c>
      <c r="C62" s="506">
        <v>0</v>
      </c>
      <c r="D62" s="303">
        <f t="shared" si="8"/>
        <v>0</v>
      </c>
      <c r="E62" s="292"/>
      <c r="F62" s="506">
        <v>0</v>
      </c>
      <c r="G62" s="506">
        <v>0</v>
      </c>
      <c r="H62" s="303">
        <f t="shared" si="9"/>
        <v>0</v>
      </c>
      <c r="J62" s="506">
        <v>0</v>
      </c>
      <c r="K62" s="506">
        <v>0</v>
      </c>
      <c r="L62" s="303">
        <f t="shared" si="10"/>
        <v>0</v>
      </c>
      <c r="N62" s="295">
        <f t="shared" si="11"/>
        <v>0</v>
      </c>
    </row>
    <row r="63" spans="1:14">
      <c r="A63" s="290">
        <v>42552</v>
      </c>
      <c r="B63" s="506">
        <v>0</v>
      </c>
      <c r="C63" s="506">
        <v>0</v>
      </c>
      <c r="D63" s="303">
        <f t="shared" si="8"/>
        <v>0</v>
      </c>
      <c r="E63" s="292"/>
      <c r="F63" s="506">
        <v>0</v>
      </c>
      <c r="G63" s="506">
        <v>0</v>
      </c>
      <c r="H63" s="303">
        <f t="shared" si="9"/>
        <v>0</v>
      </c>
      <c r="J63" s="506">
        <v>0</v>
      </c>
      <c r="K63" s="506">
        <v>0</v>
      </c>
      <c r="L63" s="303">
        <f t="shared" si="10"/>
        <v>0</v>
      </c>
      <c r="N63" s="295">
        <f t="shared" si="11"/>
        <v>0</v>
      </c>
    </row>
    <row r="64" spans="1:14">
      <c r="A64" s="290">
        <v>42583</v>
      </c>
      <c r="B64" s="506">
        <v>0</v>
      </c>
      <c r="C64" s="506">
        <v>0</v>
      </c>
      <c r="D64" s="303">
        <f t="shared" si="8"/>
        <v>0</v>
      </c>
      <c r="E64" s="292"/>
      <c r="F64" s="506">
        <v>0</v>
      </c>
      <c r="G64" s="506">
        <v>0</v>
      </c>
      <c r="H64" s="303">
        <f t="shared" si="9"/>
        <v>0</v>
      </c>
      <c r="J64" s="506">
        <v>0</v>
      </c>
      <c r="K64" s="506">
        <v>0</v>
      </c>
      <c r="L64" s="303">
        <f t="shared" si="10"/>
        <v>0</v>
      </c>
      <c r="N64" s="295">
        <f t="shared" si="11"/>
        <v>0</v>
      </c>
    </row>
    <row r="65" spans="1:17">
      <c r="A65" s="290">
        <v>42614</v>
      </c>
      <c r="B65" s="506">
        <v>0</v>
      </c>
      <c r="C65" s="506">
        <v>0</v>
      </c>
      <c r="D65" s="303">
        <f t="shared" si="8"/>
        <v>0</v>
      </c>
      <c r="E65" s="292"/>
      <c r="F65" s="506">
        <v>0</v>
      </c>
      <c r="G65" s="506">
        <v>0</v>
      </c>
      <c r="H65" s="303">
        <f t="shared" si="9"/>
        <v>0</v>
      </c>
      <c r="J65" s="506">
        <v>0</v>
      </c>
      <c r="K65" s="506">
        <v>0</v>
      </c>
      <c r="L65" s="303">
        <f t="shared" si="10"/>
        <v>0</v>
      </c>
      <c r="N65" s="295">
        <f t="shared" si="11"/>
        <v>0</v>
      </c>
    </row>
    <row r="66" spans="1:17">
      <c r="A66" s="290">
        <v>42644</v>
      </c>
      <c r="B66" s="506">
        <v>0</v>
      </c>
      <c r="C66" s="506">
        <v>0</v>
      </c>
      <c r="D66" s="303">
        <f t="shared" si="8"/>
        <v>0</v>
      </c>
      <c r="E66" s="292"/>
      <c r="F66" s="506">
        <v>0</v>
      </c>
      <c r="G66" s="506">
        <v>0</v>
      </c>
      <c r="H66" s="303">
        <f t="shared" si="9"/>
        <v>0</v>
      </c>
      <c r="J66" s="506">
        <v>0</v>
      </c>
      <c r="K66" s="506">
        <v>0</v>
      </c>
      <c r="L66" s="303">
        <f t="shared" si="10"/>
        <v>0</v>
      </c>
      <c r="N66" s="295">
        <f t="shared" si="11"/>
        <v>0</v>
      </c>
    </row>
    <row r="67" spans="1:17">
      <c r="A67" s="290">
        <v>42675</v>
      </c>
      <c r="B67" s="506">
        <v>0</v>
      </c>
      <c r="C67" s="506">
        <v>0</v>
      </c>
      <c r="D67" s="303">
        <f t="shared" si="8"/>
        <v>0</v>
      </c>
      <c r="E67" s="292"/>
      <c r="F67" s="506">
        <v>0</v>
      </c>
      <c r="G67" s="506">
        <v>0</v>
      </c>
      <c r="H67" s="303">
        <f t="shared" si="9"/>
        <v>0</v>
      </c>
      <c r="J67" s="506">
        <v>0</v>
      </c>
      <c r="K67" s="506">
        <v>0</v>
      </c>
      <c r="L67" s="303">
        <f t="shared" si="10"/>
        <v>0</v>
      </c>
      <c r="N67" s="295">
        <f t="shared" si="11"/>
        <v>0</v>
      </c>
    </row>
    <row r="68" spans="1:17">
      <c r="A68" s="290">
        <v>42705</v>
      </c>
      <c r="B68" s="506">
        <v>0</v>
      </c>
      <c r="C68" s="506">
        <v>0</v>
      </c>
      <c r="D68" s="303">
        <f t="shared" si="8"/>
        <v>0</v>
      </c>
      <c r="E68" s="292"/>
      <c r="F68" s="506">
        <v>0</v>
      </c>
      <c r="G68" s="506">
        <v>0</v>
      </c>
      <c r="H68" s="303">
        <f t="shared" si="9"/>
        <v>0</v>
      </c>
      <c r="J68" s="506">
        <v>0</v>
      </c>
      <c r="K68" s="506">
        <v>0</v>
      </c>
      <c r="L68" s="303">
        <f t="shared" si="10"/>
        <v>0</v>
      </c>
      <c r="N68" s="295">
        <f t="shared" si="11"/>
        <v>0</v>
      </c>
    </row>
    <row r="69" spans="1:17">
      <c r="B69" s="502"/>
      <c r="C69" s="502"/>
      <c r="D69" s="297"/>
      <c r="F69" s="502"/>
      <c r="G69" s="502"/>
      <c r="H69" s="297"/>
      <c r="J69" s="502"/>
      <c r="K69" s="502"/>
      <c r="L69" s="297"/>
      <c r="N69" s="297"/>
    </row>
    <row r="70" spans="1:17">
      <c r="A70" t="s">
        <v>778</v>
      </c>
      <c r="B70" s="299">
        <f>AVERAGE(B56:B68)</f>
        <v>0</v>
      </c>
      <c r="C70" s="299">
        <f>AVERAGE(C56:C68)</f>
        <v>0</v>
      </c>
      <c r="D70" s="299">
        <f>AVERAGE(D56:D68)</f>
        <v>0</v>
      </c>
      <c r="E70" s="300"/>
      <c r="F70" s="299">
        <f>AVERAGE(F56:F68)</f>
        <v>0</v>
      </c>
      <c r="G70" s="299">
        <f>AVERAGE(G56:G68)</f>
        <v>0</v>
      </c>
      <c r="H70" s="299">
        <f>AVERAGE(H56:H68)</f>
        <v>0</v>
      </c>
      <c r="J70" s="299">
        <f>AVERAGE(J56:J68)</f>
        <v>0</v>
      </c>
      <c r="K70" s="299">
        <f>AVERAGE(K56:K68)</f>
        <v>0</v>
      </c>
      <c r="L70" s="299">
        <f>AVERAGE(L56:L68)</f>
        <v>0</v>
      </c>
      <c r="N70" s="299">
        <f>AVERAGE(N56:N68)</f>
        <v>0</v>
      </c>
    </row>
    <row r="71" spans="1:17">
      <c r="B71" s="283"/>
      <c r="D71" s="283"/>
      <c r="H71" s="283"/>
      <c r="J71" s="283"/>
      <c r="K71" s="283"/>
      <c r="L71" s="283"/>
      <c r="N71" s="283"/>
    </row>
    <row r="72" spans="1:17" ht="60">
      <c r="B72" s="287" t="s">
        <v>779</v>
      </c>
      <c r="C72" s="301"/>
      <c r="D72" s="287" t="s">
        <v>780</v>
      </c>
      <c r="E72" s="288"/>
      <c r="H72" s="287" t="s">
        <v>781</v>
      </c>
      <c r="J72" s="287" t="s">
        <v>782</v>
      </c>
      <c r="K72" s="287" t="s">
        <v>783</v>
      </c>
      <c r="L72" s="287" t="s">
        <v>780</v>
      </c>
      <c r="N72" s="287" t="s">
        <v>783</v>
      </c>
    </row>
    <row r="73" spans="1:17">
      <c r="G73" s="300"/>
    </row>
    <row r="75" spans="1:17">
      <c r="B75" t="s">
        <v>784</v>
      </c>
    </row>
    <row r="76" spans="1:17">
      <c r="B76" s="281" t="s">
        <v>754</v>
      </c>
      <c r="C76" s="282" t="s">
        <v>755</v>
      </c>
      <c r="D76" s="282" t="s">
        <v>756</v>
      </c>
      <c r="E76" s="12"/>
      <c r="F76" s="282" t="s">
        <v>757</v>
      </c>
      <c r="G76" s="282" t="s">
        <v>758</v>
      </c>
      <c r="H76" s="282" t="s">
        <v>759</v>
      </c>
      <c r="I76" s="12"/>
      <c r="J76" s="282" t="s">
        <v>760</v>
      </c>
      <c r="K76" s="282" t="s">
        <v>761</v>
      </c>
      <c r="L76" s="282" t="s">
        <v>762</v>
      </c>
      <c r="N76" s="282" t="s">
        <v>763</v>
      </c>
    </row>
    <row r="77" spans="1:17">
      <c r="B77" s="283"/>
      <c r="C77" s="283"/>
      <c r="D77" s="281" t="s">
        <v>764</v>
      </c>
      <c r="E77" s="284"/>
      <c r="F77" s="283"/>
      <c r="G77" s="283"/>
      <c r="H77" s="281" t="s">
        <v>765</v>
      </c>
      <c r="J77" s="283"/>
      <c r="K77" s="283"/>
      <c r="L77" s="281" t="s">
        <v>766</v>
      </c>
      <c r="N77" s="281" t="s">
        <v>767</v>
      </c>
    </row>
    <row r="78" spans="1:17" ht="120">
      <c r="A78" s="285"/>
      <c r="B78" s="286" t="s">
        <v>790</v>
      </c>
      <c r="C78" s="287" t="s">
        <v>769</v>
      </c>
      <c r="D78" s="286" t="s">
        <v>770</v>
      </c>
      <c r="E78" s="288"/>
      <c r="F78" s="287" t="s">
        <v>771</v>
      </c>
      <c r="G78" s="289" t="s">
        <v>772</v>
      </c>
      <c r="H78" s="287" t="s">
        <v>773</v>
      </c>
      <c r="J78" s="287" t="s">
        <v>774</v>
      </c>
      <c r="K78" s="287" t="s">
        <v>775</v>
      </c>
      <c r="L78" s="287" t="s">
        <v>776</v>
      </c>
      <c r="N78" s="287" t="s">
        <v>777</v>
      </c>
      <c r="Q78" t="s">
        <v>211</v>
      </c>
    </row>
    <row r="79" spans="1:17">
      <c r="A79" s="290">
        <v>42339</v>
      </c>
      <c r="B79" s="505">
        <v>0</v>
      </c>
      <c r="C79" s="505">
        <v>0</v>
      </c>
      <c r="D79" s="302">
        <f>+B79-C79</f>
        <v>0</v>
      </c>
      <c r="E79" s="292"/>
      <c r="F79" s="505">
        <v>0</v>
      </c>
      <c r="G79" s="505">
        <v>0</v>
      </c>
      <c r="H79" s="302">
        <f>+F79-G79</f>
        <v>0</v>
      </c>
      <c r="J79" s="505">
        <v>0</v>
      </c>
      <c r="K79" s="505">
        <v>0</v>
      </c>
      <c r="L79" s="302">
        <f>+J79-K79</f>
        <v>0</v>
      </c>
      <c r="N79" s="293">
        <f>+C79-G79+K79</f>
        <v>0</v>
      </c>
    </row>
    <row r="80" spans="1:17">
      <c r="A80" s="290">
        <v>42370</v>
      </c>
      <c r="B80" s="506">
        <v>0</v>
      </c>
      <c r="C80" s="506">
        <v>0</v>
      </c>
      <c r="D80" s="303">
        <f t="shared" ref="D80:D91" si="12">+B80-C80</f>
        <v>0</v>
      </c>
      <c r="E80" s="292"/>
      <c r="F80" s="506">
        <v>0</v>
      </c>
      <c r="G80" s="506">
        <v>0</v>
      </c>
      <c r="H80" s="303">
        <f t="shared" ref="H80:H91" si="13">+F80-G80</f>
        <v>0</v>
      </c>
      <c r="J80" s="506">
        <v>0</v>
      </c>
      <c r="K80" s="506">
        <v>0</v>
      </c>
      <c r="L80" s="303">
        <f t="shared" ref="L80:L91" si="14">+J80-K80</f>
        <v>0</v>
      </c>
      <c r="N80" s="295">
        <f t="shared" ref="N80:N91" si="15">+C80-G80+K80</f>
        <v>0</v>
      </c>
    </row>
    <row r="81" spans="1:14">
      <c r="A81" s="290">
        <v>42401</v>
      </c>
      <c r="B81" s="506">
        <v>0</v>
      </c>
      <c r="C81" s="506">
        <v>0</v>
      </c>
      <c r="D81" s="303">
        <f t="shared" si="12"/>
        <v>0</v>
      </c>
      <c r="E81" s="292"/>
      <c r="F81" s="506">
        <v>0</v>
      </c>
      <c r="G81" s="506">
        <v>0</v>
      </c>
      <c r="H81" s="303">
        <f t="shared" si="13"/>
        <v>0</v>
      </c>
      <c r="J81" s="506">
        <v>0</v>
      </c>
      <c r="K81" s="506">
        <v>0</v>
      </c>
      <c r="L81" s="303">
        <f t="shared" si="14"/>
        <v>0</v>
      </c>
      <c r="N81" s="295">
        <f t="shared" si="15"/>
        <v>0</v>
      </c>
    </row>
    <row r="82" spans="1:14">
      <c r="A82" s="290">
        <v>42430</v>
      </c>
      <c r="B82" s="506">
        <v>0</v>
      </c>
      <c r="C82" s="506">
        <v>0</v>
      </c>
      <c r="D82" s="303">
        <f t="shared" si="12"/>
        <v>0</v>
      </c>
      <c r="E82" s="292"/>
      <c r="F82" s="506">
        <v>0</v>
      </c>
      <c r="G82" s="506">
        <v>0</v>
      </c>
      <c r="H82" s="303">
        <f t="shared" si="13"/>
        <v>0</v>
      </c>
      <c r="J82" s="506">
        <v>0</v>
      </c>
      <c r="K82" s="506">
        <v>0</v>
      </c>
      <c r="L82" s="303">
        <f t="shared" si="14"/>
        <v>0</v>
      </c>
      <c r="N82" s="295">
        <f t="shared" si="15"/>
        <v>0</v>
      </c>
    </row>
    <row r="83" spans="1:14">
      <c r="A83" s="290">
        <v>42461</v>
      </c>
      <c r="B83" s="506">
        <v>0</v>
      </c>
      <c r="C83" s="506">
        <v>0</v>
      </c>
      <c r="D83" s="303">
        <f t="shared" si="12"/>
        <v>0</v>
      </c>
      <c r="E83" s="292"/>
      <c r="F83" s="506">
        <v>0</v>
      </c>
      <c r="G83" s="506">
        <v>0</v>
      </c>
      <c r="H83" s="303">
        <f t="shared" si="13"/>
        <v>0</v>
      </c>
      <c r="J83" s="506">
        <v>0</v>
      </c>
      <c r="K83" s="506">
        <v>0</v>
      </c>
      <c r="L83" s="303">
        <f t="shared" si="14"/>
        <v>0</v>
      </c>
      <c r="N83" s="295">
        <f t="shared" si="15"/>
        <v>0</v>
      </c>
    </row>
    <row r="84" spans="1:14">
      <c r="A84" s="290">
        <v>42491</v>
      </c>
      <c r="B84" s="506">
        <v>0</v>
      </c>
      <c r="C84" s="506">
        <v>0</v>
      </c>
      <c r="D84" s="303">
        <f t="shared" si="12"/>
        <v>0</v>
      </c>
      <c r="E84" s="292"/>
      <c r="F84" s="506">
        <v>0</v>
      </c>
      <c r="G84" s="506">
        <v>0</v>
      </c>
      <c r="H84" s="303">
        <f t="shared" si="13"/>
        <v>0</v>
      </c>
      <c r="J84" s="506">
        <v>0</v>
      </c>
      <c r="K84" s="506">
        <v>0</v>
      </c>
      <c r="L84" s="303">
        <f t="shared" si="14"/>
        <v>0</v>
      </c>
      <c r="N84" s="295">
        <f t="shared" si="15"/>
        <v>0</v>
      </c>
    </row>
    <row r="85" spans="1:14">
      <c r="A85" s="290">
        <v>42522</v>
      </c>
      <c r="B85" s="506">
        <v>0</v>
      </c>
      <c r="C85" s="506">
        <v>0</v>
      </c>
      <c r="D85" s="303">
        <f t="shared" si="12"/>
        <v>0</v>
      </c>
      <c r="E85" s="292"/>
      <c r="F85" s="506">
        <v>0</v>
      </c>
      <c r="G85" s="506">
        <v>0</v>
      </c>
      <c r="H85" s="303">
        <f t="shared" si="13"/>
        <v>0</v>
      </c>
      <c r="J85" s="506">
        <v>0</v>
      </c>
      <c r="K85" s="506">
        <v>0</v>
      </c>
      <c r="L85" s="303">
        <f t="shared" si="14"/>
        <v>0</v>
      </c>
      <c r="N85" s="295">
        <f t="shared" si="15"/>
        <v>0</v>
      </c>
    </row>
    <row r="86" spans="1:14">
      <c r="A86" s="290">
        <v>42552</v>
      </c>
      <c r="B86" s="506">
        <v>0</v>
      </c>
      <c r="C86" s="506">
        <v>0</v>
      </c>
      <c r="D86" s="303">
        <f t="shared" si="12"/>
        <v>0</v>
      </c>
      <c r="E86" s="292"/>
      <c r="F86" s="506">
        <v>0</v>
      </c>
      <c r="G86" s="506">
        <v>0</v>
      </c>
      <c r="H86" s="303">
        <f t="shared" si="13"/>
        <v>0</v>
      </c>
      <c r="J86" s="506">
        <v>0</v>
      </c>
      <c r="K86" s="506">
        <v>0</v>
      </c>
      <c r="L86" s="303">
        <f t="shared" si="14"/>
        <v>0</v>
      </c>
      <c r="N86" s="295">
        <f t="shared" si="15"/>
        <v>0</v>
      </c>
    </row>
    <row r="87" spans="1:14">
      <c r="A87" s="290">
        <v>42583</v>
      </c>
      <c r="B87" s="506">
        <v>0</v>
      </c>
      <c r="C87" s="506">
        <v>0</v>
      </c>
      <c r="D87" s="303">
        <f t="shared" si="12"/>
        <v>0</v>
      </c>
      <c r="E87" s="292"/>
      <c r="F87" s="506">
        <v>0</v>
      </c>
      <c r="G87" s="506">
        <v>0</v>
      </c>
      <c r="H87" s="303">
        <f t="shared" si="13"/>
        <v>0</v>
      </c>
      <c r="J87" s="506">
        <v>0</v>
      </c>
      <c r="K87" s="506">
        <v>0</v>
      </c>
      <c r="L87" s="303">
        <f t="shared" si="14"/>
        <v>0</v>
      </c>
      <c r="N87" s="295">
        <f t="shared" si="15"/>
        <v>0</v>
      </c>
    </row>
    <row r="88" spans="1:14">
      <c r="A88" s="290">
        <v>42614</v>
      </c>
      <c r="B88" s="506">
        <v>0</v>
      </c>
      <c r="C88" s="506">
        <v>0</v>
      </c>
      <c r="D88" s="303">
        <f t="shared" si="12"/>
        <v>0</v>
      </c>
      <c r="E88" s="292"/>
      <c r="F88" s="506">
        <v>0</v>
      </c>
      <c r="G88" s="506">
        <v>0</v>
      </c>
      <c r="H88" s="303">
        <f t="shared" si="13"/>
        <v>0</v>
      </c>
      <c r="J88" s="506">
        <v>0</v>
      </c>
      <c r="K88" s="506">
        <v>0</v>
      </c>
      <c r="L88" s="303">
        <f t="shared" si="14"/>
        <v>0</v>
      </c>
      <c r="N88" s="295">
        <f t="shared" si="15"/>
        <v>0</v>
      </c>
    </row>
    <row r="89" spans="1:14">
      <c r="A89" s="290">
        <v>42644</v>
      </c>
      <c r="B89" s="506">
        <v>0</v>
      </c>
      <c r="C89" s="506">
        <v>0</v>
      </c>
      <c r="D89" s="303">
        <f t="shared" si="12"/>
        <v>0</v>
      </c>
      <c r="E89" s="292"/>
      <c r="F89" s="506">
        <v>0</v>
      </c>
      <c r="G89" s="506">
        <v>0</v>
      </c>
      <c r="H89" s="303">
        <f t="shared" si="13"/>
        <v>0</v>
      </c>
      <c r="J89" s="506">
        <v>0</v>
      </c>
      <c r="K89" s="506">
        <v>0</v>
      </c>
      <c r="L89" s="303">
        <f t="shared" si="14"/>
        <v>0</v>
      </c>
      <c r="N89" s="295">
        <f t="shared" si="15"/>
        <v>0</v>
      </c>
    </row>
    <row r="90" spans="1:14">
      <c r="A90" s="290">
        <v>42675</v>
      </c>
      <c r="B90" s="506">
        <v>0</v>
      </c>
      <c r="C90" s="506">
        <v>0</v>
      </c>
      <c r="D90" s="303">
        <f t="shared" si="12"/>
        <v>0</v>
      </c>
      <c r="E90" s="292"/>
      <c r="F90" s="506">
        <v>0</v>
      </c>
      <c r="G90" s="506">
        <v>0</v>
      </c>
      <c r="H90" s="303">
        <f t="shared" si="13"/>
        <v>0</v>
      </c>
      <c r="J90" s="506">
        <v>0</v>
      </c>
      <c r="K90" s="506">
        <v>0</v>
      </c>
      <c r="L90" s="303">
        <f t="shared" si="14"/>
        <v>0</v>
      </c>
      <c r="N90" s="295">
        <f t="shared" si="15"/>
        <v>0</v>
      </c>
    </row>
    <row r="91" spans="1:14">
      <c r="A91" s="290">
        <v>42705</v>
      </c>
      <c r="B91" s="506">
        <v>0</v>
      </c>
      <c r="C91" s="506">
        <v>0</v>
      </c>
      <c r="D91" s="303">
        <f t="shared" si="12"/>
        <v>0</v>
      </c>
      <c r="E91" s="292"/>
      <c r="F91" s="506">
        <v>0</v>
      </c>
      <c r="G91" s="506">
        <v>0</v>
      </c>
      <c r="H91" s="303">
        <f t="shared" si="13"/>
        <v>0</v>
      </c>
      <c r="J91" s="506">
        <v>0</v>
      </c>
      <c r="K91" s="506">
        <v>0</v>
      </c>
      <c r="L91" s="303">
        <f t="shared" si="14"/>
        <v>0</v>
      </c>
      <c r="N91" s="295">
        <f t="shared" si="15"/>
        <v>0</v>
      </c>
    </row>
    <row r="92" spans="1:14">
      <c r="B92" s="502"/>
      <c r="C92" s="502"/>
      <c r="D92" s="297"/>
      <c r="F92" s="502"/>
      <c r="G92" s="502"/>
      <c r="H92" s="297"/>
      <c r="J92" s="502"/>
      <c r="K92" s="502"/>
      <c r="L92" s="297"/>
      <c r="N92" s="297"/>
    </row>
    <row r="93" spans="1:14">
      <c r="A93" t="s">
        <v>778</v>
      </c>
      <c r="B93" s="299">
        <f>AVERAGE(B79:B91)</f>
        <v>0</v>
      </c>
      <c r="C93" s="299">
        <f>AVERAGE(C79:C92)</f>
        <v>0</v>
      </c>
      <c r="D93" s="299">
        <f>AVERAGE(D79:D91)</f>
        <v>0</v>
      </c>
      <c r="E93" s="300"/>
      <c r="F93" s="299">
        <f>AVERAGE(F79:F91)</f>
        <v>0</v>
      </c>
      <c r="G93" s="299">
        <f>AVERAGE(G79:G91)</f>
        <v>0</v>
      </c>
      <c r="H93" s="299">
        <f>AVERAGE(H79:H91)</f>
        <v>0</v>
      </c>
      <c r="J93" s="299">
        <f>AVERAGE(J79:J91)</f>
        <v>0</v>
      </c>
      <c r="K93" s="299">
        <f>AVERAGE(K79:K91)</f>
        <v>0</v>
      </c>
      <c r="L93" s="299">
        <f>AVERAGE(L79:L91)</f>
        <v>0</v>
      </c>
      <c r="N93" s="299">
        <f>AVERAGE(N79:N91)</f>
        <v>0</v>
      </c>
    </row>
    <row r="94" spans="1:14">
      <c r="B94" s="283"/>
      <c r="D94" s="283"/>
      <c r="H94" s="283"/>
      <c r="J94" s="283"/>
      <c r="K94" s="283"/>
      <c r="L94" s="283"/>
      <c r="N94" s="283"/>
    </row>
    <row r="95" spans="1:14" ht="60">
      <c r="B95" s="287" t="s">
        <v>779</v>
      </c>
      <c r="C95" s="301"/>
      <c r="D95" s="287" t="s">
        <v>780</v>
      </c>
      <c r="E95" s="288"/>
      <c r="H95" s="287" t="s">
        <v>781</v>
      </c>
      <c r="J95" s="287" t="s">
        <v>782</v>
      </c>
      <c r="K95" s="287" t="s">
        <v>783</v>
      </c>
      <c r="L95" s="287" t="s">
        <v>780</v>
      </c>
      <c r="N95" s="287" t="s">
        <v>783</v>
      </c>
    </row>
    <row r="97" spans="1:14">
      <c r="C97" s="304"/>
      <c r="D97" s="304"/>
      <c r="E97" s="304"/>
      <c r="F97" s="304"/>
      <c r="G97" s="304"/>
      <c r="H97" s="304"/>
      <c r="I97" s="304"/>
      <c r="J97" s="304"/>
      <c r="K97" s="305"/>
      <c r="L97" s="304"/>
      <c r="M97" s="304"/>
      <c r="N97" s="304"/>
    </row>
    <row r="98" spans="1:14">
      <c r="B98" t="s">
        <v>791</v>
      </c>
    </row>
    <row r="99" spans="1:14">
      <c r="B99" s="281" t="s">
        <v>754</v>
      </c>
      <c r="C99" s="282" t="s">
        <v>755</v>
      </c>
      <c r="D99" s="282" t="s">
        <v>756</v>
      </c>
      <c r="E99" s="12"/>
      <c r="F99" s="282" t="s">
        <v>757</v>
      </c>
      <c r="G99" s="282" t="s">
        <v>758</v>
      </c>
      <c r="H99" s="282" t="s">
        <v>759</v>
      </c>
      <c r="I99" s="12"/>
      <c r="J99" s="282" t="s">
        <v>760</v>
      </c>
      <c r="K99" s="282" t="s">
        <v>761</v>
      </c>
      <c r="L99" s="282" t="s">
        <v>762</v>
      </c>
      <c r="N99" s="282" t="s">
        <v>763</v>
      </c>
    </row>
    <row r="100" spans="1:14">
      <c r="B100" s="283"/>
      <c r="C100" s="283"/>
      <c r="D100" s="281" t="s">
        <v>764</v>
      </c>
      <c r="E100" s="284"/>
      <c r="F100" s="283"/>
      <c r="G100" s="283"/>
      <c r="H100" s="281" t="s">
        <v>765</v>
      </c>
      <c r="J100" s="283"/>
      <c r="K100" s="283"/>
      <c r="L100" s="281" t="s">
        <v>766</v>
      </c>
      <c r="N100" s="281" t="s">
        <v>767</v>
      </c>
    </row>
    <row r="101" spans="1:14" ht="120">
      <c r="B101" s="306" t="s">
        <v>790</v>
      </c>
      <c r="C101" s="287" t="s">
        <v>769</v>
      </c>
      <c r="D101" s="286" t="s">
        <v>770</v>
      </c>
      <c r="E101" s="288"/>
      <c r="F101" s="287" t="s">
        <v>771</v>
      </c>
      <c r="G101" s="289" t="s">
        <v>772</v>
      </c>
      <c r="H101" s="287" t="s">
        <v>773</v>
      </c>
      <c r="J101" s="287" t="s">
        <v>774</v>
      </c>
      <c r="K101" s="287" t="s">
        <v>775</v>
      </c>
      <c r="L101" s="287" t="s">
        <v>776</v>
      </c>
      <c r="N101" s="287" t="s">
        <v>777</v>
      </c>
    </row>
    <row r="102" spans="1:14">
      <c r="A102" s="290">
        <v>42339</v>
      </c>
      <c r="B102" s="505">
        <f t="shared" ref="B102:C114" si="16">SUM(B79+B56+B32+B8)</f>
        <v>25543167.010000002</v>
      </c>
      <c r="C102" s="505">
        <f t="shared" si="16"/>
        <v>0</v>
      </c>
      <c r="D102" s="302">
        <f>+B102-C102</f>
        <v>25543167.010000002</v>
      </c>
      <c r="E102" s="292"/>
      <c r="F102" s="505">
        <f t="shared" ref="F102:G114" si="17">SUM(F79+F56+F32+F8)</f>
        <v>909906.39</v>
      </c>
      <c r="G102" s="505">
        <f t="shared" si="17"/>
        <v>0</v>
      </c>
      <c r="H102" s="302">
        <f>+F102-G102</f>
        <v>909906.39</v>
      </c>
      <c r="J102" s="505">
        <f t="shared" ref="J102:K114" si="18">SUM(J79+J56+J32+J8)</f>
        <v>0</v>
      </c>
      <c r="K102" s="505">
        <f t="shared" si="18"/>
        <v>0</v>
      </c>
      <c r="L102" s="302">
        <f>+J102-K102</f>
        <v>0</v>
      </c>
      <c r="N102" s="293">
        <f>+C102-G102+K102</f>
        <v>0</v>
      </c>
    </row>
    <row r="103" spans="1:14">
      <c r="A103" s="290">
        <v>42370</v>
      </c>
      <c r="B103" s="506">
        <f t="shared" si="16"/>
        <v>25543167.010000002</v>
      </c>
      <c r="C103" s="506">
        <f t="shared" si="16"/>
        <v>0</v>
      </c>
      <c r="D103" s="303">
        <f t="shared" ref="D103:D114" si="19">+B103-C103</f>
        <v>25543167.010000002</v>
      </c>
      <c r="E103" s="292"/>
      <c r="F103" s="506">
        <f t="shared" si="17"/>
        <v>963121.31</v>
      </c>
      <c r="G103" s="506">
        <f t="shared" si="17"/>
        <v>0</v>
      </c>
      <c r="H103" s="303">
        <f t="shared" ref="H103:H114" si="20">+F103-G103</f>
        <v>963121.31</v>
      </c>
      <c r="J103" s="506">
        <f t="shared" si="18"/>
        <v>0</v>
      </c>
      <c r="K103" s="506">
        <f t="shared" si="18"/>
        <v>0</v>
      </c>
      <c r="L103" s="303">
        <f t="shared" ref="L103:L114" si="21">+J103-K103</f>
        <v>0</v>
      </c>
      <c r="N103" s="295">
        <f t="shared" ref="N103:N114" si="22">+C103-G103+K103</f>
        <v>0</v>
      </c>
    </row>
    <row r="104" spans="1:14">
      <c r="A104" s="290">
        <v>42401</v>
      </c>
      <c r="B104" s="506">
        <f t="shared" si="16"/>
        <v>25543167.010000002</v>
      </c>
      <c r="C104" s="506">
        <f t="shared" si="16"/>
        <v>0</v>
      </c>
      <c r="D104" s="303">
        <f t="shared" si="19"/>
        <v>25543167.010000002</v>
      </c>
      <c r="E104" s="292"/>
      <c r="F104" s="506">
        <f t="shared" si="17"/>
        <v>1016336.23</v>
      </c>
      <c r="G104" s="506">
        <f t="shared" si="17"/>
        <v>0</v>
      </c>
      <c r="H104" s="303">
        <f t="shared" si="20"/>
        <v>1016336.23</v>
      </c>
      <c r="J104" s="506">
        <f t="shared" si="18"/>
        <v>0</v>
      </c>
      <c r="K104" s="506">
        <f t="shared" si="18"/>
        <v>0</v>
      </c>
      <c r="L104" s="303">
        <f t="shared" si="21"/>
        <v>0</v>
      </c>
      <c r="N104" s="295">
        <f t="shared" si="22"/>
        <v>0</v>
      </c>
    </row>
    <row r="105" spans="1:14">
      <c r="A105" s="290">
        <v>42430</v>
      </c>
      <c r="B105" s="506">
        <f t="shared" si="16"/>
        <v>25543167.010000002</v>
      </c>
      <c r="C105" s="506">
        <f t="shared" si="16"/>
        <v>0</v>
      </c>
      <c r="D105" s="303">
        <f t="shared" si="19"/>
        <v>25543167.010000002</v>
      </c>
      <c r="E105" s="292"/>
      <c r="F105" s="506">
        <f t="shared" si="17"/>
        <v>1069551.1499999999</v>
      </c>
      <c r="G105" s="506">
        <f t="shared" si="17"/>
        <v>0</v>
      </c>
      <c r="H105" s="303">
        <f t="shared" si="20"/>
        <v>1069551.1499999999</v>
      </c>
      <c r="J105" s="506">
        <f t="shared" si="18"/>
        <v>0</v>
      </c>
      <c r="K105" s="506">
        <f t="shared" si="18"/>
        <v>0</v>
      </c>
      <c r="L105" s="303">
        <f t="shared" si="21"/>
        <v>0</v>
      </c>
      <c r="N105" s="295">
        <f t="shared" si="22"/>
        <v>0</v>
      </c>
    </row>
    <row r="106" spans="1:14">
      <c r="A106" s="290">
        <v>42461</v>
      </c>
      <c r="B106" s="506">
        <f t="shared" si="16"/>
        <v>25543167.010000002</v>
      </c>
      <c r="C106" s="506">
        <f t="shared" si="16"/>
        <v>0</v>
      </c>
      <c r="D106" s="303">
        <f t="shared" si="19"/>
        <v>25543167.010000002</v>
      </c>
      <c r="E106" s="292"/>
      <c r="F106" s="506">
        <f t="shared" si="17"/>
        <v>1122766.07</v>
      </c>
      <c r="G106" s="506">
        <f t="shared" si="17"/>
        <v>0</v>
      </c>
      <c r="H106" s="303">
        <f t="shared" si="20"/>
        <v>1122766.07</v>
      </c>
      <c r="J106" s="506">
        <f t="shared" si="18"/>
        <v>0</v>
      </c>
      <c r="K106" s="506">
        <f t="shared" si="18"/>
        <v>0</v>
      </c>
      <c r="L106" s="303">
        <f t="shared" si="21"/>
        <v>0</v>
      </c>
      <c r="N106" s="295">
        <f t="shared" si="22"/>
        <v>0</v>
      </c>
    </row>
    <row r="107" spans="1:14">
      <c r="A107" s="290">
        <v>42491</v>
      </c>
      <c r="B107" s="506">
        <f t="shared" si="16"/>
        <v>25543167.010000002</v>
      </c>
      <c r="C107" s="506">
        <f t="shared" si="16"/>
        <v>0</v>
      </c>
      <c r="D107" s="303">
        <f t="shared" si="19"/>
        <v>25543167.010000002</v>
      </c>
      <c r="E107" s="292"/>
      <c r="F107" s="506">
        <f t="shared" si="17"/>
        <v>1175980.99</v>
      </c>
      <c r="G107" s="506">
        <f t="shared" si="17"/>
        <v>0</v>
      </c>
      <c r="H107" s="303">
        <f t="shared" si="20"/>
        <v>1175980.99</v>
      </c>
      <c r="J107" s="506">
        <f t="shared" si="18"/>
        <v>0</v>
      </c>
      <c r="K107" s="506">
        <f t="shared" si="18"/>
        <v>0</v>
      </c>
      <c r="L107" s="303">
        <f t="shared" si="21"/>
        <v>0</v>
      </c>
      <c r="N107" s="295">
        <f t="shared" si="22"/>
        <v>0</v>
      </c>
    </row>
    <row r="108" spans="1:14">
      <c r="A108" s="290">
        <v>42522</v>
      </c>
      <c r="B108" s="506">
        <f t="shared" si="16"/>
        <v>25543167.010000002</v>
      </c>
      <c r="C108" s="506">
        <f t="shared" si="16"/>
        <v>0</v>
      </c>
      <c r="D108" s="303">
        <f t="shared" si="19"/>
        <v>25543167.010000002</v>
      </c>
      <c r="E108" s="292"/>
      <c r="F108" s="506">
        <f t="shared" si="17"/>
        <v>1229195.9099999999</v>
      </c>
      <c r="G108" s="506">
        <f t="shared" si="17"/>
        <v>0</v>
      </c>
      <c r="H108" s="303">
        <f t="shared" si="20"/>
        <v>1229195.9099999999</v>
      </c>
      <c r="J108" s="506">
        <f t="shared" si="18"/>
        <v>0</v>
      </c>
      <c r="K108" s="506">
        <f t="shared" si="18"/>
        <v>0</v>
      </c>
      <c r="L108" s="303">
        <f t="shared" si="21"/>
        <v>0</v>
      </c>
      <c r="N108" s="295">
        <f t="shared" si="22"/>
        <v>0</v>
      </c>
    </row>
    <row r="109" spans="1:14">
      <c r="A109" s="290">
        <v>42552</v>
      </c>
      <c r="B109" s="506">
        <f t="shared" si="16"/>
        <v>25543167.010000002</v>
      </c>
      <c r="C109" s="506">
        <f t="shared" si="16"/>
        <v>0</v>
      </c>
      <c r="D109" s="303">
        <f t="shared" si="19"/>
        <v>25543167.010000002</v>
      </c>
      <c r="E109" s="292"/>
      <c r="F109" s="506">
        <f t="shared" si="17"/>
        <v>1282600.4099999999</v>
      </c>
      <c r="G109" s="506">
        <f t="shared" si="17"/>
        <v>0</v>
      </c>
      <c r="H109" s="303">
        <f t="shared" si="20"/>
        <v>1282600.4099999999</v>
      </c>
      <c r="J109" s="506">
        <f t="shared" si="18"/>
        <v>92823.07</v>
      </c>
      <c r="K109" s="506">
        <f t="shared" si="18"/>
        <v>0</v>
      </c>
      <c r="L109" s="303">
        <f t="shared" si="21"/>
        <v>92823.07</v>
      </c>
      <c r="N109" s="295">
        <f t="shared" si="22"/>
        <v>0</v>
      </c>
    </row>
    <row r="110" spans="1:14">
      <c r="A110" s="290">
        <v>42583</v>
      </c>
      <c r="B110" s="506">
        <f t="shared" si="16"/>
        <v>25543167.010000002</v>
      </c>
      <c r="C110" s="506">
        <f t="shared" si="16"/>
        <v>0</v>
      </c>
      <c r="D110" s="303">
        <f t="shared" si="19"/>
        <v>25543167.010000002</v>
      </c>
      <c r="E110" s="292"/>
      <c r="F110" s="506">
        <f t="shared" si="17"/>
        <v>1336004.9099999999</v>
      </c>
      <c r="G110" s="506">
        <f t="shared" si="17"/>
        <v>0</v>
      </c>
      <c r="H110" s="303">
        <f t="shared" si="20"/>
        <v>1336004.9099999999</v>
      </c>
      <c r="J110" s="506">
        <f t="shared" si="18"/>
        <v>92823.07</v>
      </c>
      <c r="K110" s="506">
        <f t="shared" si="18"/>
        <v>0</v>
      </c>
      <c r="L110" s="303">
        <f t="shared" si="21"/>
        <v>92823.07</v>
      </c>
      <c r="N110" s="295">
        <f t="shared" si="22"/>
        <v>0</v>
      </c>
    </row>
    <row r="111" spans="1:14">
      <c r="A111" s="290">
        <v>42614</v>
      </c>
      <c r="B111" s="506">
        <f t="shared" si="16"/>
        <v>25543167.010000002</v>
      </c>
      <c r="C111" s="506">
        <f t="shared" si="16"/>
        <v>0</v>
      </c>
      <c r="D111" s="303">
        <f t="shared" si="19"/>
        <v>25543167.010000002</v>
      </c>
      <c r="E111" s="292"/>
      <c r="F111" s="506">
        <f t="shared" si="17"/>
        <v>1389409.41</v>
      </c>
      <c r="G111" s="506">
        <f t="shared" si="17"/>
        <v>0</v>
      </c>
      <c r="H111" s="303">
        <f t="shared" si="20"/>
        <v>1389409.41</v>
      </c>
      <c r="J111" s="506">
        <f t="shared" si="18"/>
        <v>92823.07</v>
      </c>
      <c r="K111" s="506">
        <f t="shared" si="18"/>
        <v>0</v>
      </c>
      <c r="L111" s="303">
        <f t="shared" si="21"/>
        <v>92823.07</v>
      </c>
      <c r="N111" s="295">
        <f t="shared" si="22"/>
        <v>0</v>
      </c>
    </row>
    <row r="112" spans="1:14">
      <c r="A112" s="290">
        <v>42644</v>
      </c>
      <c r="B112" s="506">
        <f t="shared" si="16"/>
        <v>25543167.010000002</v>
      </c>
      <c r="C112" s="506">
        <f t="shared" si="16"/>
        <v>0</v>
      </c>
      <c r="D112" s="303">
        <f t="shared" si="19"/>
        <v>25543167.010000002</v>
      </c>
      <c r="E112" s="292"/>
      <c r="F112" s="506">
        <f t="shared" si="17"/>
        <v>1442813.91</v>
      </c>
      <c r="G112" s="506">
        <f t="shared" si="17"/>
        <v>0</v>
      </c>
      <c r="H112" s="303">
        <f t="shared" si="20"/>
        <v>1442813.91</v>
      </c>
      <c r="J112" s="506">
        <f t="shared" si="18"/>
        <v>35482.470000000008</v>
      </c>
      <c r="K112" s="506">
        <f t="shared" si="18"/>
        <v>0</v>
      </c>
      <c r="L112" s="303">
        <f t="shared" si="21"/>
        <v>35482.470000000008</v>
      </c>
      <c r="N112" s="295">
        <f t="shared" si="22"/>
        <v>0</v>
      </c>
    </row>
    <row r="113" spans="1:14">
      <c r="A113" s="290">
        <v>42675</v>
      </c>
      <c r="B113" s="506">
        <f t="shared" si="16"/>
        <v>25543167.010000002</v>
      </c>
      <c r="C113" s="506">
        <f t="shared" si="16"/>
        <v>0</v>
      </c>
      <c r="D113" s="303">
        <f t="shared" si="19"/>
        <v>25543167.010000002</v>
      </c>
      <c r="E113" s="292"/>
      <c r="F113" s="506">
        <f t="shared" si="17"/>
        <v>1496218.41</v>
      </c>
      <c r="G113" s="506">
        <f t="shared" si="17"/>
        <v>0</v>
      </c>
      <c r="H113" s="303">
        <f t="shared" si="20"/>
        <v>1496218.41</v>
      </c>
      <c r="J113" s="506">
        <f t="shared" si="18"/>
        <v>35482.470000000008</v>
      </c>
      <c r="K113" s="506">
        <f t="shared" si="18"/>
        <v>0</v>
      </c>
      <c r="L113" s="303">
        <f t="shared" si="21"/>
        <v>35482.470000000008</v>
      </c>
      <c r="N113" s="295">
        <f t="shared" si="22"/>
        <v>0</v>
      </c>
    </row>
    <row r="114" spans="1:14">
      <c r="A114" s="290">
        <v>42705</v>
      </c>
      <c r="B114" s="507">
        <f t="shared" si="16"/>
        <v>25543167.010000002</v>
      </c>
      <c r="C114" s="507">
        <f t="shared" si="16"/>
        <v>0</v>
      </c>
      <c r="D114" s="307">
        <f t="shared" si="19"/>
        <v>25543167.010000002</v>
      </c>
      <c r="E114" s="292"/>
      <c r="F114" s="507">
        <f t="shared" si="17"/>
        <v>1548485.47</v>
      </c>
      <c r="G114" s="507">
        <f t="shared" si="17"/>
        <v>0</v>
      </c>
      <c r="H114" s="307">
        <f t="shared" si="20"/>
        <v>1548485.47</v>
      </c>
      <c r="J114" s="507">
        <f t="shared" si="18"/>
        <v>-17705.349999999991</v>
      </c>
      <c r="K114" s="507">
        <f t="shared" si="18"/>
        <v>0</v>
      </c>
      <c r="L114" s="307">
        <f t="shared" si="21"/>
        <v>-17705.349999999991</v>
      </c>
      <c r="N114" s="299">
        <f t="shared" si="22"/>
        <v>0</v>
      </c>
    </row>
    <row r="115" spans="1:14">
      <c r="B115" s="308"/>
      <c r="C115" s="308"/>
      <c r="D115" s="308"/>
      <c r="E115" s="304"/>
      <c r="F115" s="308"/>
      <c r="G115" s="309"/>
      <c r="H115" s="308"/>
      <c r="I115" s="304"/>
      <c r="J115" s="308"/>
      <c r="K115" s="308"/>
      <c r="L115" s="297"/>
      <c r="N115" s="297"/>
    </row>
    <row r="116" spans="1:14">
      <c r="A116" t="s">
        <v>778</v>
      </c>
      <c r="B116" s="299">
        <f>AVERAGE(B102:B114)</f>
        <v>25543167.009999994</v>
      </c>
      <c r="C116" s="508">
        <f>AVERAGE(C102:C114)</f>
        <v>0</v>
      </c>
      <c r="D116" s="299">
        <f>AVERAGE(D102:D114)</f>
        <v>25543167.009999994</v>
      </c>
      <c r="E116" s="300"/>
      <c r="F116" s="299">
        <f>AVERAGE(F102:F114)</f>
        <v>1229414.6592307694</v>
      </c>
      <c r="G116" s="299">
        <f>AVERAGE(G102:G115)</f>
        <v>0</v>
      </c>
      <c r="H116" s="299">
        <f>AVERAGE(H102:H114)</f>
        <v>1229414.6592307694</v>
      </c>
      <c r="J116" s="508">
        <f>AVERAGE(J102:J114)</f>
        <v>25517.600000000009</v>
      </c>
      <c r="K116" s="508">
        <f>AVERAGE(K102:K114)</f>
        <v>0</v>
      </c>
      <c r="L116" s="299">
        <f>AVERAGE(L102:L114)</f>
        <v>25517.600000000009</v>
      </c>
      <c r="N116" s="299">
        <f>AVERAGE(N102:N114)</f>
        <v>0</v>
      </c>
    </row>
    <row r="117" spans="1:14">
      <c r="B117" s="283"/>
      <c r="D117" s="283"/>
      <c r="H117" s="283"/>
      <c r="J117" s="283"/>
      <c r="K117" s="283"/>
      <c r="L117" s="283"/>
      <c r="N117" s="283"/>
    </row>
    <row r="118" spans="1:14" ht="60">
      <c r="B118" s="287" t="s">
        <v>779</v>
      </c>
      <c r="C118" s="301"/>
      <c r="D118" s="287" t="s">
        <v>780</v>
      </c>
      <c r="E118" s="288"/>
      <c r="H118" s="287" t="s">
        <v>781</v>
      </c>
      <c r="J118" s="509" t="s">
        <v>782</v>
      </c>
      <c r="K118" s="509" t="s">
        <v>783</v>
      </c>
      <c r="L118" s="287" t="s">
        <v>780</v>
      </c>
      <c r="N118" s="287" t="s">
        <v>783</v>
      </c>
    </row>
    <row r="120" spans="1:14">
      <c r="J120" s="310" t="s">
        <v>792</v>
      </c>
      <c r="K120" s="510">
        <f>J116</f>
        <v>25517.600000000009</v>
      </c>
    </row>
    <row r="123" spans="1:14">
      <c r="J123" s="311" t="s">
        <v>793</v>
      </c>
      <c r="K123" s="511">
        <f>N116</f>
        <v>0</v>
      </c>
    </row>
    <row r="124" spans="1:14">
      <c r="J124" s="311" t="s">
        <v>794</v>
      </c>
      <c r="K124" s="312"/>
    </row>
    <row r="125" spans="1:14">
      <c r="K125" s="312"/>
    </row>
    <row r="126" spans="1:14">
      <c r="J126" s="311" t="s">
        <v>795</v>
      </c>
      <c r="K126" s="511">
        <f>C116+K116</f>
        <v>0</v>
      </c>
    </row>
    <row r="127" spans="1:14">
      <c r="K127" s="312"/>
    </row>
    <row r="128" spans="1:14">
      <c r="J128" s="313" t="s">
        <v>796</v>
      </c>
      <c r="K128" s="511">
        <f>G114-G102</f>
        <v>0</v>
      </c>
    </row>
    <row r="129" spans="10:11">
      <c r="J129" s="314" t="s">
        <v>794</v>
      </c>
      <c r="K129" s="320"/>
    </row>
  </sheetData>
  <mergeCells count="2">
    <mergeCell ref="A1:C1"/>
    <mergeCell ref="A2:B2"/>
  </mergeCells>
  <pageMargins left="0.25" right="0.25" top="0.75" bottom="0.75" header="0.3" footer="0.3"/>
  <pageSetup scale="61" fitToHeight="0" orientation="landscape" r:id="rId1"/>
  <rowBreaks count="4" manualBreakCount="4">
    <brk id="27" max="16383" man="1"/>
    <brk id="51" max="16383" man="1"/>
    <brk id="74" max="16383" man="1"/>
    <brk id="9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L27"/>
  <sheetViews>
    <sheetView showGridLines="0" zoomScaleNormal="100" zoomScalePageLayoutView="70" workbookViewId="0"/>
  </sheetViews>
  <sheetFormatPr defaultRowHeight="15"/>
  <cols>
    <col min="1" max="2" width="9.140625" style="4"/>
    <col min="3" max="4" width="1.7109375" style="4" customWidth="1"/>
    <col min="5" max="5" width="9.140625" style="4"/>
    <col min="6" max="6" width="27.85546875" style="4" customWidth="1"/>
    <col min="7" max="7" width="8" style="4" customWidth="1"/>
    <col min="8" max="8" width="18.140625" style="4" customWidth="1"/>
    <col min="9" max="9" width="16" style="4" customWidth="1"/>
    <col min="10" max="10" width="18.7109375" style="4" customWidth="1"/>
    <col min="11" max="12" width="1.5703125" style="4" customWidth="1"/>
    <col min="13" max="16384" width="9.140625" style="4"/>
  </cols>
  <sheetData>
    <row r="3" spans="5:12" ht="5.25" customHeight="1"/>
    <row r="4" spans="5:12" ht="5.25" customHeight="1"/>
    <row r="5" spans="5:12" ht="15.75">
      <c r="E5" s="3" t="str">
        <f>Coversheet!D3</f>
        <v>Central Minnesota Municipal PowerAgency</v>
      </c>
      <c r="F5" s="3"/>
      <c r="G5" s="3"/>
      <c r="H5" s="3"/>
      <c r="I5" s="3"/>
      <c r="J5" s="3"/>
    </row>
    <row r="6" spans="5:12" ht="15.75">
      <c r="E6" s="3" t="s">
        <v>3</v>
      </c>
      <c r="G6" s="3"/>
      <c r="H6" s="3"/>
      <c r="I6" s="3"/>
      <c r="J6" s="3"/>
    </row>
    <row r="7" spans="5:12" ht="15.75">
      <c r="E7" s="3" t="str">
        <f>SubmissionType</f>
        <v>Actual 12 Months Ended December 31, 2016</v>
      </c>
      <c r="F7" s="3"/>
      <c r="G7" s="3"/>
      <c r="H7" s="6"/>
      <c r="J7" s="3"/>
    </row>
    <row r="8" spans="5:12" ht="15.75">
      <c r="E8" s="3"/>
      <c r="F8" s="3"/>
      <c r="G8" s="3"/>
      <c r="H8" s="6"/>
      <c r="J8" s="3"/>
    </row>
    <row r="9" spans="5:12" s="8" customFormat="1" ht="18.75" customHeight="1">
      <c r="E9" s="7" t="s">
        <v>0</v>
      </c>
      <c r="F9" s="7" t="s">
        <v>1</v>
      </c>
      <c r="G9" s="7" t="s">
        <v>2</v>
      </c>
      <c r="H9" s="7" t="s">
        <v>186</v>
      </c>
      <c r="I9" s="7" t="s">
        <v>186</v>
      </c>
      <c r="J9" s="7" t="s">
        <v>5</v>
      </c>
    </row>
    <row r="10" spans="5:12" ht="19.5" customHeight="1">
      <c r="E10" s="12">
        <v>1</v>
      </c>
      <c r="F10" s="553" t="s">
        <v>6</v>
      </c>
      <c r="G10" s="12">
        <f t="shared" ref="G10:G21" si="0">CurrentYear</f>
        <v>2016</v>
      </c>
      <c r="H10" s="517"/>
      <c r="I10" s="20">
        <v>0</v>
      </c>
      <c r="J10" s="21">
        <f>I10</f>
        <v>0</v>
      </c>
      <c r="L10" s="29"/>
    </row>
    <row r="11" spans="5:12" ht="15.75">
      <c r="E11" s="12">
        <v>2</v>
      </c>
      <c r="F11" s="554" t="s">
        <v>7</v>
      </c>
      <c r="G11" s="12">
        <f t="shared" si="0"/>
        <v>2016</v>
      </c>
      <c r="H11" s="517"/>
      <c r="I11" s="20">
        <v>0</v>
      </c>
      <c r="J11" s="21">
        <f t="shared" ref="J11:J21" si="1">I11</f>
        <v>0</v>
      </c>
    </row>
    <row r="12" spans="5:12" ht="15.75">
      <c r="E12" s="12">
        <v>3</v>
      </c>
      <c r="F12" s="554" t="s">
        <v>8</v>
      </c>
      <c r="G12" s="12">
        <f t="shared" si="0"/>
        <v>2016</v>
      </c>
      <c r="H12" s="517"/>
      <c r="I12" s="20">
        <v>0</v>
      </c>
      <c r="J12" s="21">
        <f t="shared" si="1"/>
        <v>0</v>
      </c>
    </row>
    <row r="13" spans="5:12" ht="15.75">
      <c r="E13" s="12">
        <v>4</v>
      </c>
      <c r="F13" s="554" t="s">
        <v>9</v>
      </c>
      <c r="G13" s="12">
        <f t="shared" si="0"/>
        <v>2016</v>
      </c>
      <c r="H13" s="517"/>
      <c r="I13" s="20">
        <v>0</v>
      </c>
      <c r="J13" s="21">
        <f t="shared" si="1"/>
        <v>0</v>
      </c>
    </row>
    <row r="14" spans="5:12" ht="15.75">
      <c r="E14" s="12">
        <v>5</v>
      </c>
      <c r="F14" s="554" t="s">
        <v>10</v>
      </c>
      <c r="G14" s="12">
        <f t="shared" si="0"/>
        <v>2016</v>
      </c>
      <c r="H14" s="517"/>
      <c r="I14" s="20">
        <v>0</v>
      </c>
      <c r="J14" s="21">
        <f t="shared" si="1"/>
        <v>0</v>
      </c>
    </row>
    <row r="15" spans="5:12" ht="15.75">
      <c r="E15" s="12">
        <v>6</v>
      </c>
      <c r="F15" s="554" t="s">
        <v>11</v>
      </c>
      <c r="G15" s="12">
        <f t="shared" si="0"/>
        <v>2016</v>
      </c>
      <c r="H15" s="517"/>
      <c r="I15" s="20">
        <v>0</v>
      </c>
      <c r="J15" s="21">
        <f t="shared" si="1"/>
        <v>0</v>
      </c>
    </row>
    <row r="16" spans="5:12" ht="15.75">
      <c r="E16" s="12">
        <v>7</v>
      </c>
      <c r="F16" s="554" t="s">
        <v>12</v>
      </c>
      <c r="G16" s="12">
        <f t="shared" si="0"/>
        <v>2016</v>
      </c>
      <c r="H16" s="517"/>
      <c r="I16" s="20">
        <v>0</v>
      </c>
      <c r="J16" s="21">
        <f t="shared" si="1"/>
        <v>0</v>
      </c>
    </row>
    <row r="17" spans="5:10" ht="15.75">
      <c r="E17" s="12">
        <v>8</v>
      </c>
      <c r="F17" s="554" t="s">
        <v>13</v>
      </c>
      <c r="G17" s="12">
        <f t="shared" si="0"/>
        <v>2016</v>
      </c>
      <c r="H17" s="96"/>
      <c r="I17" s="20">
        <v>0</v>
      </c>
      <c r="J17" s="21">
        <f t="shared" si="1"/>
        <v>0</v>
      </c>
    </row>
    <row r="18" spans="5:10" ht="15.75">
      <c r="E18" s="12">
        <v>9</v>
      </c>
      <c r="F18" s="554" t="s">
        <v>14</v>
      </c>
      <c r="G18" s="12">
        <f t="shared" si="0"/>
        <v>2016</v>
      </c>
      <c r="H18" s="96"/>
      <c r="I18" s="20">
        <v>0</v>
      </c>
      <c r="J18" s="21">
        <f t="shared" si="1"/>
        <v>0</v>
      </c>
    </row>
    <row r="19" spans="5:10" ht="15.75">
      <c r="E19" s="12">
        <v>10</v>
      </c>
      <c r="F19" s="554" t="s">
        <v>15</v>
      </c>
      <c r="G19" s="12">
        <f t="shared" si="0"/>
        <v>2016</v>
      </c>
      <c r="H19" s="96"/>
      <c r="I19" s="20">
        <v>0</v>
      </c>
      <c r="J19" s="21">
        <f t="shared" si="1"/>
        <v>0</v>
      </c>
    </row>
    <row r="20" spans="5:10" ht="15.75">
      <c r="E20" s="12">
        <v>11</v>
      </c>
      <c r="F20" s="554" t="s">
        <v>16</v>
      </c>
      <c r="G20" s="12">
        <f t="shared" si="0"/>
        <v>2016</v>
      </c>
      <c r="H20" s="96"/>
      <c r="I20" s="20">
        <v>0</v>
      </c>
      <c r="J20" s="21">
        <f t="shared" si="1"/>
        <v>0</v>
      </c>
    </row>
    <row r="21" spans="5:10" ht="17.25">
      <c r="E21" s="12">
        <v>12</v>
      </c>
      <c r="F21" s="554" t="s">
        <v>17</v>
      </c>
      <c r="G21" s="12">
        <f t="shared" si="0"/>
        <v>2016</v>
      </c>
      <c r="H21" s="518"/>
      <c r="I21" s="65">
        <v>0</v>
      </c>
      <c r="J21" s="66">
        <f t="shared" si="1"/>
        <v>0</v>
      </c>
    </row>
    <row r="22" spans="5:10">
      <c r="E22" s="12">
        <v>13</v>
      </c>
    </row>
    <row r="23" spans="5:10" ht="17.25">
      <c r="E23" s="12">
        <v>14</v>
      </c>
      <c r="F23" s="5" t="s">
        <v>18</v>
      </c>
      <c r="G23" s="15"/>
      <c r="H23" s="519">
        <f>SUM(H10:H21)/12</f>
        <v>0</v>
      </c>
      <c r="I23" s="64">
        <f t="shared" ref="I23:J23" si="2">SUM(I10:I21)/12</f>
        <v>0</v>
      </c>
      <c r="J23" s="64">
        <f t="shared" si="2"/>
        <v>0</v>
      </c>
    </row>
    <row r="25" spans="5:10">
      <c r="J25" s="39" t="s">
        <v>166</v>
      </c>
    </row>
    <row r="26" spans="5:10" ht="6.75" customHeight="1"/>
    <row r="27" spans="5:10" ht="6.75" customHeight="1"/>
  </sheetData>
  <pageMargins left="0.7" right="0.7" top="0.75" bottom="0.75" header="0.3" footer="0.3"/>
  <pageSetup orientation="landscape" r:id="rId1"/>
  <headerFooter>
    <oddHeader>&amp;L&amp;"-,Bold"&amp;12Central Minnesota Municipal Power Agency
2014 Attachment O Workpapers&amp;R&amp;"-,Bold"&amp;12Exhibit CMMPA-11
Page 3 of 13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64c155231104365f11f55d2f4ab891aa">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bf1175b2a73bf69d3e82879aabc80d25"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entral Power Electric Cooperative"/>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Cooperative Energy"/>
          <xsd:enumeration value="Dairyland Power Cooperative (DPC)"/>
          <xsd:enumeration value="Delano Water, Light and Power Commission (Delano)"/>
          <xsd:enumeration value="Detroit Lakes Public Utilities (DLPU)"/>
          <xsd:enumeration value="Dixie Electric Membership Corporation (DEMCO)"/>
          <xsd:enumeration value="Duke Energy Business Services, LLC for Duke Energy Indiana, Inc. (DEI)"/>
          <xsd:enumeration value="East River Electric Power Cooperative"/>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East Texas Electric Cooperative"/>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arvest Wind Farm LLC"/>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ern Illinois Power Cooperative (SIPC)"/>
          <xsd:enumeration value="Southern Minnesota Municipal Power Agency (SMMPA)"/>
          <xsd:enumeration value="Tipton Municipal Utilities (Tipton)"/>
          <xsd:enumeration value="Traverse City Light &amp; Power (Traverse City)"/>
          <xsd:enumeration value="Upper Missouri Power Cooperative"/>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WPPI Energy (WPPI)"/>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/_layouts/MISO/ECM/Download.aspx?ID=256919</DownloadURL>
    <CSClassNames_5 xmlns="dcd6a659-3023-4248-96c5-d463e9234dde" xsi:nil="true"/>
    <PermalinkID xmlns="a646eb38-62f8-42b4-b7d8-4e325c7d82c9">256919</PermalinkID>
    <CSClassID_1 xmlns="dcd6a659-3023-4248-96c5-d463e9234dde" xsi:nil="true"/>
    <PermalinkURL xmlns="a646eb38-62f8-42b4-b7d8-4e325c7d82c9">/_layouts/MISO/ECM/Redirect.aspx?ID=256919</PermalinkURL>
    <CSClassNames_6 xmlns="dcd6a659-3023-4248-96c5-d463e9234dde">;#FERC;#</CSClassNames_6>
    <CSClassNames_1 xmlns="dcd6a659-3023-4248-96c5-d463e9234dde" xsi:nil="true"/>
    <CSClassID_3 xmlns="dcd6a659-3023-4248-96c5-d463e9234dde">;#482;#465;#467;#496;#544;#499;#468;#456;#500;#550;#</CSClassID_3>
    <CSClassID_2 xmlns="dcd6a659-3023-4248-96c5-d463e9234dde">;#313;#</CSClassID_2>
    <EcmsAuthor xmlns="2d309f40-9147-42c9-945b-bf0de5e50880" xsi:nil="true"/>
    <CSClassID_5 xmlns="dcd6a659-3023-4248-96c5-d463e9234dde" xsi:nil="true"/>
    <CSClassID_10 xmlns="dcd6a659-3023-4248-96c5-d463e9234dde">;#661;#658;#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;#445;#</CSClassID_8>
    <CSClassificationMetaXML xmlns="http://schemas.microsoft.com/sharepoint/v3">84f16a63-2416-4adb-b38c-4ffcf8d18942;2017-08-16 14:17:22;PENDINGCLASSIFICATION;7:2016-04-17 22:06:48|False||PENDINGCLASSIFICATION|2017-08-16 14:17:22;5:2016-04-17 22:06:48|False||PENDINGCLASSIFICATION|2017-08-16 14:17:22;6:2016-04-17 22:06:48|False||PENDINGCLASSIFICATION|2017-08-16 14:17:22;10:2016-04-17 22:06:48|False||PENDINGCLASSIFICATION|2017-08-16 14:17:22;12:2016-04-17 22:06:48|False||PENDINGCLASSIFICATION|2017-08-16 14:17:22;9:2016-04-17 22:06:48|False||PENDINGCLASSIFICATION|2017-08-16 14:17:22;1:2016-04-17 22:06:48|False||PENDINGCLASSIFICATION|2017-08-16 14:17:22;3:2016-04-17 22:06:48|False||PENDINGCLASSIFICATION|2017-08-16 14:17:22;4:2016-04-17 22:06:48|False||PENDINGCLASSIFICATION|2017-08-16 14:17:22;2:2016-04-17 22:06:48|False||PENDINGCLASSIFICATION|2017-08-16 14:17:22;11:2016-04-17 22:06:48|False||PENDINGCLASSIFICATION|2017-08-16 14:17:22;8:2016-04-17 22:06:48|False||PENDINGCLASSIFICATION|2017-08-16 14:17:22;</CSClassificationMetaXML>
    <EcmsContentID xmlns="2d309f40-9147-42c9-945b-bf0de5e50880" xsi:nil="true"/>
    <CSClassNames_10 xmlns="dcd6a659-3023-4248-96c5-d463e9234dde">;#Rates &amp; Pricing;#Studies;#</CSClassNames_10>
    <CSClassNames_9 xmlns="dcd6a659-3023-4248-96c5-d463e9234dde" xsi:nil="true"/>
    <CSClassNames_3 xmlns="dcd6a659-3023-4248-96c5-d463e9234dde">;#St.  Paul;#How We Help;#Reliability;#Planning;#Credit;#Transmission Services;#Planning;#Planning;#Generator Interconnection;#Prices;#</CSClassNames_3>
    <CSClassNames_11 xmlns="dcd6a659-3023-4248-96c5-d463e9234dde">;#Excel Document (xls);#</CSClassNames_11>
    <TransOwner xmlns="dcd6a659-3023-4248-96c5-d463e9234dde">Central Minnesota Municipal Power Agency (CMMPA)</TransOwner>
    <PostedDate xmlns="dcd6a659-3023-4248-96c5-d463e9234dde">2017-08-16T18:00:00+00:00</PostedDate>
    <RateYear xmlns="dcd6a659-3023-4248-96c5-d463e9234dde">2018</RateYear>
  </documentManagement>
</p:properties>
</file>

<file path=customXml/item3.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5674FA-83CB-48FE-BB0B-4D228EE4E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044D26-DF41-4F78-8141-D85D8C806FC0}">
  <ds:schemaRefs>
    <ds:schemaRef ds:uri="http://purl.org/dc/terms/"/>
    <ds:schemaRef ds:uri="http://schemas.microsoft.com/office/2006/documentManagement/types"/>
    <ds:schemaRef ds:uri="a646eb38-62f8-42b4-b7d8-4e325c7d82c9"/>
    <ds:schemaRef ds:uri="http://purl.org/dc/elements/1.1/"/>
    <ds:schemaRef ds:uri="http://schemas.microsoft.com/office/2006/metadata/properties"/>
    <ds:schemaRef ds:uri="http://schemas.openxmlformats.org/package/2006/metadata/core-properties"/>
    <ds:schemaRef ds:uri="dcd6a659-3023-4248-96c5-d463e9234dde"/>
    <ds:schemaRef ds:uri="2d309f40-9147-42c9-945b-bf0de5e50880"/>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9D25C7BD-D6A6-480C-8A49-3EF651A8185A}">
  <ds:schemaRefs>
    <ds:schemaRef ds:uri="http://schemas.microsoft.com/sharepoint/events"/>
  </ds:schemaRefs>
</ds:datastoreItem>
</file>

<file path=customXml/itemProps4.xml><?xml version="1.0" encoding="utf-8"?>
<ds:datastoreItem xmlns:ds="http://schemas.openxmlformats.org/officeDocument/2006/customXml" ds:itemID="{2614CDE6-AAF1-4BAC-A888-2102153DF3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Coversheet</vt:lpstr>
      <vt:lpstr>2016ActualNonlevelized-IOU12.38</vt:lpstr>
      <vt:lpstr>Revenues</vt:lpstr>
      <vt:lpstr>2016 CMMPA Attach MM ER12-427</vt:lpstr>
      <vt:lpstr>Interest Rates</vt:lpstr>
      <vt:lpstr>AccountingItems</vt:lpstr>
      <vt:lpstr>Plant</vt:lpstr>
      <vt:lpstr>2016 CMMPA AFUDC Workpaper </vt:lpstr>
      <vt:lpstr>Divisor</vt:lpstr>
      <vt:lpstr>CWIP</vt:lpstr>
      <vt:lpstr>Adj to Rate Base</vt:lpstr>
      <vt:lpstr>Abandoned Plant</vt:lpstr>
      <vt:lpstr>Land Held for Future Use</vt:lpstr>
      <vt:lpstr>Materials and Prepayments</vt:lpstr>
      <vt:lpstr>Capital Structure</vt:lpstr>
      <vt:lpstr>PY Ending</vt:lpstr>
      <vt:lpstr>Trans_OM</vt:lpstr>
      <vt:lpstr>A&amp;G</vt:lpstr>
      <vt:lpstr>Other_Exp_Inc</vt:lpstr>
      <vt:lpstr>Regulatory Asset</vt:lpstr>
      <vt:lpstr>ComboList</vt:lpstr>
      <vt:lpstr>CurrentYear</vt:lpstr>
      <vt:lpstr>'2016 CMMPA Attach MM ER12-427'!Print_Area</vt:lpstr>
      <vt:lpstr>'2016ActualNonlevelized-IOU12.38'!Print_Area</vt:lpstr>
      <vt:lpstr>'A&amp;G'!Print_Area</vt:lpstr>
      <vt:lpstr>'Abandoned Plant'!Print_Area</vt:lpstr>
      <vt:lpstr>'Adj to Rate Base'!Print_Area</vt:lpstr>
      <vt:lpstr>'Capital Structure'!Print_Area</vt:lpstr>
      <vt:lpstr>CWIP!Print_Area</vt:lpstr>
      <vt:lpstr>Divisor!Print_Area</vt:lpstr>
      <vt:lpstr>'Interest Rates'!Print_Area</vt:lpstr>
      <vt:lpstr>'Land Held for Future Use'!Print_Area</vt:lpstr>
      <vt:lpstr>'Materials and Prepayments'!Print_Area</vt:lpstr>
      <vt:lpstr>Other_Exp_Inc!Print_Area</vt:lpstr>
      <vt:lpstr>Plant!Print_Area</vt:lpstr>
      <vt:lpstr>'Regulatory Asset'!Print_Area</vt:lpstr>
      <vt:lpstr>Trans_OM!Print_Area</vt:lpstr>
      <vt:lpstr>SubmissionType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Attachment O Workpapers 12.38</dc:title>
  <dc:creator>Ron Kennedy</dc:creator>
  <cp:lastModifiedBy>Malinda Hibben</cp:lastModifiedBy>
  <cp:lastPrinted>2017-08-08T14:36:55Z</cp:lastPrinted>
  <dcterms:created xsi:type="dcterms:W3CDTF">2011-09-15T13:47:09Z</dcterms:created>
  <dcterms:modified xsi:type="dcterms:W3CDTF">2017-12-07T19:32:15Z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0x0101005BA905F16C0C2D48BF07586946E81D1C1100D2AB7E340F48FF48B2EC11BD89C18B0C</vt:lpwstr>
  </property>
  <property fmtid="{D5CDD505-2E9C-101B-9397-08002B2CF9AE}" pid="3" name="FTR Date">
    <vt:filetime>2014-11-19T18:32:42Z</vt:filetime>
  </property>
  <property fmtid="{D5CDD505-2E9C-101B-9397-08002B2CF9AE}" pid="4" name="Exclude">
    <vt:lpwstr>No</vt:lpwstr>
  </property>
  <property fmtid="{D5CDD505-2E9C-101B-9397-08002B2CF9AE}" pid="5" name="Order">
    <vt:r8>2866700</vt:r8>
  </property>
</Properties>
</file>