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65" windowWidth="9570" windowHeight="11460" tabRatio="354"/>
  </bookViews>
  <sheets>
    <sheet name="ATXI" sheetId="3" r:id="rId1"/>
    <sheet name="ATXI Attach MM" sheetId="4" r:id="rId2"/>
    <sheet name="ATXI 2012 Attach MM true up" sheetId="5" r:id="rId3"/>
    <sheet name="Projected Rate Base" sheetId="6" r:id="rId4"/>
    <sheet name="Projected Revenues &amp; Expenses" sheetId="7" r:id="rId5"/>
    <sheet name="Projected Capitalization" sheetId="8" r:id="rId6"/>
    <sheet name="MVPs" sheetId="14" r:id="rId7"/>
    <sheet name="2012 Load True Up" sheetId="10" r:id="rId8"/>
    <sheet name="Interest Calc on 2012 True up" sheetId="11" r:id="rId9"/>
    <sheet name="2012 Interest Rates" sheetId="12" r:id="rId10"/>
  </sheets>
  <externalReferences>
    <externalReference r:id="rId11"/>
    <externalReference r:id="rId12"/>
    <externalReference r:id="rId13"/>
    <externalReference r:id="rId14"/>
  </externalReferences>
  <definedNames>
    <definedName name="_Order1" hidden="1">255</definedName>
    <definedName name="_Order2" hidden="1">255</definedName>
    <definedName name="_Sort"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S2DocOpenMode" hidden="1">"AS2DocumentEdit"</definedName>
    <definedName name="CH_COS">#REF!</definedName>
    <definedName name="NSP_COS">#REF!</definedName>
    <definedName name="_xlnm.Print_Area" localSheetId="0">ATXI!$A$1:$L$378</definedName>
    <definedName name="_xlnm.Print_Area" localSheetId="2">'ATXI 2012 Attach MM true up'!$B$1:$L$38</definedName>
    <definedName name="_xlnm.Print_Area" localSheetId="1">'ATXI Attach MM'!$A$1:$S$119</definedName>
    <definedName name="_xlnm.Print_Area" localSheetId="3">'Projected Rate Base'!$A$1:$AF$31</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Value" hidden="1">{"assumptions",#N/A,FALSE,"Scenario 1";"valuation",#N/A,FALSE,"Scenario 1"}</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Xcel">'[1]Data Entry and Forecaster'!#REF!</definedName>
    <definedName name="Xcel_COS">#REF!</definedName>
  </definedNames>
  <calcPr calcId="144525"/>
</workbook>
</file>

<file path=xl/calcChain.xml><?xml version="1.0" encoding="utf-8"?>
<calcChain xmlns="http://schemas.openxmlformats.org/spreadsheetml/2006/main">
  <c r="E87" i="4" l="1"/>
  <c r="E86" i="4"/>
  <c r="E85" i="4"/>
  <c r="E84" i="4"/>
  <c r="E83" i="4"/>
  <c r="E82" i="4"/>
  <c r="E81" i="4"/>
  <c r="E80" i="4"/>
  <c r="E79" i="4"/>
  <c r="E78" i="4"/>
  <c r="E77" i="4"/>
  <c r="E76" i="4"/>
  <c r="E75" i="4"/>
  <c r="E74" i="4"/>
  <c r="E163" i="3" l="1"/>
  <c r="E164" i="3" s="1"/>
  <c r="L57" i="4" l="1"/>
  <c r="N82" i="4" s="1"/>
  <c r="H13" i="14"/>
  <c r="K13" i="14"/>
  <c r="B17" i="14"/>
  <c r="B19" i="14"/>
  <c r="B20" i="14"/>
  <c r="L82" i="4" s="1"/>
  <c r="B21" i="14"/>
  <c r="M13" i="14"/>
  <c r="L13" i="14"/>
  <c r="I13" i="14"/>
  <c r="E13" i="14"/>
  <c r="D13" i="14"/>
  <c r="O13" i="14"/>
  <c r="G13" i="14"/>
  <c r="C13" i="14"/>
  <c r="B22" i="14"/>
  <c r="B12" i="14"/>
  <c r="B10" i="14"/>
  <c r="B9" i="14"/>
  <c r="B18" i="14"/>
  <c r="L78" i="4" s="1"/>
  <c r="B8" i="14"/>
  <c r="L79" i="4" s="1"/>
  <c r="O23" i="14"/>
  <c r="N23" i="14"/>
  <c r="J23" i="14"/>
  <c r="G23" i="14"/>
  <c r="F23" i="14"/>
  <c r="B6" i="14"/>
  <c r="L83" i="4"/>
  <c r="R78" i="4"/>
  <c r="N78" i="4"/>
  <c r="K23" i="14" l="1"/>
  <c r="K25" i="14" s="1"/>
  <c r="B7" i="14"/>
  <c r="B11" i="14"/>
  <c r="G25" i="14"/>
  <c r="B16" i="14"/>
  <c r="C23" i="14"/>
  <c r="O25" i="14"/>
  <c r="F13" i="14"/>
  <c r="F25" i="14" s="1"/>
  <c r="J13" i="14"/>
  <c r="J25" i="14" s="1"/>
  <c r="N13" i="14"/>
  <c r="N25" i="14" s="1"/>
  <c r="D23" i="14"/>
  <c r="D25" i="14" s="1"/>
  <c r="H23" i="14"/>
  <c r="H25" i="14" s="1"/>
  <c r="L23" i="14"/>
  <c r="L25" i="14" s="1"/>
  <c r="E23" i="14"/>
  <c r="E25" i="14" s="1"/>
  <c r="I23" i="14"/>
  <c r="I25" i="14" s="1"/>
  <c r="M23" i="14"/>
  <c r="M25" i="14" s="1"/>
  <c r="B23" i="14" l="1"/>
  <c r="B13" i="14"/>
  <c r="B25" i="14" s="1"/>
  <c r="C25" i="14"/>
  <c r="AC40" i="7" l="1"/>
  <c r="AD40" i="7"/>
  <c r="N76" i="4" l="1"/>
  <c r="N80" i="4"/>
  <c r="N84" i="4"/>
  <c r="N86" i="4"/>
  <c r="L75" i="4"/>
  <c r="L76" i="4"/>
  <c r="L77" i="4"/>
  <c r="L80" i="4"/>
  <c r="L81" i="4"/>
  <c r="L84" i="4"/>
  <c r="L85" i="4"/>
  <c r="L86" i="4"/>
  <c r="L87" i="4"/>
  <c r="D7" i="11" l="1"/>
  <c r="G376" i="3"/>
  <c r="G374" i="3"/>
  <c r="C12" i="10"/>
  <c r="G373" i="3" s="1"/>
  <c r="D9" i="10"/>
  <c r="C9" i="10"/>
  <c r="B9" i="10"/>
  <c r="E8" i="10"/>
  <c r="C13" i="10" s="1"/>
  <c r="E7" i="10"/>
  <c r="E9" i="10" s="1"/>
  <c r="C15" i="10" s="1"/>
  <c r="E6" i="10"/>
  <c r="D13" i="11"/>
  <c r="E113" i="12"/>
  <c r="C14" i="10" l="1"/>
  <c r="C16" i="10" s="1"/>
  <c r="E123" i="3"/>
  <c r="E122" i="3"/>
  <c r="AE16" i="8" l="1"/>
  <c r="J261" i="3" s="1"/>
  <c r="AB12" i="8"/>
  <c r="AA12" i="8"/>
  <c r="Z12" i="8"/>
  <c r="Y12" i="8"/>
  <c r="X12" i="8"/>
  <c r="W12" i="8"/>
  <c r="V12" i="8"/>
  <c r="U12" i="8"/>
  <c r="T12" i="8"/>
  <c r="S12" i="8"/>
  <c r="R12" i="8"/>
  <c r="Q12" i="8"/>
  <c r="O12" i="8"/>
  <c r="AE11" i="8"/>
  <c r="E272" i="3" s="1"/>
  <c r="AC11" i="8"/>
  <c r="AE10" i="8"/>
  <c r="AC10" i="8"/>
  <c r="AE32" i="7"/>
  <c r="AB32" i="7"/>
  <c r="AA32" i="7"/>
  <c r="Z32" i="7"/>
  <c r="Y32" i="7"/>
  <c r="X32" i="7"/>
  <c r="W32" i="7"/>
  <c r="V32" i="7"/>
  <c r="U32" i="7"/>
  <c r="T32" i="7"/>
  <c r="S32" i="7"/>
  <c r="R32" i="7"/>
  <c r="Q32" i="7"/>
  <c r="AE31" i="7"/>
  <c r="AC31" i="7"/>
  <c r="AE30" i="7"/>
  <c r="AE29" i="7"/>
  <c r="E248" i="3" s="1"/>
  <c r="AE28" i="7"/>
  <c r="AC28" i="7"/>
  <c r="AE22" i="7"/>
  <c r="E183" i="3" s="1"/>
  <c r="AC22" i="7"/>
  <c r="AE21" i="7"/>
  <c r="E170" i="3" s="1"/>
  <c r="AC21" i="7"/>
  <c r="AB19" i="7"/>
  <c r="AB24" i="7" s="1"/>
  <c r="AA19" i="7"/>
  <c r="AA24" i="7" s="1"/>
  <c r="Z19" i="7"/>
  <c r="Z24" i="7" s="1"/>
  <c r="Y19" i="7"/>
  <c r="Y24" i="7" s="1"/>
  <c r="X19" i="7"/>
  <c r="X24" i="7" s="1"/>
  <c r="W19" i="7"/>
  <c r="W24" i="7" s="1"/>
  <c r="V19" i="7"/>
  <c r="V24" i="7" s="1"/>
  <c r="U19" i="7"/>
  <c r="U24" i="7" s="1"/>
  <c r="T19" i="7"/>
  <c r="T24" i="7" s="1"/>
  <c r="S19" i="7"/>
  <c r="S24" i="7" s="1"/>
  <c r="R19" i="7"/>
  <c r="R24" i="7" s="1"/>
  <c r="Q19" i="7"/>
  <c r="Q24" i="7" s="1"/>
  <c r="AE18" i="7"/>
  <c r="E161" i="3" s="1"/>
  <c r="AC18" i="7"/>
  <c r="AE17" i="7"/>
  <c r="E158" i="3" s="1"/>
  <c r="AC17" i="7"/>
  <c r="AE12" i="7"/>
  <c r="AE11" i="7"/>
  <c r="J298" i="3" s="1"/>
  <c r="AC11" i="7"/>
  <c r="AE23" i="6"/>
  <c r="AC23" i="6"/>
  <c r="AE22" i="6"/>
  <c r="AC22" i="6"/>
  <c r="AE21" i="6"/>
  <c r="AC21" i="6"/>
  <c r="AE20" i="6"/>
  <c r="E113" i="3" s="1"/>
  <c r="AC20" i="6"/>
  <c r="AE19" i="6"/>
  <c r="E112" i="3" s="1"/>
  <c r="AE18" i="6"/>
  <c r="E111" i="3" s="1"/>
  <c r="AC18" i="6"/>
  <c r="AE15" i="6"/>
  <c r="E107" i="3" s="1"/>
  <c r="AC15" i="6"/>
  <c r="AB13" i="6"/>
  <c r="AA13" i="6"/>
  <c r="Z13" i="6"/>
  <c r="Y13" i="6"/>
  <c r="X13" i="6"/>
  <c r="W13" i="6"/>
  <c r="V13" i="6"/>
  <c r="U13" i="6"/>
  <c r="T13" i="6"/>
  <c r="S13" i="6"/>
  <c r="R13" i="6"/>
  <c r="Q13" i="6"/>
  <c r="O13" i="6"/>
  <c r="AE12" i="6"/>
  <c r="E92" i="3" s="1"/>
  <c r="AC12" i="6"/>
  <c r="AE11" i="6"/>
  <c r="AC11" i="6"/>
  <c r="AE12" i="8" l="1"/>
  <c r="J266" i="3"/>
  <c r="E84" i="3"/>
  <c r="E255" i="3"/>
  <c r="AC12" i="8"/>
  <c r="AE19" i="7"/>
  <c r="AE24" i="6" s="1"/>
  <c r="AC13" i="6"/>
  <c r="AE13" i="6"/>
  <c r="J35" i="5"/>
  <c r="J26" i="5" s="1"/>
  <c r="J28" i="5"/>
  <c r="H28" i="5"/>
  <c r="I28" i="5" s="1"/>
  <c r="K28" i="5" s="1"/>
  <c r="H27" i="5"/>
  <c r="I27" i="5" s="1"/>
  <c r="H26" i="5"/>
  <c r="I26" i="5" s="1"/>
  <c r="K26" i="5" s="1"/>
  <c r="J25" i="5"/>
  <c r="H25" i="5"/>
  <c r="G25" i="5"/>
  <c r="J24" i="5"/>
  <c r="H24" i="5"/>
  <c r="F24" i="5"/>
  <c r="J23" i="5"/>
  <c r="H23" i="5"/>
  <c r="F23" i="5"/>
  <c r="H22" i="5"/>
  <c r="G22" i="5"/>
  <c r="E20" i="5"/>
  <c r="H31" i="5" l="1"/>
  <c r="J22" i="5"/>
  <c r="J27" i="5"/>
  <c r="K27" i="5" s="1"/>
  <c r="L27" i="5" s="1"/>
  <c r="AE24" i="7"/>
  <c r="I25" i="5"/>
  <c r="AE26" i="6"/>
  <c r="L26" i="5"/>
  <c r="R86" i="4" s="1"/>
  <c r="F31" i="5"/>
  <c r="G23" i="5" s="1"/>
  <c r="I22" i="5"/>
  <c r="K22" i="5" s="1"/>
  <c r="L28" i="5"/>
  <c r="R82" i="4" s="1"/>
  <c r="K25" i="5" l="1"/>
  <c r="L25" i="5" s="1"/>
  <c r="R84" i="4" s="1"/>
  <c r="I23" i="5"/>
  <c r="K23" i="5" s="1"/>
  <c r="G24" i="5"/>
  <c r="I24" i="5" s="1"/>
  <c r="K24" i="5" s="1"/>
  <c r="L22" i="5"/>
  <c r="R74" i="4" s="1"/>
  <c r="L24" i="5" l="1"/>
  <c r="R80" i="4" s="1"/>
  <c r="L23" i="5"/>
  <c r="R76" i="4" s="1"/>
  <c r="K33" i="5"/>
  <c r="G31" i="5"/>
  <c r="I33" i="5"/>
  <c r="L33" i="5" l="1"/>
  <c r="J25" i="4" l="1"/>
  <c r="L306" i="3"/>
  <c r="L220" i="3"/>
  <c r="L148" i="3"/>
  <c r="L73" i="3"/>
  <c r="R100" i="4"/>
  <c r="N74" i="4"/>
  <c r="L74" i="4"/>
  <c r="J66" i="4"/>
  <c r="J64" i="4"/>
  <c r="S63" i="4"/>
  <c r="J63" i="4"/>
  <c r="C63" i="4"/>
  <c r="G375" i="3" l="1"/>
  <c r="J23" i="3" l="1"/>
  <c r="G377" i="3" l="1"/>
  <c r="J24" i="3" s="1"/>
  <c r="J280" i="3" l="1"/>
  <c r="J279" i="3"/>
  <c r="H272" i="3"/>
  <c r="H278" i="3" s="1"/>
  <c r="J278" i="3" s="1"/>
  <c r="J228" i="3"/>
  <c r="E129" i="3"/>
  <c r="E116" i="3"/>
  <c r="J281" i="3" l="1"/>
  <c r="J210" i="3"/>
  <c r="J231" i="3" l="1"/>
  <c r="J233" i="3" s="1"/>
  <c r="J237" i="3"/>
  <c r="H247" i="3"/>
  <c r="H249" i="3"/>
  <c r="H250" i="3"/>
  <c r="E258" i="3"/>
  <c r="H256" i="3" s="1"/>
  <c r="J159" i="3"/>
  <c r="J166" i="3"/>
  <c r="E88" i="3"/>
  <c r="E100" i="3"/>
  <c r="E99" i="3"/>
  <c r="E101" i="3"/>
  <c r="E102" i="3"/>
  <c r="E103" i="3"/>
  <c r="H273" i="3"/>
  <c r="J267" i="3"/>
  <c r="J269" i="3" s="1"/>
  <c r="E274" i="3" s="1"/>
  <c r="E275" i="3" s="1"/>
  <c r="E189" i="3"/>
  <c r="E193" i="3" s="1"/>
  <c r="E197" i="3" s="1"/>
  <c r="E15" i="3"/>
  <c r="G16" i="3"/>
  <c r="G17" i="3" s="1"/>
  <c r="G18" i="3" s="1"/>
  <c r="J38" i="3"/>
  <c r="E40" i="3" s="1"/>
  <c r="E41" i="3" s="1"/>
  <c r="J50" i="3"/>
  <c r="J51" i="3"/>
  <c r="E76" i="3"/>
  <c r="C91" i="3"/>
  <c r="C99" i="3" s="1"/>
  <c r="G91" i="3"/>
  <c r="G110" i="3" s="1"/>
  <c r="G182" i="3" s="1"/>
  <c r="H91" i="3"/>
  <c r="C92" i="3"/>
  <c r="C100" i="3" s="1"/>
  <c r="G92" i="3"/>
  <c r="G118" i="3" s="1"/>
  <c r="C93" i="3"/>
  <c r="C101" i="3" s="1"/>
  <c r="G93" i="3"/>
  <c r="H93" i="3"/>
  <c r="C94" i="3"/>
  <c r="C102" i="3" s="1"/>
  <c r="G94" i="3"/>
  <c r="C95" i="3"/>
  <c r="C103" i="3" s="1"/>
  <c r="G95" i="3"/>
  <c r="E96" i="3"/>
  <c r="G113" i="3"/>
  <c r="E167" i="3"/>
  <c r="E151" i="3"/>
  <c r="G162" i="3"/>
  <c r="G163" i="3" s="1"/>
  <c r="G164" i="3"/>
  <c r="D165" i="3"/>
  <c r="C170" i="3"/>
  <c r="C173" i="3"/>
  <c r="E174" i="3"/>
  <c r="D179" i="3"/>
  <c r="G179" i="3"/>
  <c r="D183" i="3"/>
  <c r="G183" i="3"/>
  <c r="E185" i="3"/>
  <c r="E223" i="3"/>
  <c r="E251" i="3"/>
  <c r="J254" i="3"/>
  <c r="J292" i="3"/>
  <c r="E306" i="3"/>
  <c r="E121" i="3" l="1"/>
  <c r="E124" i="3" s="1"/>
  <c r="H115" i="3"/>
  <c r="J115" i="3" s="1"/>
  <c r="H171" i="3"/>
  <c r="J171" i="3" s="1"/>
  <c r="H107" i="3"/>
  <c r="J107" i="3" s="1"/>
  <c r="J129" i="3" s="1"/>
  <c r="J239" i="3"/>
  <c r="J241" i="3" s="1"/>
  <c r="F273" i="3"/>
  <c r="J273" i="3" s="1"/>
  <c r="F272" i="3"/>
  <c r="J272" i="3" s="1"/>
  <c r="F274" i="3"/>
  <c r="J274" i="3" s="1"/>
  <c r="E46" i="3"/>
  <c r="E104" i="3"/>
  <c r="E126" i="3" s="1"/>
  <c r="E200" i="3" s="1"/>
  <c r="E47" i="3"/>
  <c r="E45" i="3"/>
  <c r="H84" i="3"/>
  <c r="H15" i="3"/>
  <c r="J242" i="3"/>
  <c r="F248" i="3"/>
  <c r="H248" i="3" s="1"/>
  <c r="H251" i="3" s="1"/>
  <c r="J251" i="3" s="1"/>
  <c r="J47" i="3"/>
  <c r="J46" i="3"/>
  <c r="J45" i="3"/>
  <c r="J243" i="3" l="1"/>
  <c r="H122" i="3" s="1"/>
  <c r="J122" i="3" s="1"/>
  <c r="J284" i="3"/>
  <c r="J275" i="3"/>
  <c r="H92" i="3"/>
  <c r="J84" i="3"/>
  <c r="J18" i="4" s="1"/>
  <c r="H86" i="3"/>
  <c r="J256" i="3"/>
  <c r="L256" i="3" s="1"/>
  <c r="H87" i="3" s="1"/>
  <c r="J15" i="3"/>
  <c r="H16" i="3"/>
  <c r="H158" i="3" l="1"/>
  <c r="H160" i="3" s="1"/>
  <c r="J160" i="3" s="1"/>
  <c r="J26" i="4" s="1"/>
  <c r="J283" i="3"/>
  <c r="J57" i="4" s="1"/>
  <c r="J285" i="3"/>
  <c r="E190" i="3" s="1"/>
  <c r="H17" i="3"/>
  <c r="H95" i="3"/>
  <c r="J87" i="3"/>
  <c r="J158" i="3"/>
  <c r="J24" i="4" s="1"/>
  <c r="J86" i="3"/>
  <c r="H94" i="3"/>
  <c r="H118" i="3"/>
  <c r="J92" i="3"/>
  <c r="H164" i="3" l="1"/>
  <c r="J164" i="3" s="1"/>
  <c r="J100" i="3"/>
  <c r="J19" i="4"/>
  <c r="J20" i="4" s="1"/>
  <c r="J27" i="4"/>
  <c r="J29" i="4" s="1"/>
  <c r="L29" i="4" s="1"/>
  <c r="E203" i="3"/>
  <c r="E196" i="3" s="1"/>
  <c r="E198" i="3" s="1"/>
  <c r="J203" i="3"/>
  <c r="J118" i="3"/>
  <c r="H170" i="3"/>
  <c r="J170" i="3" s="1"/>
  <c r="J17" i="3"/>
  <c r="H18" i="3"/>
  <c r="J18" i="3" s="1"/>
  <c r="H161" i="3"/>
  <c r="J94" i="3"/>
  <c r="J102" i="3" s="1"/>
  <c r="H165" i="3"/>
  <c r="J95" i="3"/>
  <c r="J103" i="3" s="1"/>
  <c r="J88" i="3"/>
  <c r="H88" i="3" s="1"/>
  <c r="G82" i="4" l="1"/>
  <c r="H82" i="4" s="1"/>
  <c r="G83" i="4"/>
  <c r="H83" i="4" s="1"/>
  <c r="G78" i="4"/>
  <c r="H78" i="4" s="1"/>
  <c r="G79" i="4"/>
  <c r="H79" i="4" s="1"/>
  <c r="G77" i="4"/>
  <c r="H77" i="4" s="1"/>
  <c r="G85" i="4"/>
  <c r="H85" i="4" s="1"/>
  <c r="G80" i="4"/>
  <c r="H80" i="4" s="1"/>
  <c r="G86" i="4"/>
  <c r="H86" i="4" s="1"/>
  <c r="G75" i="4"/>
  <c r="H75" i="4" s="1"/>
  <c r="G81" i="4"/>
  <c r="H81" i="4" s="1"/>
  <c r="G87" i="4"/>
  <c r="H87" i="4" s="1"/>
  <c r="G84" i="4"/>
  <c r="H84" i="4" s="1"/>
  <c r="G76" i="4"/>
  <c r="H76" i="4" s="1"/>
  <c r="G74" i="4"/>
  <c r="H74" i="4" s="1"/>
  <c r="E206" i="3"/>
  <c r="J96" i="3"/>
  <c r="J104" i="3"/>
  <c r="H104" i="3" s="1"/>
  <c r="H123" i="3"/>
  <c r="J123" i="3" s="1"/>
  <c r="H181" i="3"/>
  <c r="J165" i="3"/>
  <c r="H173" i="3"/>
  <c r="J173" i="3" s="1"/>
  <c r="H162" i="3"/>
  <c r="H172" i="3"/>
  <c r="J161" i="3"/>
  <c r="H163" i="3" l="1"/>
  <c r="J163" i="3" s="1"/>
  <c r="J162" i="3"/>
  <c r="J172" i="3"/>
  <c r="H178" i="3"/>
  <c r="J181" i="3"/>
  <c r="H183" i="3"/>
  <c r="J183" i="3" s="1"/>
  <c r="H184" i="3"/>
  <c r="J184" i="3" s="1"/>
  <c r="H111" i="3"/>
  <c r="H197" i="3"/>
  <c r="J197" i="3" s="1"/>
  <c r="J174" i="3" l="1"/>
  <c r="J37" i="4"/>
  <c r="J38" i="4" s="1"/>
  <c r="L38" i="4" s="1"/>
  <c r="J167" i="3"/>
  <c r="J111" i="3"/>
  <c r="H112" i="3"/>
  <c r="J178" i="3"/>
  <c r="H179" i="3"/>
  <c r="J179" i="3" s="1"/>
  <c r="J121" i="3" l="1"/>
  <c r="J124" i="3" s="1"/>
  <c r="J23" i="4"/>
  <c r="J33" i="4" s="1"/>
  <c r="J34" i="4" s="1"/>
  <c r="L34" i="4" s="1"/>
  <c r="J112" i="3"/>
  <c r="H113" i="3"/>
  <c r="J113" i="3" s="1"/>
  <c r="H114" i="3"/>
  <c r="J114" i="3" s="1"/>
  <c r="J185" i="3"/>
  <c r="J41" i="4" s="1"/>
  <c r="J42" i="4" s="1"/>
  <c r="L42" i="4" s="1"/>
  <c r="L44" i="4" l="1"/>
  <c r="J116" i="3"/>
  <c r="J126" i="3" s="1"/>
  <c r="J200" i="3" s="1"/>
  <c r="I83" i="4" l="1"/>
  <c r="J83" i="4" s="1"/>
  <c r="K83" i="4" s="1"/>
  <c r="I82" i="4"/>
  <c r="J82" i="4" s="1"/>
  <c r="K82" i="4" s="1"/>
  <c r="I79" i="4"/>
  <c r="J79" i="4" s="1"/>
  <c r="K79" i="4" s="1"/>
  <c r="I78" i="4"/>
  <c r="J78" i="4" s="1"/>
  <c r="K78" i="4" s="1"/>
  <c r="I75" i="4"/>
  <c r="J75" i="4" s="1"/>
  <c r="K75" i="4" s="1"/>
  <c r="I81" i="4"/>
  <c r="J81" i="4" s="1"/>
  <c r="K81" i="4" s="1"/>
  <c r="I87" i="4"/>
  <c r="J87" i="4" s="1"/>
  <c r="K87" i="4" s="1"/>
  <c r="I76" i="4"/>
  <c r="J76" i="4" s="1"/>
  <c r="K76" i="4" s="1"/>
  <c r="I84" i="4"/>
  <c r="J84" i="4" s="1"/>
  <c r="K84" i="4" s="1"/>
  <c r="I77" i="4"/>
  <c r="J77" i="4" s="1"/>
  <c r="K77" i="4" s="1"/>
  <c r="I85" i="4"/>
  <c r="J85" i="4" s="1"/>
  <c r="K85" i="4" s="1"/>
  <c r="I80" i="4"/>
  <c r="J80" i="4" s="1"/>
  <c r="K80" i="4" s="1"/>
  <c r="I86" i="4"/>
  <c r="J86" i="4" s="1"/>
  <c r="K86" i="4" s="1"/>
  <c r="I74" i="4"/>
  <c r="J74" i="4" s="1"/>
  <c r="K74" i="4" s="1"/>
  <c r="J196" i="3"/>
  <c r="J198" i="3" s="1"/>
  <c r="J51" i="4"/>
  <c r="J52" i="4" s="1"/>
  <c r="L52" i="4" s="1"/>
  <c r="J206" i="3" l="1"/>
  <c r="J47" i="4"/>
  <c r="J48" i="4" l="1"/>
  <c r="L48" i="4" s="1"/>
  <c r="L54" i="4" s="1"/>
  <c r="M83" i="4" l="1"/>
  <c r="O83" i="4" s="1"/>
  <c r="Q83" i="4" s="1"/>
  <c r="S83" i="4" s="1"/>
  <c r="M82" i="4"/>
  <c r="O82" i="4" s="1"/>
  <c r="Q82" i="4" s="1"/>
  <c r="S82" i="4" s="1"/>
  <c r="M75" i="4"/>
  <c r="O75" i="4" s="1"/>
  <c r="Q75" i="4" s="1"/>
  <c r="S75" i="4" s="1"/>
  <c r="M84" i="4"/>
  <c r="O84" i="4" s="1"/>
  <c r="Q84" i="4" s="1"/>
  <c r="S84" i="4" s="1"/>
  <c r="M86" i="4"/>
  <c r="O86" i="4" s="1"/>
  <c r="Q86" i="4" s="1"/>
  <c r="S86" i="4" s="1"/>
  <c r="M78" i="4"/>
  <c r="O78" i="4" s="1"/>
  <c r="Q78" i="4" s="1"/>
  <c r="S78" i="4" s="1"/>
  <c r="M87" i="4"/>
  <c r="O87" i="4" s="1"/>
  <c r="Q87" i="4" s="1"/>
  <c r="S87" i="4" s="1"/>
  <c r="M85" i="4"/>
  <c r="O85" i="4" s="1"/>
  <c r="Q85" i="4" s="1"/>
  <c r="S85" i="4" s="1"/>
  <c r="M74" i="4"/>
  <c r="M80" i="4"/>
  <c r="O80" i="4" s="1"/>
  <c r="Q80" i="4" s="1"/>
  <c r="S80" i="4" s="1"/>
  <c r="M77" i="4"/>
  <c r="O77" i="4" s="1"/>
  <c r="Q77" i="4" s="1"/>
  <c r="S77" i="4" s="1"/>
  <c r="M76" i="4"/>
  <c r="O76" i="4" s="1"/>
  <c r="Q76" i="4" s="1"/>
  <c r="S76" i="4" s="1"/>
  <c r="M81" i="4"/>
  <c r="O81" i="4" s="1"/>
  <c r="Q81" i="4" s="1"/>
  <c r="S81" i="4" s="1"/>
  <c r="M79" i="4"/>
  <c r="O79" i="4" s="1"/>
  <c r="Q79" i="4" s="1"/>
  <c r="S79" i="4" s="1"/>
  <c r="O74" i="4"/>
  <c r="Q74" i="4" s="1"/>
  <c r="S74" i="4" l="1"/>
  <c r="S100" i="4" s="1"/>
  <c r="Q100" i="4"/>
  <c r="Q102" i="4" s="1"/>
  <c r="E214" i="3" s="1"/>
  <c r="U13" i="7" l="1"/>
  <c r="U14" i="7" s="1"/>
  <c r="Y13" i="7"/>
  <c r="Y14" i="7" s="1"/>
  <c r="Q13" i="7"/>
  <c r="R13" i="7"/>
  <c r="R14" i="7" s="1"/>
  <c r="V13" i="7"/>
  <c r="V14" i="7" s="1"/>
  <c r="Z13" i="7"/>
  <c r="Z14" i="7" s="1"/>
  <c r="S13" i="7"/>
  <c r="S14" i="7" s="1"/>
  <c r="W13" i="7"/>
  <c r="W14" i="7" s="1"/>
  <c r="AA13" i="7"/>
  <c r="AA14" i="7" s="1"/>
  <c r="T13" i="7"/>
  <c r="T14" i="7" s="1"/>
  <c r="X13" i="7"/>
  <c r="X14" i="7" s="1"/>
  <c r="AB13" i="7"/>
  <c r="AB14" i="7" s="1"/>
  <c r="J214" i="3"/>
  <c r="J215" i="3" s="1"/>
  <c r="J11" i="3" s="1"/>
  <c r="E215" i="3"/>
  <c r="D10" i="11"/>
  <c r="D11" i="11" s="1"/>
  <c r="D15" i="11" s="1"/>
  <c r="J25" i="3" s="1"/>
  <c r="Q14" i="7" l="1"/>
  <c r="AC14" i="7" s="1"/>
  <c r="AE13" i="7"/>
  <c r="J300" i="3" l="1"/>
  <c r="AE14" i="7"/>
  <c r="J297" i="3" s="1"/>
  <c r="J301" i="3" l="1"/>
  <c r="E16" i="3" s="1"/>
  <c r="J16" i="3" s="1"/>
  <c r="J19" i="3" s="1"/>
  <c r="J27" i="3" s="1"/>
</calcChain>
</file>

<file path=xl/sharedStrings.xml><?xml version="1.0" encoding="utf-8"?>
<sst xmlns="http://schemas.openxmlformats.org/spreadsheetml/2006/main" count="1024" uniqueCount="746">
  <si>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</si>
  <si>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</si>
  <si>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</si>
  <si>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</si>
  <si>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</si>
  <si>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</si>
  <si>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</si>
  <si>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</si>
  <si>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</si>
  <si>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</si>
  <si>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</si>
  <si>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</si>
  <si>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</si>
  <si>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</si>
  <si>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</si>
  <si>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</si>
  <si>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</si>
  <si>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</si>
  <si>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</si>
  <si>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</si>
  <si>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</si>
  <si>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</si>
  <si>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</si>
  <si>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</si>
  <si>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</si>
  <si>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</si>
  <si>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</si>
  <si>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</si>
  <si>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</si>
  <si>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</si>
  <si>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</si>
  <si>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</si>
  <si>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</si>
  <si>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</si>
  <si>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</si>
  <si>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</si>
  <si>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</si>
  <si>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</si>
  <si>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</si>
  <si>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</si>
  <si>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</si>
  <si>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</si>
  <si>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</si>
  <si>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</si>
  <si>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</si>
  <si>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</si>
  <si>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</si>
  <si>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</si>
  <si>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</si>
  <si>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</si>
  <si>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</si>
  <si>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</si>
  <si>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</si>
  <si>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</si>
  <si>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</si>
  <si>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NP</t>
  </si>
  <si>
    <t xml:space="preserve">LAND HELD FOR FUTURE USE </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</si>
  <si>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</si>
  <si>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</si>
  <si>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</si>
  <si>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</si>
  <si>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</si>
  <si>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</si>
  <si>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</si>
  <si>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</si>
  <si>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</si>
  <si>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</si>
  <si>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</si>
  <si>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</si>
  <si>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</si>
  <si>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</si>
  <si>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</si>
  <si>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</si>
  <si>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</si>
  <si>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</si>
  <si>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</si>
  <si>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</si>
  <si>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</si>
  <si>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</si>
  <si>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</si>
  <si>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</si>
  <si>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</si>
  <si>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</si>
  <si>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</si>
  <si>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</si>
  <si>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</si>
  <si>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</si>
  <si>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</si>
  <si>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</si>
  <si>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</si>
  <si>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</si>
  <si>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</si>
  <si>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</si>
  <si>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</si>
  <si>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</si>
  <si>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</si>
  <si>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</si>
  <si>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</si>
  <si>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</si>
  <si>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Common Stock</t>
  </si>
  <si>
    <t>(sum lines 23-25)</t>
  </si>
  <si>
    <t>Cost</t>
  </si>
  <si>
    <t>%</t>
  </si>
  <si>
    <t>(Note P)</t>
  </si>
  <si>
    <t>Weighted</t>
  </si>
  <si>
    <t>=WCLTD</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</si>
  <si>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</si>
  <si>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</si>
  <si>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</si>
  <si>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</si>
  <si>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</si>
  <si>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</si>
  <si>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</si>
  <si>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</si>
  <si>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</si>
  <si>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</si>
  <si>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</si>
  <si>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</si>
  <si>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</si>
  <si>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</si>
  <si>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</si>
  <si>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</si>
  <si>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</si>
  <si>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</si>
  <si>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</si>
  <si>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</si>
  <si>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</si>
  <si>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</si>
  <si>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</si>
  <si>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</si>
  <si>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</si>
  <si>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</si>
  <si>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</si>
  <si>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</si>
  <si>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</si>
  <si>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</si>
  <si>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</si>
  <si>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</si>
  <si>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</si>
  <si>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</si>
  <si>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</si>
  <si>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</si>
  <si>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</si>
  <si>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</si>
  <si>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</si>
  <si>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</si>
  <si>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</si>
  <si>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</si>
  <si>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</si>
  <si>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</si>
  <si>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</si>
  <si>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</si>
  <si>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</si>
  <si>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</si>
  <si>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</si>
  <si>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</si>
  <si>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</si>
  <si>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</si>
  <si>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</si>
  <si>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</si>
  <si>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</si>
  <si>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</si>
  <si>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</si>
  <si>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</si>
  <si>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</si>
  <si>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</si>
  <si>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</si>
  <si>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</si>
  <si>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</si>
  <si>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</si>
  <si>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</si>
  <si>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</si>
  <si>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</si>
  <si>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</si>
  <si>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</si>
  <si>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</si>
  <si>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</si>
  <si>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</si>
  <si>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</si>
  <si>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</si>
  <si>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</si>
  <si>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</si>
  <si>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</si>
  <si>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</si>
  <si>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</si>
  <si>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</si>
  <si>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</si>
  <si>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</si>
  <si>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Attachment O</t>
  </si>
  <si>
    <t>219.20-24.c</t>
  </si>
  <si>
    <t>219.25.c</t>
  </si>
  <si>
    <t>219.26.c</t>
  </si>
  <si>
    <t>263.i</t>
  </si>
  <si>
    <t>201.3.d</t>
  </si>
  <si>
    <t>201.3.e</t>
  </si>
  <si>
    <t>(330.x.n)</t>
  </si>
  <si>
    <t>U</t>
  </si>
  <si>
    <t>Long Term Interest (117, sum of 62.c through 67.c)</t>
  </si>
  <si>
    <t>Proprietary Capital (112.16.c)</t>
  </si>
  <si>
    <t>Less Account 216.1 (112.12.c)  (enter negative)</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</si>
  <si>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</si>
  <si>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</si>
  <si>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</si>
  <si>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</si>
  <si>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</si>
  <si>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</si>
  <si>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</si>
  <si>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</si>
  <si>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</si>
  <si>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</si>
  <si>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</si>
  <si>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</si>
  <si>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</si>
  <si>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</si>
  <si>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</si>
  <si>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</si>
  <si>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</si>
  <si>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</si>
  <si>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</si>
  <si>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</si>
  <si>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</si>
  <si>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</si>
  <si>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TAXES OTHER THAN INCOME TAXES  (Note J)</t>
  </si>
  <si>
    <t>(line 16 / 260; line 16 / 365)</t>
  </si>
  <si>
    <t>(line 16 / 4,160; line 16 / 8,760</t>
  </si>
  <si>
    <t>LESS ATTACHMENT GG ADJUSTMENT [Attachment GG, page 2, line 3, column 10]   (Note W)</t>
  </si>
  <si>
    <t>GROSS REVENUE REQUIREMENT    (page 3, line 31)</t>
  </si>
  <si>
    <t xml:space="preserve">  Less Contract Demand from Grandfathered Interzonal Transactions over one year (enter negative) (Note S)</t>
  </si>
  <si>
    <t>FERC Annual Charge($/MWh)</t>
  </si>
  <si>
    <t xml:space="preserve">          (Note E)</t>
  </si>
  <si>
    <t>TOTAL GROSS PLANT (sum lines 1-5)</t>
  </si>
  <si>
    <t>TOTAL ACCUM. DEPRECIATION (sum lines 7-11)</t>
  </si>
  <si>
    <t xml:space="preserve"> (line 1- line 7)</t>
  </si>
  <si>
    <t xml:space="preserve"> (line 2- line 8)</t>
  </si>
  <si>
    <t xml:space="preserve"> (line 3 - line 9)</t>
  </si>
  <si>
    <t xml:space="preserve"> (line 4 - line 10)</t>
  </si>
  <si>
    <t xml:space="preserve"> (line 5 - line 11)</t>
  </si>
  <si>
    <t>TOTAL NET PLANT (sum lines 13-17)</t>
  </si>
  <si>
    <t>ADJUSTMENTS TO RATE BASE       (Note F)</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</si>
  <si>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</si>
  <si>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</si>
  <si>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</si>
  <si>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</si>
  <si>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O&amp;M   (sum lines 1, 3, 5a, 6, 7 less lines 1a, 2, 4, 5)</t>
  </si>
  <si>
    <t>TOTAL DEPRECIATION (Sum lines 9 - 11)</t>
  </si>
  <si>
    <t xml:space="preserve">  </t>
  </si>
  <si>
    <t xml:space="preserve"> (Note K)</t>
  </si>
  <si>
    <t xml:space="preserve">  [ Rate Base (page 2, line 30) * Rate of Return (page 4, line 30)]</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</si>
  <si>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</si>
  <si>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</si>
  <si>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</si>
  <si>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</si>
  <si>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</si>
  <si>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</si>
  <si>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</si>
  <si>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</si>
  <si>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</si>
  <si>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354.24,25,26.b</t>
  </si>
  <si>
    <t>COMMON PLANT ALLOCATOR  (CE)   (Note O)</t>
  </si>
  <si>
    <t>ACCOUNT 454 (RENT FROM ELECTRIC PROPERTY)    (Note R)</t>
  </si>
  <si>
    <t>ACCOUNT 456.1 (OTHER ELECTRIC REVENUES) (Note U)</t>
  </si>
  <si>
    <t>General Note:  References to pages in this formulary rate are indicated as:  (page#, line#, col.#)</t>
  </si>
  <si>
    <t xml:space="preserve">                           References to data from FERC Form 1 are indicated as:   #.y.x  (page, line, column)</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</si>
  <si>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</si>
  <si>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</si>
  <si>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</si>
  <si>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</si>
  <si>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</si>
  <si>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</si>
  <si>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</si>
  <si>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</si>
  <si>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</si>
  <si>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</si>
  <si>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</si>
  <si>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</si>
  <si>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</si>
  <si>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</si>
  <si>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</si>
  <si>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</si>
  <si>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</si>
  <si>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 xml:space="preserve">         Inputs Required:</t>
  </si>
  <si>
    <t>Removes transmission plant determined by Commission order to be state-jurisdictional according to the seven-factor test (until Form 1</t>
  </si>
  <si>
    <t xml:space="preserve">  balances are adjusted to reflect application of seven-factor test).</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</si>
  <si>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</si>
  <si>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</si>
  <si>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</si>
  <si>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</si>
  <si>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</si>
  <si>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</si>
  <si>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Line 33 must equal zero since all short-term power sales must be unbundled and the transmission component reflected in Account</t>
  </si>
  <si>
    <t xml:space="preserve">  No. 456.1 and all other uses are to be included in the divisor.</t>
  </si>
  <si>
    <t>Grandfathered agreements whose rates have been changed to eliminate or mitigate pancaking - the revenues are included in line 4 page 1</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</si>
  <si>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</si>
  <si>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pancaking - the revenues are not included in line 4, page 1 nor are the loads included in line 13, page 1.</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</si>
  <si>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</si>
  <si>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</si>
  <si>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</si>
  <si>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</si>
  <si>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Transmission (Note Z)</t>
  </si>
  <si>
    <t>Y</t>
  </si>
  <si>
    <t>Z</t>
  </si>
  <si>
    <t>30a</t>
  </si>
  <si>
    <t>(line 29 - line 30 - line 30a)</t>
  </si>
  <si>
    <t>36b</t>
  </si>
  <si>
    <t xml:space="preserve">  Total of (a)-(b)-(c)-(d)</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</si>
  <si>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</si>
  <si>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</si>
  <si>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</si>
  <si>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AA</t>
  </si>
  <si>
    <t>BB</t>
  </si>
  <si>
    <t>219.28.c &amp; 200.21.c</t>
  </si>
  <si>
    <t>O&amp;M  (Note DD)</t>
  </si>
  <si>
    <t>DEPRECIATION AND AMORTIZATION EXPENSE (Note CC)</t>
  </si>
  <si>
    <t>336.10.f &amp; 336.1.f</t>
  </si>
  <si>
    <t>Page 1 of 5</t>
  </si>
  <si>
    <t>Page 2 of 5</t>
  </si>
  <si>
    <t>Page 3 of 5</t>
  </si>
  <si>
    <t>Page 4 of 5</t>
  </si>
  <si>
    <t>Page 5 of 5</t>
  </si>
  <si>
    <t>Account Nos. 561.4 and 561.8 consist of RTO expenses billed to load-serving entities and are not included in Transmission Owner revenue requirements.</t>
  </si>
  <si>
    <t>Plant in Service, Accumulated Depreciation, and Depreciation Expense amounts exclude Asset Retirement Obligation amounts unless authorized by FERC.</t>
  </si>
  <si>
    <t>Schedule 10-FERC charges should not be included in O&amp;M recovered under this Attachment O.</t>
  </si>
  <si>
    <t>CC</t>
  </si>
  <si>
    <t>DD</t>
  </si>
  <si>
    <t>ATXI</t>
  </si>
  <si>
    <t>6a</t>
  </si>
  <si>
    <t>Historical Year Actual ATRR</t>
  </si>
  <si>
    <t>6b</t>
  </si>
  <si>
    <t>6c</t>
  </si>
  <si>
    <t>Prior Year ATRR True-up</t>
  </si>
  <si>
    <t>6d</t>
  </si>
  <si>
    <t>Prior Year Divisor True-up</t>
  </si>
  <si>
    <t>6e</t>
  </si>
  <si>
    <t>Interest on Prior Year True-up</t>
  </si>
  <si>
    <t>Input from Prior Year</t>
  </si>
  <si>
    <t>(line 6a - line 6b)</t>
  </si>
  <si>
    <t>Note FF</t>
  </si>
  <si>
    <t>(line 1 minus line 6 + line 6c through 6e)</t>
  </si>
  <si>
    <t>GROSS PLANT IN SERVICE  (Note Z) (Note CC)</t>
  </si>
  <si>
    <t>ACCUMULATED DEPRECIATION  (Note Z) (Note CC)</t>
  </si>
  <si>
    <t>18a</t>
  </si>
  <si>
    <t>100% CWIP Recovery for Commission Approved Order</t>
  </si>
  <si>
    <t>No. 679 Projects (Note Z)</t>
  </si>
  <si>
    <t>275.2.k  (Note EE)</t>
  </si>
  <si>
    <t>273.8.k  (Note EE)</t>
  </si>
  <si>
    <t>277.9.k  (Note EE)</t>
  </si>
  <si>
    <t>234.8.c  (Note EE)</t>
  </si>
  <si>
    <t>267.8.h  (Note EE)</t>
  </si>
  <si>
    <t>23a</t>
  </si>
  <si>
    <t>TOTAL ADJUSTMENTS  (sum lines 19- 23a)</t>
  </si>
  <si>
    <t>214.x.d  (Note G) (Note Z)</t>
  </si>
  <si>
    <t xml:space="preserve">  Prepayments (Account 165) (Note Z)</t>
  </si>
  <si>
    <t xml:space="preserve">  Materials &amp; Supplies  (Note G &amp; Z)</t>
  </si>
  <si>
    <t>RATE BASE  (sum lines 18, 18a, 24, 25, &amp; 29)</t>
  </si>
  <si>
    <t>RATE BASE Earning Incremental Return</t>
  </si>
  <si>
    <t>for HCS (line 18a)</t>
  </si>
  <si>
    <t>9a</t>
  </si>
  <si>
    <t>(Note Y)</t>
  </si>
  <si>
    <t xml:space="preserve">  Abandoned Plant Amortization</t>
  </si>
  <si>
    <t xml:space="preserve">       where WCLTD=(page 4, line 30f) and R= (page 4, line 30g)</t>
  </si>
  <si>
    <t>RETURN from Actual Capital Structure (ACS)</t>
  </si>
  <si>
    <t>28a</t>
  </si>
  <si>
    <t>INCREMENTAL RETURN from Hypothetical Capital Structure (HCS)</t>
  </si>
  <si>
    <t>REV. REQUIREMENT  (sum lines 8, 12, 20, 27, 28, 28a)</t>
  </si>
  <si>
    <t>[Rate Base (page 2, line 30a) * Rate of Return (page 4, line 30e)]</t>
  </si>
  <si>
    <t>LESS ATTACHMENT MM ADJUSTMENT [Attachment MM, page 2, line 3, column 14]   (Note AA)</t>
  </si>
  <si>
    <t>Total transmission plant    (page 2, line 2 + 18a, column 3)</t>
  </si>
  <si>
    <t xml:space="preserve">                                          Development of Common Stock: (Note Z)</t>
  </si>
  <si>
    <t>ACTUAL CAPITAL STRUCTURE</t>
  </si>
  <si>
    <t>HYPOTHETICAL CAPITAL STRUCTURE</t>
  </si>
  <si>
    <t>30b</t>
  </si>
  <si>
    <t>30c</t>
  </si>
  <si>
    <t>30d</t>
  </si>
  <si>
    <t>Long Term Debt</t>
  </si>
  <si>
    <t>Total (sum lines 30a - 30c)</t>
  </si>
  <si>
    <t>30e</t>
  </si>
  <si>
    <t>30f</t>
  </si>
  <si>
    <t>30g</t>
  </si>
  <si>
    <t>Overall WCLTD for Income Taxes</t>
  </si>
  <si>
    <t>Incremental Return for Projects with HCS Approval  (line 30d minus line 30)</t>
  </si>
  <si>
    <t>(Rate Based Weighting of line 27 and line 30a)</t>
  </si>
  <si>
    <t>(Rate Based Weighting of line 30 and line 30d)</t>
  </si>
  <si>
    <t xml:space="preserve">  Unamortized Balance of Abandoned Plant  (Note Y, Note Z)</t>
  </si>
  <si>
    <t>Long Term Debt (112, sum of  18.c through 21.c) (Note Z)</t>
  </si>
  <si>
    <t>Preferred Stock  (112.3.c)</t>
  </si>
  <si>
    <t>Common Stock  (line 26) (Note Z)</t>
  </si>
  <si>
    <t>Page 2 line 23a includes any unamortized balances related to the recovery of abandoned plant costs approved by FERC under a separate docket.</t>
  </si>
  <si>
    <t>Page 3 line 9a includes the Amortization expense of abandonment costs included in transmission depreciation expense.</t>
  </si>
  <si>
    <t>These are shown in the workpapers required pursuant to the Annual Rate Calculation and True-up Procedures.</t>
  </si>
  <si>
    <t>EE</t>
  </si>
  <si>
    <t>Calculate using a simple average of beginning of year and end of year balances reconciling to FERC Form No. 1 by page, line and column as shown in Column 2.</t>
  </si>
  <si>
    <t>FF</t>
  </si>
  <si>
    <t>Calculation of Prior Year Divisor True-up:</t>
  </si>
  <si>
    <t>Historic Year Actual Divisor for Pricing Zone</t>
  </si>
  <si>
    <t>Projected Year Divisor for Pricing Zone</t>
  </si>
  <si>
    <t>Difference between Historic &amp; Projected Yr Divisor</t>
  </si>
  <si>
    <t>Prior Year Projected Annual Cost ($ per kw per yr)</t>
  </si>
  <si>
    <t>Projected ATRR from Prior Year</t>
  </si>
  <si>
    <t>Overall Return (R) for Income Taxes</t>
  </si>
  <si>
    <t>Calculate using 13 month average balance, reconciling to FERC Form No. 1 by page, line, and column as shown in Column 2.</t>
  </si>
  <si>
    <t>Projected divisor will be equal to the pricing zone divisor used to calculate the billed zonal rate</t>
  </si>
  <si>
    <t>Income Tax Calculation = line 22 * (line 28 + line 28a)</t>
  </si>
  <si>
    <t>also included in Attachment GG]</t>
  </si>
  <si>
    <t>[Revenue Requirement for facilities included on page 2, line 2, &amp; line 18a and</t>
  </si>
  <si>
    <t>also included in Attachment MM]</t>
  </si>
  <si>
    <t>Preferred Stock</t>
  </si>
  <si>
    <t>Pursuant to Attachment GG of the Midwest ISO Tariff, removes dollar amount of the revenue requirements calculated pursuant to Attachment GG.</t>
  </si>
  <si>
    <t>Pursuant to Attachment MM of the Midwest ISO Tariff, removes dollar amount of the revenue requirements calculated pursuant to Attachment MM.</t>
  </si>
  <si>
    <t>Transmission Owner's Attachment O revenue requirements have already been reduced by the Attachment GG revenue requirements.</t>
  </si>
  <si>
    <t>Transmission Owner's Attachment O revenue requirements have already been reduced by the Attachment MM revenue requirements.</t>
  </si>
  <si>
    <t xml:space="preserve">  c. Transmission charges from Schedules associated with Attachment GG  (Note X)</t>
  </si>
  <si>
    <t xml:space="preserve">  d. Transmission charges from Schedules associated with Attachment MM  (Note BB)</t>
  </si>
  <si>
    <t xml:space="preserve">Removes from revenue credits revenue that are distributed pursuant to Schedules associated with Attachment GG of the Midwest ISO Tariff, since the </t>
  </si>
  <si>
    <t xml:space="preserve">Removes from revenue credits revenues that are distributed pursuant to Schedules associated with Attachment MM of the Midwest ISO Tariff, since the </t>
  </si>
  <si>
    <t>Attachment MM-ATXI</t>
  </si>
  <si>
    <t>Formula Rate calculation</t>
  </si>
  <si>
    <t xml:space="preserve"> Utilizing Attachment O Data</t>
  </si>
  <si>
    <t>Page 1 of 2</t>
  </si>
  <si>
    <t>To be completed in conjunction with Attachment O-ATXI.</t>
  </si>
  <si>
    <t>(inputs from Attachment O are rounded to whole dollars)</t>
  </si>
  <si>
    <t>Gross Transmission Plant - Total</t>
  </si>
  <si>
    <t>Attach O, p 2, line 2 + 18a col 5 (Note A)</t>
  </si>
  <si>
    <t>Transmission Accumulated Depreciation</t>
  </si>
  <si>
    <t xml:space="preserve">Attach O, p 2, line 8 col 5 </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</si>
  <si>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</si>
  <si>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</si>
  <si>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</si>
  <si>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</si>
  <si>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</si>
  <si>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</si>
  <si>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</si>
  <si>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</si>
  <si>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</si>
  <si>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</si>
  <si>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</si>
  <si>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</si>
  <si>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</si>
  <si>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</si>
  <si>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</si>
  <si>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</si>
  <si>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</si>
  <si>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</si>
  <si>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</si>
  <si>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</si>
  <si>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</si>
  <si>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</si>
  <si>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</si>
  <si>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</si>
  <si>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</si>
  <si>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</si>
  <si>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</si>
  <si>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</si>
  <si>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</si>
  <si>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</si>
  <si>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</si>
  <si>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</si>
  <si>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</si>
  <si>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</si>
  <si>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</si>
  <si>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</si>
  <si>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</si>
  <si>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</si>
  <si>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</si>
  <si>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</si>
  <si>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</si>
  <si>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</si>
  <si>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</si>
  <si>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</si>
  <si>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</si>
  <si>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Attach O, p 3, line 27 col 5</t>
  </si>
  <si>
    <t>11</t>
  </si>
  <si>
    <t>Annual Allocation Factor for Income Taxes</t>
  </si>
  <si>
    <t>(line 10 divided by line 2 col 3)</t>
  </si>
  <si>
    <t xml:space="preserve">RETURN </t>
  </si>
  <si>
    <t>12</t>
  </si>
  <si>
    <t>Return on Rate Base (Note I)</t>
  </si>
  <si>
    <t>Attach O, p 3, line 28 col 5</t>
  </si>
  <si>
    <t>13</t>
  </si>
  <si>
    <t>Annual Allocation Factor for Return on Rate Base</t>
  </si>
  <si>
    <t>(line 12 divided by line 2 col 3)</t>
  </si>
  <si>
    <t>14</t>
  </si>
  <si>
    <t>Annual Allocation Factor for Return</t>
  </si>
  <si>
    <t>Sum of line 11 and 13</t>
  </si>
  <si>
    <t>HYPOTHETICAL CAPITAL STRUCTURE (HCS) RETURN</t>
  </si>
  <si>
    <t>15</t>
  </si>
  <si>
    <t xml:space="preserve">Annual Allocation Factor HCS Return (Note J) </t>
  </si>
  <si>
    <t>Attach O, p 4, line 30e</t>
  </si>
  <si>
    <t>Page 2 of 2</t>
  </si>
  <si>
    <t>Multi-Value Project (MVP) Revenue Requirement Calculation</t>
  </si>
  <si>
    <t>(6)</t>
  </si>
  <si>
    <t>(7)</t>
  </si>
  <si>
    <t>(8)</t>
  </si>
  <si>
    <t>(9)</t>
  </si>
  <si>
    <t>(10)</t>
  </si>
  <si>
    <t>(11)</t>
  </si>
  <si>
    <t>(11a)</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</si>
  <si>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</si>
  <si>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</si>
  <si>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</si>
  <si>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</si>
  <si>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</si>
  <si>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</si>
  <si>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</si>
  <si>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</si>
  <si>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</si>
  <si>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</si>
  <si>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</si>
  <si>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</si>
  <si>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</si>
  <si>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</si>
  <si>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</si>
  <si>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</si>
  <si>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HCS Return</t>
  </si>
  <si>
    <t>Annual Return Charge</t>
  </si>
  <si>
    <t>Project Depreciation Expense</t>
  </si>
  <si>
    <t>Annual Revenue Requirement</t>
  </si>
  <si>
    <t>True-Up Adjustment</t>
  </si>
  <si>
    <t>MVP Annual Adjusted Revenue Requirement</t>
  </si>
  <si>
    <t>Page 1 line 4</t>
  </si>
  <si>
    <t>(Col 4 * Col 5)</t>
  </si>
  <si>
    <t>Page 1 line 9</t>
  </si>
  <si>
    <t>(Col 3 * Col 7)</t>
  </si>
  <si>
    <t>(Col 6 + Col 8)</t>
  </si>
  <si>
    <t>(Col 3 - Col 4)</t>
  </si>
  <si>
    <t>(Page 1 line 14)</t>
  </si>
  <si>
    <t>(Page 1 line 15) (Note J)</t>
  </si>
  <si>
    <t>(Col 10 * (Col 11 + 11a))</t>
  </si>
  <si>
    <t>(Note E)</t>
  </si>
  <si>
    <t>(Sum Col. 9, 12 &amp; 13)</t>
  </si>
  <si>
    <t>(Note F)</t>
  </si>
  <si>
    <t>Sum Col. 14 &amp; 15
(Note G)</t>
  </si>
  <si>
    <t>Multi-Value Projects (MVP)</t>
  </si>
  <si>
    <t>1b</t>
  </si>
  <si>
    <t>1c</t>
  </si>
  <si>
    <t>2</t>
  </si>
  <si>
    <t>MVP Total Annual Revenue Requirements</t>
  </si>
  <si>
    <t>Rev. Req. Adj For Attachment O</t>
  </si>
  <si>
    <r>
      <t xml:space="preserve">Gross Transmission Plant is that identified on page 2 line 2 of Attachment </t>
    </r>
    <r>
      <rPr>
        <sz val="12"/>
        <rFont val="Arial MT"/>
      </rPr>
      <t xml:space="preserve">O-ATXI and includes any sub lines 2a or 2b etc. and is inclusive of any CWIP included in rate base when authorized by FERC order.  </t>
    </r>
  </si>
  <si>
    <r>
      <t xml:space="preserve">Net Transmission Plant is that identified on page 2 line 14 of Attachment </t>
    </r>
    <r>
      <rPr>
        <sz val="12"/>
        <rFont val="Arial MT"/>
      </rPr>
      <t>O-ATXI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</si>
  <si>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This value includes subsequent</t>
  </si>
  <si>
    <t>capital investments required to maintain the facilities to their original capabilities.</t>
  </si>
  <si>
    <t>Note deliberately left blank.</t>
  </si>
  <si>
    <t>Project Depreciation Expense is the actual value booked for the project and included in the Depreciation Expense in Attachment O page 3, line 12.</t>
  </si>
  <si>
    <r>
      <t>True-Up Adjustment is included pursuant to a FERC approved methodology</t>
    </r>
    <r>
      <rPr>
        <sz val="12"/>
        <rFont val="Arial MT"/>
      </rPr>
      <t>, if applicable.</t>
    </r>
  </si>
  <si>
    <r>
      <t>The MVP Annual Revenue Requirement is the value to be used in Schedule</t>
    </r>
    <r>
      <rPr>
        <sz val="12"/>
        <rFont val="Arial MT"/>
      </rPr>
      <t>s 26-A and 39.</t>
    </r>
  </si>
  <si>
    <t>The Total General and Common Depreciation Expense excludes any depreciation expense directly associated with a project and thereby included in page 2 column 13.</t>
  </si>
  <si>
    <t>Equals the return based on the actual capital structure (ACS)</t>
  </si>
  <si>
    <t>Equals the incremental return for projects with hypothetical capital structure (HCS) approval.</t>
  </si>
  <si>
    <t>Projected For the 12 months ended 12/31/2014</t>
  </si>
  <si>
    <t>For  the 12 months ended 12/31/14</t>
  </si>
  <si>
    <t>Pana-Sugar Creek</t>
  </si>
  <si>
    <t>Sidney-Rising</t>
  </si>
  <si>
    <t>Palmyra-Pawnee</t>
  </si>
  <si>
    <t>1d</t>
  </si>
  <si>
    <t>Pawnee-Pana</t>
  </si>
  <si>
    <t>1e</t>
  </si>
  <si>
    <t>Adair-Palmyra</t>
  </si>
  <si>
    <t>1f</t>
  </si>
  <si>
    <t>Adair-Ottumwa</t>
  </si>
  <si>
    <t>1g</t>
  </si>
  <si>
    <t>Fargo-Galesburg-Oak Grove</t>
  </si>
  <si>
    <t>Attachment MM True-Up Adjustment - Project Basis</t>
  </si>
  <si>
    <t>To be completed after the Attachment MM using actual data is completed for the True-Up Year</t>
  </si>
  <si>
    <t xml:space="preserve">Company Name:  </t>
  </si>
  <si>
    <t xml:space="preserve">True-Up Year:  </t>
  </si>
  <si>
    <t>(a)</t>
  </si>
  <si>
    <t>(b)</t>
  </si>
  <si>
    <t>(c)</t>
  </si>
  <si>
    <t>(d)</t>
  </si>
  <si>
    <t>(e)</t>
  </si>
  <si>
    <t>(f)</t>
  </si>
  <si>
    <t>(g)</t>
  </si>
  <si>
    <t>(h)</t>
  </si>
  <si>
    <t>(i)</t>
  </si>
  <si>
    <t>(j)</t>
  </si>
  <si>
    <t>(k)</t>
  </si>
  <si>
    <t>Actual</t>
  </si>
  <si>
    <t>Projected</t>
  </si>
  <si>
    <t>Attachment MM</t>
  </si>
  <si>
    <t>True-Up</t>
  </si>
  <si>
    <t>Applicable</t>
  </si>
  <si>
    <t>MTEP</t>
  </si>
  <si>
    <t>Annual</t>
  </si>
  <si>
    <t>Revenues</t>
  </si>
  <si>
    <t>Adjustment</t>
  </si>
  <si>
    <t>Interest</t>
  </si>
  <si>
    <t>Project</t>
  </si>
  <si>
    <t>Revenue</t>
  </si>
  <si>
    <t>Principal</t>
  </si>
  <si>
    <t>Rate on</t>
  </si>
  <si>
    <t>Name</t>
  </si>
  <si>
    <t>Number</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</si>
  <si>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</si>
  <si>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</si>
  <si>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t>Under/(Over)</t>
  </si>
  <si>
    <t>[Col. (d), line 1</t>
  </si>
  <si>
    <t>x (Col. (e), line 2x /</t>
  </si>
  <si>
    <t>Col. (g) x Col. (h)</t>
  </si>
  <si>
    <t>p 2 of 2, Col. 14 2</t>
  </si>
  <si>
    <r>
      <t>Col. (e), line 3)]</t>
    </r>
    <r>
      <rPr>
        <vertAlign val="superscript"/>
        <sz val="11"/>
        <color theme="1"/>
        <rFont val="Calibri"/>
        <family val="2"/>
        <scheme val="minor"/>
      </rPr>
      <t>2</t>
    </r>
  </si>
  <si>
    <t>Col. (g) - Col. (f)</t>
  </si>
  <si>
    <t>Line 5</t>
  </si>
  <si>
    <r>
      <t xml:space="preserve">x 24 months </t>
    </r>
    <r>
      <rPr>
        <vertAlign val="superscript"/>
        <sz val="11"/>
        <color theme="1"/>
        <rFont val="Calibri"/>
        <family val="2"/>
        <scheme val="minor"/>
      </rPr>
      <t>2</t>
    </r>
  </si>
  <si>
    <t>Col. (g) + Col. (i)</t>
  </si>
  <si>
    <r>
      <t xml:space="preserve">Actual Attachment MM revenues for True-Up Year </t>
    </r>
    <r>
      <rPr>
        <vertAlign val="superscript"/>
        <sz val="11"/>
        <color theme="1"/>
        <rFont val="Calibri"/>
        <family val="2"/>
        <scheme val="minor"/>
      </rPr>
      <t>1</t>
    </r>
  </si>
  <si>
    <t>2a</t>
  </si>
  <si>
    <t>2b</t>
  </si>
  <si>
    <t>2c</t>
  </si>
  <si>
    <t>2d</t>
  </si>
  <si>
    <t>2e</t>
  </si>
  <si>
    <t>2f</t>
  </si>
  <si>
    <t>2g</t>
  </si>
  <si>
    <t>Subtotal</t>
  </si>
  <si>
    <t>Under/(Over) Recovery</t>
  </si>
  <si>
    <t>Interest rate per month on Under Recovery (expressed to four decimal places)</t>
  </si>
  <si>
    <t>1</t>
  </si>
  <si>
    <t>Amount excludes True-Up Adjustment, as reported in True-Up Year projected Attachment MM, page 2, column 15.</t>
  </si>
  <si>
    <t>Rounded to whole dollars.</t>
  </si>
  <si>
    <t>Ameren Transmission Company of Illinois</t>
  </si>
  <si>
    <t>Projected Rate Base ($000)</t>
  </si>
  <si>
    <t>Page 1</t>
  </si>
  <si>
    <t>13 Month</t>
  </si>
  <si>
    <t>Dec 13</t>
  </si>
  <si>
    <t>Year 2012</t>
  </si>
  <si>
    <t>Average</t>
  </si>
  <si>
    <t>Transmission Plant</t>
  </si>
  <si>
    <t>Gross Plant in Service</t>
  </si>
  <si>
    <t>Accumulated Depreciation</t>
  </si>
  <si>
    <t>Total Plant in Service</t>
  </si>
  <si>
    <r>
      <t xml:space="preserve">CWIP  </t>
    </r>
    <r>
      <rPr>
        <sz val="6"/>
        <color theme="1"/>
        <rFont val="Calibri"/>
        <family val="2"/>
        <scheme val="minor"/>
      </rPr>
      <t>1/</t>
    </r>
  </si>
  <si>
    <t>Other Rate Base Adjustments</t>
  </si>
  <si>
    <r>
      <t xml:space="preserve">ADIT 282  </t>
    </r>
    <r>
      <rPr>
        <sz val="6"/>
        <color theme="1"/>
        <rFont val="Calibri"/>
        <family val="2"/>
        <scheme val="minor"/>
      </rPr>
      <t>2/</t>
    </r>
  </si>
  <si>
    <r>
      <t xml:space="preserve">ADIT 283  </t>
    </r>
    <r>
      <rPr>
        <sz val="6"/>
        <color theme="1"/>
        <rFont val="Calibri"/>
        <family val="2"/>
        <scheme val="minor"/>
      </rPr>
      <t>2/</t>
    </r>
  </si>
  <si>
    <r>
      <t xml:space="preserve">ADIT 190  </t>
    </r>
    <r>
      <rPr>
        <sz val="6"/>
        <color theme="1"/>
        <rFont val="Calibri"/>
        <family val="2"/>
        <scheme val="minor"/>
      </rPr>
      <t>2/</t>
    </r>
  </si>
  <si>
    <t>Net Prefunded AFUDC on CWIP</t>
  </si>
  <si>
    <t>Materials &amp; Supplies</t>
  </si>
  <si>
    <t>Prepayments</t>
  </si>
  <si>
    <t>Cash Working Capital</t>
  </si>
  <si>
    <t>Total Rate Base</t>
  </si>
  <si>
    <t>1/</t>
  </si>
  <si>
    <t>2/</t>
  </si>
  <si>
    <t>Deferred Income Taxes are a simply average of the beginning and end of year balances</t>
  </si>
  <si>
    <t>Projected Revenues and Expenses ($000)</t>
  </si>
  <si>
    <t>Page 2</t>
  </si>
  <si>
    <t>Transmission Service Revenues</t>
  </si>
  <si>
    <t>NITS Revenue</t>
  </si>
  <si>
    <t>PTP Revenue</t>
  </si>
  <si>
    <t>MVP Revenues</t>
  </si>
  <si>
    <t>Total Transmissiion Revenue</t>
  </si>
  <si>
    <t>Transmission Expenses</t>
  </si>
  <si>
    <t>A&amp;G Expense</t>
  </si>
  <si>
    <t>Total O&amp;M</t>
  </si>
  <si>
    <t>Depreciation Expense</t>
  </si>
  <si>
    <t>Taxes Other than Income Taxes</t>
  </si>
  <si>
    <t>Total Expenses</t>
  </si>
  <si>
    <t>Wages and Salaries</t>
  </si>
  <si>
    <t>Production</t>
  </si>
  <si>
    <t>Distribution</t>
  </si>
  <si>
    <t>Other</t>
  </si>
  <si>
    <t>Projected Capitalization ($000)</t>
  </si>
  <si>
    <t>Page 3</t>
  </si>
  <si>
    <t>Equity</t>
  </si>
  <si>
    <t>Debt</t>
  </si>
  <si>
    <t>Total Capitalization</t>
  </si>
  <si>
    <t>Interest Expense</t>
  </si>
  <si>
    <t>CWIP</t>
  </si>
  <si>
    <t>Jan</t>
  </si>
  <si>
    <t>Feb</t>
  </si>
  <si>
    <t>Mar</t>
  </si>
  <si>
    <t>Apr</t>
  </si>
  <si>
    <t>May</t>
  </si>
  <si>
    <t>Jun</t>
  </si>
  <si>
    <t>Jul</t>
  </si>
  <si>
    <t>Aug</t>
  </si>
  <si>
    <t>Sep</t>
  </si>
  <si>
    <t>Oct</t>
  </si>
  <si>
    <t>Nov</t>
  </si>
  <si>
    <t>Dec</t>
  </si>
  <si>
    <t>13 Months Ended December 31, 2014</t>
  </si>
  <si>
    <t>Calendar Year 2014</t>
  </si>
  <si>
    <t>Jan 14</t>
  </si>
  <si>
    <t>Feb 14</t>
  </si>
  <si>
    <t>Mar 14</t>
  </si>
  <si>
    <t>Apr 14</t>
  </si>
  <si>
    <t>May 14</t>
  </si>
  <si>
    <t>Jun 14</t>
  </si>
  <si>
    <t>Jul 14</t>
  </si>
  <si>
    <t>Aug 14</t>
  </si>
  <si>
    <t>Sep 14</t>
  </si>
  <si>
    <t>Oct 14</t>
  </si>
  <si>
    <t>Nov 14</t>
  </si>
  <si>
    <t>Dec 14</t>
  </si>
  <si>
    <t xml:space="preserve"> 2014</t>
  </si>
  <si>
    <t>Total 2014</t>
  </si>
  <si>
    <t>ATXI Short Term Interest Expense for 2012</t>
  </si>
  <si>
    <t>Short Term Interest Expense for Period</t>
  </si>
  <si>
    <t>Avg Daily Borrowing for Period</t>
  </si>
  <si>
    <t>Weighted Average Rate</t>
  </si>
  <si>
    <t>2012 Interest Rate Backup</t>
  </si>
  <si>
    <t>Ineterest on 2012 Attachment O Load True Up</t>
  </si>
  <si>
    <t xml:space="preserve">FERC interest rate </t>
  </si>
  <si>
    <t>used for over recovery</t>
  </si>
  <si>
    <t>ATXI short term debt rate</t>
  </si>
  <si>
    <t>used for under recovery</t>
  </si>
  <si>
    <t>Rate to be applied to 2012 under recovery</t>
  </si>
  <si>
    <t xml:space="preserve">Monthly interest rate </t>
  </si>
  <si>
    <t>Total true up</t>
  </si>
  <si>
    <t>Interest on True up</t>
  </si>
  <si>
    <t>2012 Attachment O Load True Up</t>
  </si>
  <si>
    <t>2012 ATXI Load and Rate</t>
  </si>
  <si>
    <r>
      <t xml:space="preserve">Jan- Feb </t>
    </r>
    <r>
      <rPr>
        <sz val="8"/>
        <rFont val="Arial"/>
        <family val="2"/>
      </rPr>
      <t>1/</t>
    </r>
  </si>
  <si>
    <t>Mar - May</t>
  </si>
  <si>
    <t>June - Dec</t>
  </si>
  <si>
    <t>Months Applicable</t>
  </si>
  <si>
    <t>Net Att O Revenue Requirement in Effect</t>
  </si>
  <si>
    <t>AMIL Divisor for Period</t>
  </si>
  <si>
    <t>ATXI Annual Projected Rate for period</t>
  </si>
  <si>
    <t>1/ - ATXI testimony in ER12-749 included the following statement: "Note that the first true-up for 2012, to be posted in July 2013, will include revenues for  January and February 2012 which are based on 2010 historical costs, plus revenues for the last 10 months of 2012 based on the new projected ATRR".  Therefore, ATXI is including January and February in the volume and rate True-Up Calculation.</t>
  </si>
  <si>
    <t>Interest Rate updated through July 2013</t>
  </si>
  <si>
    <t>1h</t>
  </si>
  <si>
    <t>1i</t>
  </si>
  <si>
    <t>1j</t>
  </si>
  <si>
    <t>1k</t>
  </si>
  <si>
    <t>1l</t>
  </si>
  <si>
    <t>1m</t>
  </si>
  <si>
    <t>1n</t>
  </si>
  <si>
    <t>Pana-Sugar Creek - Land - No HCS</t>
  </si>
  <si>
    <t>Sidney-Rising - Land - No HCS</t>
  </si>
  <si>
    <t>Palmyra-Pawnee - Land - No HCS</t>
  </si>
  <si>
    <t>Pawnee-Pana - Land - No HCS</t>
  </si>
  <si>
    <t>Adair-Palmyra - Land - No HCS</t>
  </si>
  <si>
    <t>Adair-Ottumwa - Land - No HCS</t>
  </si>
  <si>
    <t>Fargo-Galesburg-Oak Grove - Land - No HCS</t>
  </si>
  <si>
    <t xml:space="preserve">ATXI 2014 MVPs Balances For Attachment MM </t>
  </si>
  <si>
    <t>13 month</t>
  </si>
  <si>
    <t>LAND</t>
  </si>
  <si>
    <t>MISO 2237</t>
  </si>
  <si>
    <t>MISO 2239</t>
  </si>
  <si>
    <t>MISO 2248</t>
  </si>
  <si>
    <t>MISO 3017</t>
  </si>
  <si>
    <t>MISO 3022</t>
  </si>
  <si>
    <t>MISO 3169</t>
  </si>
  <si>
    <t>MISO 3170</t>
  </si>
  <si>
    <t>Land + CWIP</t>
  </si>
  <si>
    <t>Construction Work in Progress on  approved MVPs - Illinois Rivers, Spoon River and Mark Twain</t>
  </si>
  <si>
    <t>FERC Reg Com Exp (2012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</si>
</sst>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8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0000_);_(* \(#,##0.0000\);_(* &quot;-&quot;??_);_(@_)"/>
    <numFmt numFmtId="175" formatCode="_(* #,##0_);_(* \(#,##0\);_(* &quot;-&quot;??_);_(@_)"/>
    <numFmt numFmtId="176" formatCode="0_);\(0\)"/>
    <numFmt numFmtId="177" formatCode="_(&quot;$&quot;* #,##0_);_(&quot;$&quot;* \(#,##0\);_(&quot;$&quot;* &quot;-&quot;??_);_(@_)"/>
    <numFmt numFmtId="178" formatCode="0.0%_);\(0.0%\)"/>
    <numFmt numFmtId="179" formatCode="\•\ \ @"/>
    <numFmt numFmtId="180" formatCode="#,##0,_);\(#,##0,\)"/>
    <numFmt numFmtId="181" formatCode="#,##0.0_);\(#,##0.0\)"/>
    <numFmt numFmtId="182" formatCode="0.0,_);\(0.0,\)"/>
    <numFmt numFmtId="183" formatCode="0.00,_);\(0.00,\)"/>
    <numFmt numFmtId="184" formatCode="#,##0.000_);\(#,##0.000\)"/>
    <numFmt numFmtId="185" formatCode="_._.* #,##0.0_)_%;_._.* \(#,##0.0\)_%;_._.* \ ?_)_%"/>
    <numFmt numFmtId="186" formatCode="_._.* #,##0.00_)_%;_._.* \(#,##0.00\)_%;_._.* \ ?_)_%"/>
    <numFmt numFmtId="187" formatCode="_._.* #,##0.000_)_%;_._.* \(#,##0.000\)_%;_._.* \ ?_)_%"/>
    <numFmt numFmtId="188" formatCode="_._.* #,##0.0000_)_%;_._.* \(#,##0.0000\)_%;_._.* \ ?_)_%"/>
    <numFmt numFmtId="189" formatCode="_._.&quot;$&quot;* #,##0.0_)_%;_._.&quot;$&quot;* \(#,##0.0\)_%;_._.&quot;$&quot;* \ ?_)_%"/>
    <numFmt numFmtId="190" formatCode="_._.&quot;$&quot;* #,##0.00_)_%;_._.&quot;$&quot;* \(#,##0.00\)_%;_._.&quot;$&quot;* \ ?_)_%"/>
    <numFmt numFmtId="191" formatCode="_._.&quot;$&quot;* #,##0.000_)_%;_._.&quot;$&quot;* \(#,##0.000\)_%;_._.&quot;$&quot;* \ ?_)_%"/>
    <numFmt numFmtId="192" formatCode="_._.&quot;$&quot;* #,##0.0000_)_%;_._.&quot;$&quot;* \(#,##0.0000\)_%;_._.&quot;$&quot;* \ ?_)_%"/>
    <numFmt numFmtId="193" formatCode="&quot;$&quot;#,##0,_);\(&quot;$&quot;#,##0,\)"/>
    <numFmt numFmtId="194" formatCode="&quot;$&quot;#,##0.0_);\(&quot;$&quot;#,##0.0\)"/>
    <numFmt numFmtId="195" formatCode="&quot;$&quot;0.0,_);\(&quot;$&quot;0.0,\)"/>
    <numFmt numFmtId="196" formatCode="&quot;$&quot;0.00,_);\(&quot;$&quot;0.00,\)"/>
    <numFmt numFmtId="197" formatCode="&quot;$&quot;#,##0.000_);\(&quot;$&quot;#,##0.000\)"/>
    <numFmt numFmtId="198" formatCode="#,##0.0\x_);\(#,##0.0\x\)"/>
    <numFmt numFmtId="199" formatCode="#,##0.00\x_);\(#,##0.00\x\)"/>
    <numFmt numFmtId="200" formatCode="[$€-2]\ #,##0_);\([$€-2]\ #,##0\)"/>
    <numFmt numFmtId="201" formatCode="[$€-2]\ #,##0.0_);\([$€-2]\ #,##0.0\)"/>
    <numFmt numFmtId="202" formatCode="_([$€-2]* #,##0.00_);_([$€-2]* \(#,##0.00\);_([$€-2]* &quot;-&quot;??_)"/>
    <numFmt numFmtId="203" formatCode="#,##0\x;\(#,##0\x\)"/>
    <numFmt numFmtId="204" formatCode="0.0\x;\(0.0\x\)"/>
    <numFmt numFmtId="205" formatCode="#,##0.00\x;\(#,##0.00\x\)"/>
    <numFmt numFmtId="206" formatCode="#,##0.000\x;\(#,##0.000\x\)"/>
    <numFmt numFmtId="207" formatCode="0.0_);\(0.0\)"/>
    <numFmt numFmtId="208" formatCode="0%;\(0%\)"/>
    <numFmt numFmtId="209" formatCode="0.0%;\(0.0%\)"/>
    <numFmt numFmtId="210" formatCode="0.00%_);\(0.00%\)"/>
    <numFmt numFmtId="211" formatCode="0.000%_);\(0.000%\)"/>
    <numFmt numFmtId="212" formatCode="_(0_)%;\(0\)%;\ \ ?_)%"/>
    <numFmt numFmtId="213" formatCode="_._._(* 0_)%;_._.* \(0\)%;_._._(* \ ?_)%"/>
    <numFmt numFmtId="214" formatCode="0%_);\(0%\)"/>
    <numFmt numFmtId="215" formatCode="_(0.0_)%;\(0.0\)%;\ \ ?_)%"/>
    <numFmt numFmtId="216" formatCode="_._._(* 0.0_)%;_._.* \(0.0\)%;_._._(* \ ?_)%"/>
    <numFmt numFmtId="217" formatCode="_(0.00_)%;\(0.00\)%;\ \ ?_)%"/>
    <numFmt numFmtId="218" formatCode="_._._(* 0.00_)%;_._.* \(0.00\)%;_._._(* \ ?_)%"/>
    <numFmt numFmtId="219" formatCode="_(0.000_)%;\(0.000\)%;\ \ ?_)%"/>
    <numFmt numFmtId="220" formatCode="_._._(* 0.000_)%;_._.* \(0.000\)%;_._._(* \ ?_)%"/>
    <numFmt numFmtId="221" formatCode="_(0.0000_)%;\(0.0000\)%;\ \ ?_)%"/>
    <numFmt numFmtId="222" formatCode="_._._(* 0.0000_)%;_._.* \(0.0000\)%;_._._(* \ ?_)%"/>
    <numFmt numFmtId="223" formatCode="0.0%"/>
    <numFmt numFmtId="224" formatCode="_(* #,##0_);_(* \(#,##0\);_(* \ ?_)"/>
    <numFmt numFmtId="225" formatCode="_(* #,##0.0_);_(* \(#,##0.0\);_(* \ ?_)"/>
    <numFmt numFmtId="226" formatCode="_(* #,##0.00_);_(* \(#,##0.00\);_(* \ ?_)"/>
    <numFmt numFmtId="227" formatCode="_(* #,##0.000_);_(* \(#,##0.000\);_(* \ ?_)"/>
    <numFmt numFmtId="228" formatCode="_(&quot;$&quot;* #,##0_);_(&quot;$&quot;* \(#,##0\);_(&quot;$&quot;* \ ?_)"/>
    <numFmt numFmtId="229" formatCode="_(&quot;$&quot;* #,##0.0_);_(&quot;$&quot;* \(#,##0.0\);_(&quot;$&quot;* \ ?_)"/>
    <numFmt numFmtId="230" formatCode="_(&quot;$&quot;* #,##0.00_);_(&quot;$&quot;* \(#,##0.00\);_(&quot;$&quot;* \ ?_)"/>
    <numFmt numFmtId="231" formatCode="_(&quot;$&quot;* #,##0.000_);_(&quot;$&quot;* \(#,##0.000\);_(&quot;$&quot;* \ ?_)"/>
    <numFmt numFmtId="232" formatCode="0000&quot;A&quot;"/>
    <numFmt numFmtId="233" formatCode="0&quot;E&quot;"/>
    <numFmt numFmtId="234" formatCode="0000&quot;E&quot;"/>
    <numFmt numFmtId="235" formatCode="#,##0_);[Red]\(#,##0\);&quot; &quot;"/>
    <numFmt numFmtId="236" formatCode="m/d/yy;@"/>
    <numFmt numFmtId="237" formatCode="0.0000%"/>
    <numFmt numFmtId="238" formatCode="&quot;$&quot;#,##0.0000_);\(&quot;$&quot;#,##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name val="Times New Roman"/>
      <family val="1"/>
    </font>
    <font>
      <b/>
      <u/>
      <sz val="12"/>
      <name val="Times New Roman"/>
      <family val="1"/>
    </font>
    <font>
      <u/>
      <sz val="12"/>
      <name val="Times New Roman"/>
      <family val="1"/>
    </font>
    <font>
      <sz val="8"/>
      <name val="Arial MT"/>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sz val="12"/>
      <color indexed="17"/>
      <name val="Arial MT"/>
    </font>
    <font>
      <b/>
      <sz val="12"/>
      <name val="Arial"/>
      <family val="2"/>
    </font>
    <font>
      <b/>
      <sz val="12"/>
      <name val="Arial MT"/>
    </font>
    <font>
      <b/>
      <u/>
      <sz val="12"/>
      <name val="Arial MT"/>
    </font>
    <font>
      <sz val="10"/>
      <name val="Arial"/>
      <family val="2"/>
    </font>
    <font>
      <u/>
      <sz val="12"/>
      <name val="Arial"/>
      <family val="2"/>
    </font>
    <font>
      <sz val="12"/>
      <color indexed="10"/>
      <name val="Arial MT"/>
    </font>
    <font>
      <sz val="12"/>
      <color indexed="10"/>
      <name val="Arial"/>
      <family val="2"/>
    </font>
    <font>
      <sz val="10"/>
      <name val="Arial MT"/>
    </font>
    <font>
      <sz val="10"/>
      <name val="Arial Narrow"/>
      <family val="2"/>
    </font>
    <font>
      <b/>
      <sz val="12"/>
      <color theme="1"/>
      <name val="Calibri"/>
      <family val="2"/>
      <scheme val="minor"/>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b/>
      <sz val="11"/>
      <color indexed="8"/>
      <name val="Calibri"/>
      <family val="2"/>
    </font>
    <font>
      <sz val="11"/>
      <color indexed="10"/>
      <name val="Calibri"/>
      <family val="2"/>
    </font>
    <font>
      <sz val="11"/>
      <color rgb="FF0070C0"/>
      <name val="Calibri"/>
      <family val="2"/>
      <scheme val="minor"/>
    </font>
    <font>
      <sz val="10"/>
      <color indexed="12"/>
      <name val="Arial"/>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1"/>
      <name val="Times New Roman"/>
      <family val="1"/>
    </font>
    <font>
      <u val="singleAccounting"/>
      <sz val="11"/>
      <name val="Times New Roman"/>
      <family val="1"/>
    </font>
    <font>
      <b/>
      <sz val="10"/>
      <name val="Times New Roman"/>
      <family val="1"/>
    </font>
    <font>
      <i/>
      <sz val="8"/>
      <name val="Arial"/>
      <family val="2"/>
    </font>
    <font>
      <sz val="10"/>
      <name val="Book Antiqua"/>
      <family val="1"/>
    </font>
    <font>
      <sz val="10"/>
      <color indexed="42"/>
      <name val="Arial"/>
      <family val="2"/>
    </font>
    <font>
      <sz val="10"/>
      <color indexed="46"/>
      <name val="Arial"/>
      <family val="2"/>
    </font>
    <font>
      <b/>
      <sz val="10"/>
      <color indexed="22"/>
      <name val="Arial"/>
      <family val="2"/>
    </font>
    <font>
      <sz val="8"/>
      <color indexed="22"/>
      <name val="Arial"/>
      <family val="2"/>
    </font>
    <font>
      <b/>
      <sz val="10"/>
      <color indexed="12"/>
      <name val="Arial"/>
      <family val="2"/>
    </font>
    <font>
      <sz val="10"/>
      <color indexed="12"/>
      <name val="Book Antiqua"/>
      <family val="1"/>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i/>
      <sz val="11"/>
      <color rgb="FFFF0000"/>
      <name val="Calibri"/>
      <family val="2"/>
      <scheme val="minor"/>
    </font>
    <font>
      <vertAlign val="superscript"/>
      <sz val="11"/>
      <color theme="1"/>
      <name val="Calibri"/>
      <family val="2"/>
      <scheme val="minor"/>
    </font>
    <font>
      <sz val="7"/>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sz val="6"/>
      <color theme="1"/>
      <name val="Calibri"/>
      <family val="2"/>
      <scheme val="minor"/>
    </font>
    <font>
      <b/>
      <sz val="7"/>
      <color theme="1"/>
      <name val="Calibri"/>
      <family val="2"/>
      <scheme val="minor"/>
    </font>
    <font>
      <sz val="8"/>
      <color theme="0"/>
      <name val="Calibri"/>
      <family val="2"/>
      <scheme val="minor"/>
    </font>
    <font>
      <sz val="8"/>
      <name val="Calibri"/>
      <family val="2"/>
      <scheme val="minor"/>
    </font>
    <font>
      <b/>
      <sz val="14"/>
      <color theme="1"/>
      <name val="Calibri"/>
      <family val="2"/>
      <scheme val="minor"/>
    </font>
    <font>
      <sz val="12"/>
      <color rgb="FFFF0000"/>
      <name val="Arial MT"/>
    </font>
    <font>
      <sz val="11"/>
      <color theme="1"/>
      <name val="Arial"/>
      <family val="2"/>
    </font>
    <font>
      <sz val="12"/>
      <color theme="1"/>
      <name val="Arial"/>
      <family val="2"/>
    </font>
    <font>
      <sz val="10"/>
      <color theme="1"/>
      <name val="Arial"/>
      <family val="2"/>
    </font>
    <font>
      <sz val="10"/>
      <name val="Arial"/>
      <family val="2"/>
    </font>
    <font>
      <b/>
      <i/>
      <u/>
      <sz val="14"/>
      <color theme="1"/>
      <name val="Calibri"/>
      <family val="2"/>
      <scheme val="minor"/>
    </font>
    <font>
      <sz val="12"/>
      <color rgb="FFFFFF00"/>
      <name val="Arial MT"/>
    </font>
    <font>
      <sz val="11"/>
      <name val="Arial MT"/>
    </font>
    <font>
      <sz val="11"/>
      <name val="Calibri"/>
      <family val="2"/>
      <scheme val="minor"/>
    </font>
  </fonts>
  <fills count="7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rgb="FFFFFF00"/>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hair">
        <color indexed="64"/>
      </bottom>
      <diagonal/>
    </border>
    <border>
      <left/>
      <right/>
      <top/>
      <bottom style="hair">
        <color indexed="2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454">
    <xf numFmtId="173" fontId="0" fillId="0" borderId="0" applyProtection="0"/>
    <xf numFmtId="173" fontId="1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8" applyNumberFormat="0" applyAlignment="0" applyProtection="0"/>
    <xf numFmtId="0" fontId="24" fillId="8" borderId="9" applyNumberFormat="0" applyAlignment="0" applyProtection="0"/>
    <xf numFmtId="0" fontId="25" fillId="8" borderId="8" applyNumberFormat="0" applyAlignment="0" applyProtection="0"/>
    <xf numFmtId="0" fontId="26" fillId="0" borderId="10" applyNumberFormat="0" applyFill="0" applyAlignment="0" applyProtection="0"/>
    <xf numFmtId="0" fontId="27" fillId="9" borderId="1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31" fillId="34" borderId="0" applyNumberFormat="0" applyBorder="0" applyAlignment="0" applyProtection="0"/>
    <xf numFmtId="43" fontId="37" fillId="0" borderId="0" applyFont="0" applyFill="0" applyBorder="0" applyAlignment="0" applyProtection="0"/>
    <xf numFmtId="9" fontId="37" fillId="0" borderId="0" applyFont="0" applyFill="0" applyBorder="0" applyAlignment="0" applyProtection="0"/>
    <xf numFmtId="44" fontId="37" fillId="0" borderId="0" applyFont="0" applyFill="0" applyBorder="0" applyAlignment="0" applyProtection="0"/>
    <xf numFmtId="0" fontId="42" fillId="0" borderId="0">
      <alignment vertical="top"/>
    </xf>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38"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45" fillId="45"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52" borderId="0" applyNumberFormat="0" applyBorder="0" applyAlignment="0" applyProtection="0"/>
    <xf numFmtId="0" fontId="46" fillId="36" borderId="0" applyNumberFormat="0" applyBorder="0" applyAlignment="0" applyProtection="0"/>
    <xf numFmtId="173" fontId="47" fillId="0" borderId="0" applyFill="0"/>
    <xf numFmtId="173" fontId="47" fillId="0" borderId="0">
      <alignment horizontal="center"/>
    </xf>
    <xf numFmtId="0" fontId="47" fillId="0" borderId="0" applyFill="0">
      <alignment horizontal="center"/>
    </xf>
    <xf numFmtId="173" fontId="48" fillId="0" borderId="24" applyFill="0"/>
    <xf numFmtId="0" fontId="37" fillId="0" borderId="0" applyFont="0" applyAlignment="0"/>
    <xf numFmtId="0" fontId="49" fillId="0" borderId="0" applyFill="0">
      <alignment vertical="top"/>
    </xf>
    <xf numFmtId="0" fontId="48" fillId="0" borderId="0" applyFill="0">
      <alignment horizontal="left" vertical="top"/>
    </xf>
    <xf numFmtId="173" fontId="34" fillId="0" borderId="23" applyFill="0"/>
    <xf numFmtId="0" fontId="37" fillId="0" borderId="0" applyNumberFormat="0" applyFont="0" applyAlignment="0"/>
    <xf numFmtId="0" fontId="49" fillId="0" borderId="0" applyFill="0">
      <alignment wrapText="1"/>
    </xf>
    <xf numFmtId="0" fontId="48" fillId="0" borderId="0" applyFill="0">
      <alignment horizontal="left" vertical="top" wrapText="1"/>
    </xf>
    <xf numFmtId="173" fontId="50" fillId="0" borderId="0" applyFill="0"/>
    <xf numFmtId="0" fontId="51" fillId="0" borderId="0" applyNumberFormat="0" applyFont="0" applyAlignment="0">
      <alignment horizontal="center"/>
    </xf>
    <xf numFmtId="0" fontId="52" fillId="0" borderId="0" applyFill="0">
      <alignment vertical="top" wrapText="1"/>
    </xf>
    <xf numFmtId="0" fontId="34" fillId="0" borderId="0" applyFill="0">
      <alignment horizontal="left" vertical="top" wrapText="1"/>
    </xf>
    <xf numFmtId="173" fontId="37" fillId="0" borderId="0" applyFill="0"/>
    <xf numFmtId="0" fontId="51" fillId="0" borderId="0" applyNumberFormat="0" applyFont="0" applyAlignment="0">
      <alignment horizontal="center"/>
    </xf>
    <xf numFmtId="0" fontId="53" fillId="0" borderId="0" applyFill="0">
      <alignment vertical="center" wrapText="1"/>
    </xf>
    <xf numFmtId="0" fontId="32" fillId="0" borderId="0">
      <alignment horizontal="left" vertical="center" wrapText="1"/>
    </xf>
    <xf numFmtId="173" fontId="54" fillId="0" borderId="0" applyFill="0"/>
    <xf numFmtId="0" fontId="51" fillId="0" borderId="0" applyNumberFormat="0" applyFont="0" applyAlignment="0">
      <alignment horizontal="center"/>
    </xf>
    <xf numFmtId="0" fontId="55" fillId="0" borderId="0" applyFill="0">
      <alignment horizontal="center" vertical="center" wrapText="1"/>
    </xf>
    <xf numFmtId="0" fontId="37" fillId="0" borderId="0" applyFill="0">
      <alignment horizontal="center" vertical="center" wrapText="1"/>
    </xf>
    <xf numFmtId="173" fontId="56" fillId="0" borderId="0" applyFill="0"/>
    <xf numFmtId="0" fontId="51" fillId="0" borderId="0" applyNumberFormat="0" applyFont="0" applyAlignment="0">
      <alignment horizontal="center"/>
    </xf>
    <xf numFmtId="0" fontId="57" fillId="0" borderId="0" applyFill="0">
      <alignment horizontal="center" vertical="center" wrapText="1"/>
    </xf>
    <xf numFmtId="0" fontId="58" fillId="0" borderId="0" applyFill="0">
      <alignment horizontal="center" vertical="center" wrapText="1"/>
    </xf>
    <xf numFmtId="173" fontId="59" fillId="0" borderId="0" applyFill="0"/>
    <xf numFmtId="0" fontId="51" fillId="0" borderId="0" applyNumberFormat="0" applyFont="0" applyAlignment="0">
      <alignment horizontal="center"/>
    </xf>
    <xf numFmtId="0" fontId="60" fillId="0" borderId="0">
      <alignment horizontal="center" wrapText="1"/>
    </xf>
    <xf numFmtId="0" fontId="56" fillId="0" borderId="0" applyFill="0">
      <alignment horizontal="center" wrapText="1"/>
    </xf>
    <xf numFmtId="0" fontId="61" fillId="53" borderId="25" applyNumberFormat="0" applyAlignment="0" applyProtection="0"/>
    <xf numFmtId="0" fontId="62" fillId="54" borderId="26" applyNumberFormat="0" applyAlignment="0" applyProtection="0"/>
    <xf numFmtId="43" fontId="63" fillId="0" borderId="0" applyFont="0" applyFill="0" applyBorder="0" applyAlignment="0" applyProtection="0"/>
    <xf numFmtId="3" fontId="37" fillId="0" borderId="0" applyFont="0" applyFill="0" applyBorder="0" applyAlignment="0" applyProtection="0"/>
    <xf numFmtId="5" fontId="37" fillId="0" borderId="0" applyFont="0" applyFill="0" applyBorder="0" applyAlignment="0" applyProtection="0"/>
    <xf numFmtId="14" fontId="37" fillId="0" borderId="0" applyFont="0" applyFill="0" applyBorder="0" applyAlignment="0" applyProtection="0"/>
    <xf numFmtId="0" fontId="64" fillId="0" borderId="0" applyNumberFormat="0" applyFill="0" applyBorder="0" applyAlignment="0" applyProtection="0"/>
    <xf numFmtId="2" fontId="37" fillId="0" borderId="0" applyFont="0" applyFill="0" applyBorder="0" applyAlignment="0" applyProtection="0"/>
    <xf numFmtId="0" fontId="65" fillId="37" borderId="0" applyNumberFormat="0" applyBorder="0" applyAlignment="0" applyProtection="0"/>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69" fillId="0" borderId="1"/>
    <xf numFmtId="0" fontId="70" fillId="0" borderId="0"/>
    <xf numFmtId="0" fontId="71" fillId="40" borderId="25" applyNumberFormat="0" applyAlignment="0" applyProtection="0"/>
    <xf numFmtId="0" fontId="72" fillId="0" borderId="30" applyNumberFormat="0" applyFill="0" applyAlignment="0" applyProtection="0"/>
    <xf numFmtId="0" fontId="73" fillId="55" borderId="0" applyNumberFormat="0" applyBorder="0" applyAlignment="0" applyProtection="0"/>
    <xf numFmtId="0" fontId="37" fillId="0" borderId="0"/>
    <xf numFmtId="0" fontId="15" fillId="56" borderId="31" applyNumberFormat="0" applyFont="0" applyAlignment="0" applyProtection="0"/>
    <xf numFmtId="0" fontId="74" fillId="53" borderId="32" applyNumberFormat="0" applyAlignment="0" applyProtection="0"/>
    <xf numFmtId="0" fontId="63" fillId="0" borderId="0" applyNumberFormat="0" applyFont="0" applyFill="0" applyBorder="0" applyAlignment="0" applyProtection="0">
      <alignment horizontal="left"/>
    </xf>
    <xf numFmtId="15" fontId="63" fillId="0" borderId="0" applyFont="0" applyFill="0" applyBorder="0" applyAlignment="0" applyProtection="0"/>
    <xf numFmtId="4" fontId="63" fillId="0" borderId="0" applyFont="0" applyFill="0" applyBorder="0" applyAlignment="0" applyProtection="0"/>
    <xf numFmtId="3" fontId="37" fillId="0" borderId="0">
      <alignment horizontal="left" vertical="top"/>
    </xf>
    <xf numFmtId="0" fontId="75" fillId="0" borderId="1">
      <alignment horizontal="center"/>
    </xf>
    <xf numFmtId="3" fontId="63" fillId="0" borderId="0" applyFont="0" applyFill="0" applyBorder="0" applyAlignment="0" applyProtection="0"/>
    <xf numFmtId="0" fontId="63" fillId="57" borderId="0" applyNumberFormat="0" applyFont="0" applyBorder="0" applyAlignment="0" applyProtection="0"/>
    <xf numFmtId="3" fontId="37" fillId="0" borderId="0">
      <alignment horizontal="right" vertical="top"/>
    </xf>
    <xf numFmtId="41" fontId="32" fillId="58" borderId="20" applyFill="0"/>
    <xf numFmtId="0" fontId="76" fillId="0" borderId="0">
      <alignment horizontal="left" indent="7"/>
    </xf>
    <xf numFmtId="41" fontId="32" fillId="0" borderId="20" applyFill="0">
      <alignment horizontal="left" indent="2"/>
    </xf>
    <xf numFmtId="173" fontId="77" fillId="0" borderId="14" applyFill="0">
      <alignment horizontal="right"/>
    </xf>
    <xf numFmtId="0" fontId="78" fillId="0" borderId="18" applyNumberFormat="0" applyFont="0" applyBorder="0">
      <alignment horizontal="right"/>
    </xf>
    <xf numFmtId="0" fontId="79" fillId="0" borderId="0" applyFill="0"/>
    <xf numFmtId="0" fontId="34" fillId="0" borderId="0" applyFill="0"/>
    <xf numFmtId="4" fontId="77" fillId="0" borderId="14" applyFill="0"/>
    <xf numFmtId="0" fontId="37" fillId="0" borderId="0" applyNumberFormat="0" applyFont="0" applyBorder="0" applyAlignment="0"/>
    <xf numFmtId="0" fontId="52" fillId="0" borderId="0" applyFill="0">
      <alignment horizontal="left" indent="1"/>
    </xf>
    <xf numFmtId="0" fontId="80" fillId="0" borderId="0" applyFill="0">
      <alignment horizontal="left" indent="1"/>
    </xf>
    <xf numFmtId="4" fontId="54" fillId="0" borderId="0" applyFill="0"/>
    <xf numFmtId="0" fontId="37" fillId="0" borderId="0" applyNumberFormat="0" applyFont="0" applyFill="0" applyBorder="0" applyAlignment="0"/>
    <xf numFmtId="0" fontId="52" fillId="0" borderId="0" applyFill="0">
      <alignment horizontal="left" indent="2"/>
    </xf>
    <xf numFmtId="0" fontId="34" fillId="0" borderId="0" applyFill="0">
      <alignment horizontal="left" indent="2"/>
    </xf>
    <xf numFmtId="4" fontId="54" fillId="0" borderId="0" applyFill="0"/>
    <xf numFmtId="0" fontId="37" fillId="0" borderId="0" applyNumberFormat="0" applyFont="0" applyBorder="0" applyAlignment="0"/>
    <xf numFmtId="0" fontId="81" fillId="0" borderId="0">
      <alignment horizontal="left" indent="3"/>
    </xf>
    <xf numFmtId="0" fontId="82" fillId="0" borderId="0" applyFill="0">
      <alignment horizontal="left" indent="3"/>
    </xf>
    <xf numFmtId="4" fontId="54" fillId="0" borderId="0" applyFill="0"/>
    <xf numFmtId="0" fontId="37" fillId="0" borderId="0" applyNumberFormat="0" applyFont="0" applyBorder="0" applyAlignment="0"/>
    <xf numFmtId="0" fontId="55" fillId="0" borderId="0">
      <alignment horizontal="left" indent="4"/>
    </xf>
    <xf numFmtId="0" fontId="37" fillId="0" borderId="0" applyFill="0">
      <alignment horizontal="left" indent="4"/>
    </xf>
    <xf numFmtId="4" fontId="56" fillId="0" borderId="0" applyFill="0"/>
    <xf numFmtId="0" fontId="37" fillId="0" borderId="0" applyNumberFormat="0" applyFont="0" applyBorder="0" applyAlignment="0"/>
    <xf numFmtId="0" fontId="57" fillId="0" borderId="0">
      <alignment horizontal="left" indent="5"/>
    </xf>
    <xf numFmtId="0" fontId="58" fillId="0" borderId="0" applyFill="0">
      <alignment horizontal="left" indent="5"/>
    </xf>
    <xf numFmtId="4" fontId="59" fillId="0" borderId="0" applyFill="0"/>
    <xf numFmtId="0" fontId="37" fillId="0" borderId="0" applyNumberFormat="0" applyFont="0" applyFill="0" applyBorder="0" applyAlignment="0"/>
    <xf numFmtId="0" fontId="60" fillId="0" borderId="0" applyFill="0">
      <alignment horizontal="left" indent="6"/>
    </xf>
    <xf numFmtId="0" fontId="56" fillId="0" borderId="0" applyFill="0">
      <alignment horizontal="left" indent="6"/>
    </xf>
    <xf numFmtId="0" fontId="83" fillId="0" borderId="0" applyNumberFormat="0" applyFill="0" applyBorder="0" applyAlignment="0" applyProtection="0"/>
    <xf numFmtId="0" fontId="84" fillId="0" borderId="33" applyNumberFormat="0" applyFill="0" applyAlignment="0" applyProtection="0"/>
    <xf numFmtId="0" fontId="85"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9" fontId="7" fillId="0" borderId="0" applyFont="0" applyFill="0" applyBorder="0" applyAlignment="0" applyProtection="0"/>
    <xf numFmtId="173" fontId="15" fillId="0" borderId="0" applyProtection="0"/>
    <xf numFmtId="173" fontId="15" fillId="0" borderId="0" applyProtection="0"/>
    <xf numFmtId="0" fontId="7" fillId="0" borderId="0"/>
    <xf numFmtId="0" fontId="7" fillId="10" borderId="12" applyNumberFormat="0" applyFont="0" applyAlignment="0" applyProtection="0"/>
    <xf numFmtId="0" fontId="3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37" fillId="0" borderId="0"/>
    <xf numFmtId="0" fontId="37" fillId="0" borderId="0"/>
    <xf numFmtId="0" fontId="37" fillId="0" borderId="0"/>
    <xf numFmtId="0" fontId="37" fillId="0" borderId="0"/>
    <xf numFmtId="178" fontId="37" fillId="60" borderId="0" applyNumberFormat="0" applyFill="0" applyBorder="0" applyAlignment="0" applyProtection="0">
      <alignment horizontal="right" vertical="center"/>
    </xf>
    <xf numFmtId="178" fontId="37" fillId="60" borderId="0" applyNumberFormat="0" applyFill="0" applyBorder="0" applyAlignment="0" applyProtection="0">
      <alignment horizontal="right" vertical="center"/>
    </xf>
    <xf numFmtId="178" fontId="87" fillId="0" borderId="0" applyNumberFormat="0" applyFill="0" applyBorder="0" applyAlignment="0" applyProtection="0"/>
    <xf numFmtId="0" fontId="37" fillId="0" borderId="14" applyNumberFormat="0" applyFont="0" applyFill="0" applyAlignment="0" applyProtection="0"/>
    <xf numFmtId="0" fontId="37" fillId="0" borderId="14" applyNumberFormat="0" applyFont="0" applyFill="0" applyAlignment="0" applyProtection="0"/>
    <xf numFmtId="179" fontId="8" fillId="0" borderId="0" applyFont="0" applyFill="0" applyBorder="0" applyAlignment="0" applyProtection="0"/>
    <xf numFmtId="37" fontId="88" fillId="0" borderId="0" applyFont="0" applyFill="0" applyBorder="0" applyAlignment="0" applyProtection="0">
      <alignment vertical="center"/>
      <protection locked="0"/>
    </xf>
    <xf numFmtId="180" fontId="89" fillId="0" borderId="0" applyFont="0" applyFill="0" applyBorder="0" applyAlignment="0" applyProtection="0"/>
    <xf numFmtId="0" fontId="90" fillId="0" borderId="0"/>
    <xf numFmtId="173" fontId="47" fillId="0" borderId="0" applyFill="0"/>
    <xf numFmtId="173" fontId="47" fillId="0" borderId="0">
      <alignment horizontal="center"/>
    </xf>
    <xf numFmtId="0" fontId="47" fillId="0" borderId="0" applyFill="0">
      <alignment horizontal="center"/>
    </xf>
    <xf numFmtId="0" fontId="37" fillId="0" borderId="0" applyFont="0" applyAlignment="0"/>
    <xf numFmtId="0" fontId="37" fillId="0" borderId="0" applyNumberFormat="0" applyFont="0" applyAlignment="0"/>
    <xf numFmtId="173" fontId="37" fillId="0" borderId="0" applyFill="0"/>
    <xf numFmtId="0" fontId="37" fillId="0" borderId="0" applyFill="0">
      <alignment horizontal="center" vertical="center" wrapText="1"/>
    </xf>
    <xf numFmtId="181" fontId="91" fillId="0" borderId="0" applyFont="0" applyFill="0" applyBorder="0" applyAlignment="0" applyProtection="0">
      <protection locked="0"/>
    </xf>
    <xf numFmtId="182" fontId="91" fillId="0" borderId="0" applyFont="0" applyFill="0" applyBorder="0" applyAlignment="0" applyProtection="0">
      <protection locked="0"/>
    </xf>
    <xf numFmtId="39" fontId="37" fillId="0" borderId="0" applyFont="0" applyFill="0" applyBorder="0" applyAlignment="0" applyProtection="0"/>
    <xf numFmtId="39" fontId="37" fillId="0" borderId="0" applyFont="0" applyFill="0" applyBorder="0" applyAlignment="0" applyProtection="0"/>
    <xf numFmtId="183" fontId="92" fillId="0" borderId="0" applyFont="0" applyFill="0" applyBorder="0" applyAlignment="0" applyProtection="0"/>
    <xf numFmtId="184" fontId="89" fillId="0" borderId="0" applyFont="0" applyFill="0" applyBorder="0" applyAlignment="0" applyProtection="0"/>
    <xf numFmtId="0" fontId="37" fillId="0" borderId="14" applyNumberFormat="0" applyFont="0" applyFill="0" applyBorder="0" applyProtection="0">
      <alignment horizontal="centerContinuous" vertical="center"/>
    </xf>
    <xf numFmtId="0" fontId="37" fillId="0" borderId="14" applyNumberFormat="0" applyFont="0" applyFill="0" applyBorder="0" applyProtection="0">
      <alignment horizontal="centerContinuous" vertical="center"/>
    </xf>
    <xf numFmtId="0" fontId="77" fillId="0" borderId="0" applyFill="0" applyBorder="0" applyProtection="0">
      <alignment horizontal="center"/>
      <protection locked="0"/>
    </xf>
    <xf numFmtId="185" fontId="93" fillId="0" borderId="0" applyFont="0" applyFill="0" applyBorder="0" applyAlignment="0" applyProtection="0"/>
    <xf numFmtId="186" fontId="94" fillId="0" borderId="0" applyFont="0" applyFill="0" applyBorder="0" applyAlignment="0" applyProtection="0"/>
    <xf numFmtId="187" fontId="94" fillId="0" borderId="0" applyFont="0" applyFill="0" applyBorder="0" applyAlignment="0" applyProtection="0"/>
    <xf numFmtId="188" fontId="50" fillId="0" borderId="0" applyFont="0" applyFill="0" applyBorder="0" applyAlignment="0" applyProtection="0">
      <protection locked="0"/>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0" fontId="48" fillId="0" borderId="0" applyFill="0" applyBorder="0" applyAlignment="0" applyProtection="0">
      <protection locked="0"/>
    </xf>
    <xf numFmtId="189" fontId="94" fillId="0" borderId="0" applyFont="0" applyFill="0" applyBorder="0" applyAlignment="0" applyProtection="0"/>
    <xf numFmtId="190" fontId="94" fillId="0" borderId="0" applyFont="0" applyFill="0" applyBorder="0" applyAlignment="0" applyProtection="0"/>
    <xf numFmtId="191" fontId="94" fillId="0" borderId="0" applyFont="0" applyFill="0" applyBorder="0" applyAlignment="0" applyProtection="0"/>
    <xf numFmtId="192" fontId="50" fillId="0" borderId="0" applyFont="0" applyFill="0" applyBorder="0" applyAlignment="0" applyProtection="0">
      <protection locked="0"/>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5" fontId="37" fillId="0" borderId="0" applyFont="0" applyFill="0" applyBorder="0" applyAlignment="0" applyProtection="0"/>
    <xf numFmtId="5" fontId="37" fillId="0" borderId="0" applyFont="0" applyFill="0" applyBorder="0" applyAlignment="0" applyProtection="0"/>
    <xf numFmtId="5" fontId="37" fillId="0" borderId="0" applyFont="0" applyFill="0" applyBorder="0" applyAlignment="0" applyProtection="0"/>
    <xf numFmtId="193" fontId="89" fillId="0" borderId="0" applyFont="0" applyFill="0" applyBorder="0" applyAlignment="0" applyProtection="0"/>
    <xf numFmtId="194" fontId="37" fillId="0" borderId="0" applyFont="0" applyFill="0" applyBorder="0" applyAlignment="0" applyProtection="0"/>
    <xf numFmtId="194" fontId="37" fillId="0" borderId="0" applyFont="0" applyFill="0" applyBorder="0" applyAlignment="0" applyProtection="0"/>
    <xf numFmtId="195" fontId="91" fillId="0" borderId="0" applyFont="0" applyFill="0" applyBorder="0" applyAlignment="0" applyProtection="0">
      <protection locked="0"/>
    </xf>
    <xf numFmtId="7" fontId="47" fillId="0" borderId="0" applyFont="0" applyFill="0" applyBorder="0" applyAlignment="0" applyProtection="0"/>
    <xf numFmtId="7" fontId="47" fillId="0" borderId="0" applyFont="0" applyFill="0" applyBorder="0" applyAlignment="0" applyProtection="0"/>
    <xf numFmtId="196" fontId="92" fillId="0" borderId="0" applyFont="0" applyFill="0" applyBorder="0" applyAlignment="0" applyProtection="0"/>
    <xf numFmtId="197" fontId="95" fillId="0" borderId="0" applyFont="0" applyFill="0" applyBorder="0" applyAlignment="0" applyProtection="0"/>
    <xf numFmtId="0" fontId="96" fillId="61" borderId="35" applyNumberFormat="0" applyFont="0" applyFill="0" applyAlignment="0" applyProtection="0">
      <alignment horizontal="left" indent="1"/>
    </xf>
    <xf numFmtId="14" fontId="37" fillId="0" borderId="0" applyFont="0" applyFill="0" applyBorder="0" applyAlignment="0" applyProtection="0"/>
    <xf numFmtId="5" fontId="97" fillId="0" borderId="0" applyBorder="0"/>
    <xf numFmtId="194" fontId="97" fillId="0" borderId="0" applyBorder="0"/>
    <xf numFmtId="7" fontId="97" fillId="0" borderId="0" applyBorder="0"/>
    <xf numFmtId="37" fontId="97" fillId="0" borderId="0" applyBorder="0"/>
    <xf numFmtId="181" fontId="97" fillId="0" borderId="0" applyBorder="0"/>
    <xf numFmtId="198" fontId="97" fillId="0" borderId="0" applyBorder="0"/>
    <xf numFmtId="39" fontId="97" fillId="0" borderId="0" applyBorder="0"/>
    <xf numFmtId="199" fontId="97" fillId="0" borderId="0" applyBorder="0"/>
    <xf numFmtId="7" fontId="37" fillId="0" borderId="0" applyFont="0" applyFill="0" applyBorder="0" applyAlignment="0" applyProtection="0"/>
    <xf numFmtId="7" fontId="37" fillId="0" borderId="0" applyFont="0" applyFill="0" applyBorder="0" applyAlignment="0" applyProtection="0"/>
    <xf numFmtId="200" fontId="89" fillId="0" borderId="0" applyFont="0" applyFill="0" applyBorder="0" applyAlignment="0" applyProtection="0"/>
    <xf numFmtId="201" fontId="89" fillId="0" borderId="0" applyFont="0" applyFill="0" applyAlignment="0" applyProtection="0"/>
    <xf numFmtId="200" fontId="89" fillId="0" borderId="0" applyFont="0" applyFill="0" applyBorder="0" applyAlignment="0" applyProtection="0"/>
    <xf numFmtId="202" fontId="47" fillId="0" borderId="0" applyFont="0" applyFill="0" applyBorder="0" applyAlignment="0" applyProtection="0"/>
    <xf numFmtId="202" fontId="47" fillId="0" borderId="0" applyFont="0" applyFill="0" applyBorder="0" applyAlignment="0" applyProtection="0"/>
    <xf numFmtId="2" fontId="37" fillId="0" borderId="0" applyFont="0" applyFill="0" applyBorder="0" applyAlignment="0" applyProtection="0"/>
    <xf numFmtId="181" fontId="98" fillId="0" borderId="0" applyNumberForma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98" fillId="0" borderId="0" applyNumberFormat="0" applyFill="0" applyBorder="0" applyAlignment="0" applyProtection="0"/>
    <xf numFmtId="0" fontId="99" fillId="62" borderId="0" applyNumberFormat="0" applyFill="0" applyBorder="0" applyAlignment="0" applyProtection="0"/>
    <xf numFmtId="14" fontId="78" fillId="63" borderId="1">
      <alignment horizontal="center" vertical="center" wrapText="1"/>
    </xf>
    <xf numFmtId="0" fontId="77" fillId="0" borderId="0" applyFill="0" applyAlignment="0" applyProtection="0">
      <protection locked="0"/>
    </xf>
    <xf numFmtId="0" fontId="77" fillId="0" borderId="14" applyFill="0" applyAlignment="0" applyProtection="0">
      <protection locked="0"/>
    </xf>
    <xf numFmtId="0" fontId="100" fillId="0" borderId="14" applyNumberFormat="0" applyFill="0" applyAlignment="0" applyProtection="0"/>
    <xf numFmtId="0" fontId="101" fillId="64" borderId="0" applyNumberFormat="0" applyFont="0" applyBorder="0" applyAlignment="0" applyProtection="0"/>
    <xf numFmtId="0" fontId="102" fillId="65" borderId="18" applyNumberFormat="0" applyAlignment="0" applyProtection="0"/>
    <xf numFmtId="5" fontId="103" fillId="0" borderId="0" applyBorder="0"/>
    <xf numFmtId="194" fontId="103" fillId="0" borderId="0" applyBorder="0"/>
    <xf numFmtId="7" fontId="103" fillId="0" borderId="0" applyBorder="0"/>
    <xf numFmtId="37" fontId="103" fillId="0" borderId="0" applyBorder="0"/>
    <xf numFmtId="181" fontId="103" fillId="0" borderId="0" applyBorder="0"/>
    <xf numFmtId="198" fontId="103" fillId="0" borderId="0" applyBorder="0"/>
    <xf numFmtId="39" fontId="103" fillId="0" borderId="0" applyBorder="0"/>
    <xf numFmtId="199" fontId="103" fillId="0" borderId="0" applyBorder="0"/>
    <xf numFmtId="0" fontId="101" fillId="0" borderId="19" applyNumberFormat="0" applyFont="0" applyFill="0" applyAlignment="0" applyProtection="0"/>
    <xf numFmtId="203" fontId="37" fillId="0" borderId="0" applyFont="0" applyFill="0" applyBorder="0" applyAlignment="0" applyProtection="0"/>
    <xf numFmtId="203" fontId="37" fillId="0" borderId="0" applyFont="0" applyFill="0" applyBorder="0" applyAlignment="0" applyProtection="0"/>
    <xf numFmtId="204" fontId="37" fillId="0" borderId="0" applyFont="0" applyFill="0" applyBorder="0" applyAlignment="0" applyProtection="0"/>
    <xf numFmtId="204" fontId="37" fillId="0" borderId="0" applyFont="0" applyFill="0" applyBorder="0" applyAlignment="0" applyProtection="0"/>
    <xf numFmtId="205" fontId="37"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7"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08" fontId="37" fillId="0" borderId="0" applyFont="0" applyFill="0" applyBorder="0" applyAlignment="0" applyProtection="0"/>
    <xf numFmtId="208" fontId="37" fillId="0" borderId="0" applyFont="0" applyFill="0" applyBorder="0" applyAlignment="0" applyProtection="0"/>
    <xf numFmtId="209" fontId="54" fillId="66" borderId="0" applyFont="0" applyFill="0" applyBorder="0" applyAlignment="0" applyProtection="0"/>
    <xf numFmtId="210" fontId="54" fillId="66" borderId="0" applyFont="0" applyFill="0" applyBorder="0" applyAlignment="0" applyProtection="0"/>
    <xf numFmtId="211" fontId="37" fillId="0" borderId="0" applyFont="0" applyFill="0" applyBorder="0" applyAlignment="0" applyProtection="0"/>
    <xf numFmtId="211" fontId="37" fillId="0" borderId="0" applyFont="0" applyFill="0" applyBorder="0" applyAlignment="0" applyProtection="0"/>
    <xf numFmtId="212" fontId="94" fillId="0" borderId="0" applyFont="0" applyFill="0" applyBorder="0" applyAlignment="0" applyProtection="0"/>
    <xf numFmtId="213" fontId="93" fillId="0" borderId="0" applyFont="0" applyFill="0" applyBorder="0" applyAlignment="0" applyProtection="0"/>
    <xf numFmtId="214" fontId="37" fillId="0" borderId="0" applyFont="0" applyFill="0" applyBorder="0" applyAlignment="0" applyProtection="0"/>
    <xf numFmtId="214" fontId="37" fillId="0" borderId="0" applyFont="0" applyFill="0" applyBorder="0" applyAlignment="0" applyProtection="0"/>
    <xf numFmtId="215" fontId="94" fillId="0" borderId="0" applyFont="0" applyFill="0" applyBorder="0" applyAlignment="0" applyProtection="0"/>
    <xf numFmtId="216" fontId="93" fillId="0" borderId="0" applyFont="0" applyFill="0" applyBorder="0" applyAlignment="0" applyProtection="0"/>
    <xf numFmtId="217" fontId="94" fillId="0" borderId="0" applyFont="0" applyFill="0" applyBorder="0" applyAlignment="0" applyProtection="0"/>
    <xf numFmtId="218" fontId="93" fillId="0" borderId="0" applyFont="0" applyFill="0" applyBorder="0" applyAlignment="0" applyProtection="0"/>
    <xf numFmtId="219" fontId="94" fillId="0" borderId="0" applyFont="0" applyFill="0" applyBorder="0" applyAlignment="0" applyProtection="0"/>
    <xf numFmtId="220" fontId="93" fillId="0" borderId="0" applyFont="0" applyFill="0" applyBorder="0" applyAlignment="0" applyProtection="0"/>
    <xf numFmtId="221" fontId="50" fillId="0" borderId="0" applyFont="0" applyFill="0" applyBorder="0" applyAlignment="0" applyProtection="0">
      <protection locked="0"/>
    </xf>
    <xf numFmtId="222" fontId="9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97" fillId="0" borderId="0" applyBorder="0"/>
    <xf numFmtId="223" fontId="97" fillId="0" borderId="0" applyBorder="0"/>
    <xf numFmtId="10" fontId="97" fillId="0" borderId="0" applyBorder="0"/>
    <xf numFmtId="3" fontId="37" fillId="0" borderId="0">
      <alignment horizontal="left" vertical="top"/>
    </xf>
    <xf numFmtId="3" fontId="37" fillId="0" borderId="0">
      <alignment horizontal="right" vertical="top"/>
    </xf>
    <xf numFmtId="0" fontId="37" fillId="0" borderId="0" applyNumberFormat="0" applyFont="0" applyBorder="0" applyAlignment="0"/>
    <xf numFmtId="0" fontId="37" fillId="0" borderId="0" applyNumberFormat="0" applyFont="0" applyFill="0" applyBorder="0" applyAlignment="0"/>
    <xf numFmtId="0" fontId="37" fillId="0" borderId="0" applyNumberFormat="0" applyFont="0" applyBorder="0" applyAlignment="0"/>
    <xf numFmtId="0" fontId="37" fillId="0" borderId="0" applyNumberFormat="0" applyFont="0" applyBorder="0" applyAlignment="0"/>
    <xf numFmtId="0" fontId="37" fillId="0" borderId="0" applyFill="0">
      <alignment horizontal="left" indent="4"/>
    </xf>
    <xf numFmtId="0" fontId="37" fillId="0" borderId="0" applyNumberFormat="0" applyFont="0" applyBorder="0" applyAlignment="0"/>
    <xf numFmtId="0" fontId="37" fillId="0" borderId="0" applyNumberFormat="0" applyFont="0" applyFill="0" applyBorder="0" applyAlignment="0"/>
    <xf numFmtId="0" fontId="101" fillId="0" borderId="34" applyNumberFormat="0" applyFont="0" applyFill="0" applyAlignment="0" applyProtection="0"/>
    <xf numFmtId="0" fontId="104" fillId="0" borderId="0" applyNumberFormat="0" applyFill="0" applyBorder="0" applyAlignment="0" applyProtection="0"/>
    <xf numFmtId="0" fontId="105" fillId="0" borderId="0"/>
    <xf numFmtId="0" fontId="101" fillId="61" borderId="0" applyNumberFormat="0" applyFont="0" applyBorder="0" applyAlignment="0" applyProtection="0"/>
    <xf numFmtId="209" fontId="106" fillId="0" borderId="16" applyNumberFormat="0" applyFont="0" applyFill="0" applyAlignment="0" applyProtection="0"/>
    <xf numFmtId="0" fontId="107" fillId="0" borderId="0" applyFill="0" applyBorder="0" applyProtection="0">
      <alignment horizontal="left" vertical="top"/>
    </xf>
    <xf numFmtId="0" fontId="37" fillId="0" borderId="23" applyNumberFormat="0" applyFont="0" applyFill="0" applyAlignment="0" applyProtection="0"/>
    <xf numFmtId="0" fontId="37" fillId="0" borderId="23" applyNumberFormat="0" applyFont="0" applyFill="0" applyAlignment="0" applyProtection="0"/>
    <xf numFmtId="0" fontId="108" fillId="0" borderId="0" applyNumberFormat="0" applyFill="0" applyBorder="0" applyAlignment="0" applyProtection="0"/>
    <xf numFmtId="224" fontId="93" fillId="0" borderId="0" applyFont="0" applyFill="0" applyBorder="0" applyAlignment="0" applyProtection="0"/>
    <xf numFmtId="225" fontId="93" fillId="0" borderId="0" applyFont="0" applyFill="0" applyBorder="0" applyAlignment="0" applyProtection="0"/>
    <xf numFmtId="226" fontId="93" fillId="0" borderId="0" applyFont="0" applyFill="0" applyBorder="0" applyAlignment="0" applyProtection="0"/>
    <xf numFmtId="227" fontId="93" fillId="0" borderId="0" applyFont="0" applyFill="0" applyBorder="0" applyAlignment="0" applyProtection="0"/>
    <xf numFmtId="228" fontId="93" fillId="0" borderId="0" applyFont="0" applyFill="0" applyBorder="0" applyAlignment="0" applyProtection="0"/>
    <xf numFmtId="229" fontId="93" fillId="0" borderId="0" applyFont="0" applyFill="0" applyBorder="0" applyAlignment="0" applyProtection="0"/>
    <xf numFmtId="230" fontId="93" fillId="0" borderId="0" applyFont="0" applyFill="0" applyBorder="0" applyAlignment="0" applyProtection="0"/>
    <xf numFmtId="231" fontId="93" fillId="0" borderId="0" applyFont="0" applyFill="0" applyBorder="0" applyAlignment="0" applyProtection="0"/>
    <xf numFmtId="232" fontId="109" fillId="61" borderId="36" applyFont="0" applyFill="0" applyBorder="0" applyAlignment="0" applyProtection="0"/>
    <xf numFmtId="232" fontId="89" fillId="0" borderId="0" applyFont="0" applyFill="0" applyBorder="0" applyAlignment="0" applyProtection="0"/>
    <xf numFmtId="233" fontId="92" fillId="0" borderId="0" applyFont="0" applyFill="0" applyBorder="0" applyAlignment="0" applyProtection="0"/>
    <xf numFmtId="234" fontId="95" fillId="0" borderId="16" applyFont="0" applyFill="0" applyBorder="0" applyAlignment="0" applyProtection="0">
      <alignment horizontal="right"/>
      <protection locked="0"/>
    </xf>
    <xf numFmtId="44" fontId="37" fillId="0" borderId="0" applyFont="0" applyFill="0" applyBorder="0" applyAlignment="0" applyProtection="0"/>
    <xf numFmtId="44" fontId="37"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0" fontId="37" fillId="0" borderId="0"/>
    <xf numFmtId="44" fontId="37" fillId="0" borderId="0" applyFont="0" applyFill="0" applyBorder="0" applyAlignment="0" applyProtection="0"/>
    <xf numFmtId="44" fontId="3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2" applyNumberFormat="0" applyFont="0" applyAlignment="0" applyProtection="0"/>
    <xf numFmtId="0" fontId="126"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4" fontId="126" fillId="0" borderId="0" applyFont="0" applyFill="0" applyBorder="0" applyAlignment="0" applyProtection="0"/>
    <xf numFmtId="0" fontId="4" fillId="10" borderId="12" applyNumberFormat="0" applyFont="0" applyAlignment="0" applyProtection="0"/>
    <xf numFmtId="9" fontId="15" fillId="0" borderId="0" applyFont="0" applyFill="0" applyBorder="0" applyAlignment="0" applyProtection="0"/>
    <xf numFmtId="9" fontId="126" fillId="0" borderId="0" applyFont="0" applyFill="0" applyBorder="0" applyAlignment="0" applyProtection="0"/>
    <xf numFmtId="0" fontId="4" fillId="0" borderId="0"/>
    <xf numFmtId="173" fontId="15" fillId="0" borderId="0" applyProtection="0"/>
    <xf numFmtId="43" fontId="4" fillId="0" borderId="0" applyFont="0" applyFill="0" applyBorder="0" applyAlignment="0" applyProtection="0"/>
    <xf numFmtId="43" fontId="15"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126" fillId="0" borderId="0" applyFont="0" applyFill="0" applyBorder="0" applyAlignment="0" applyProtection="0"/>
    <xf numFmtId="9" fontId="126" fillId="0" borderId="0" applyFont="0" applyFill="0" applyBorder="0" applyAlignment="0" applyProtection="0"/>
    <xf numFmtId="43" fontId="126" fillId="0" borderId="0" applyFont="0" applyFill="0" applyBorder="0" applyAlignment="0" applyProtection="0"/>
    <xf numFmtId="44" fontId="126" fillId="0" borderId="0" applyFont="0" applyFill="0" applyBorder="0" applyAlignment="0" applyProtection="0"/>
    <xf numFmtId="9" fontId="126"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44"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4" fontId="37"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37"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64">
    <xf numFmtId="173" fontId="0" fillId="0" borderId="0" xfId="0" applyAlignment="1"/>
    <xf numFmtId="173" fontId="8" fillId="0" borderId="0" xfId="0" applyFont="1" applyAlignment="1"/>
    <xf numFmtId="0" fontId="8" fillId="0" borderId="0" xfId="0" applyNumberFormat="1" applyFont="1" applyAlignment="1" applyProtection="1">
      <protection locked="0"/>
    </xf>
    <xf numFmtId="0" fontId="8" fillId="0" borderId="0" xfId="0" applyNumberFormat="1" applyFont="1" applyAlignment="1" applyProtection="1">
      <alignment horizontal="left"/>
      <protection locked="0"/>
    </xf>
    <xf numFmtId="0" fontId="8" fillId="0" borderId="0" xfId="0" applyNumberFormat="1" applyFont="1" applyProtection="1">
      <protection locked="0"/>
    </xf>
    <xf numFmtId="0" fontId="8" fillId="0" borderId="0" xfId="0" applyNumberFormat="1" applyFont="1" applyAlignment="1" applyProtection="1">
      <alignment horizontal="center"/>
      <protection locked="0"/>
    </xf>
    <xf numFmtId="0" fontId="8" fillId="0" borderId="0" xfId="0" applyNumberFormat="1" applyFont="1" applyAlignment="1"/>
    <xf numFmtId="0" fontId="8" fillId="0" borderId="0" xfId="0" applyNumberFormat="1" applyFont="1"/>
    <xf numFmtId="173" fontId="8" fillId="0" borderId="0" xfId="0" applyFont="1" applyFill="1" applyAlignment="1"/>
    <xf numFmtId="0" fontId="8" fillId="0" borderId="0" xfId="0" applyNumberFormat="1" applyFont="1" applyFill="1" applyAlignment="1">
      <alignment horizontal="center"/>
    </xf>
    <xf numFmtId="0" fontId="8" fillId="0" borderId="0" xfId="0" applyNumberFormat="1" applyFont="1" applyFill="1"/>
    <xf numFmtId="3" fontId="8" fillId="0" borderId="0" xfId="0" applyNumberFormat="1" applyFont="1" applyAlignment="1"/>
    <xf numFmtId="49" fontId="8" fillId="0" borderId="0" xfId="0" applyNumberFormat="1" applyFont="1"/>
    <xf numFmtId="3" fontId="8" fillId="0" borderId="0" xfId="0" applyNumberFormat="1" applyFont="1"/>
    <xf numFmtId="3" fontId="8" fillId="0" borderId="0" xfId="0" applyNumberFormat="1" applyFont="1" applyFill="1" applyAlignment="1"/>
    <xf numFmtId="166" fontId="8" fillId="0" borderId="0" xfId="0" applyNumberFormat="1" applyFont="1" applyAlignment="1"/>
    <xf numFmtId="3" fontId="8" fillId="0" borderId="0" xfId="0" applyNumberFormat="1" applyFont="1" applyFill="1" applyBorder="1"/>
    <xf numFmtId="3" fontId="8" fillId="2" borderId="0" xfId="0" applyNumberFormat="1" applyFont="1" applyFill="1" applyAlignment="1"/>
    <xf numFmtId="3" fontId="8" fillId="0" borderId="0" xfId="0" applyNumberFormat="1" applyFont="1" applyAlignment="1">
      <alignment horizontal="fill"/>
    </xf>
    <xf numFmtId="0" fontId="8" fillId="0" borderId="0" xfId="0" applyNumberFormat="1" applyFont="1" applyFill="1" applyProtection="1">
      <protection locked="0"/>
    </xf>
    <xf numFmtId="3" fontId="8" fillId="2" borderId="0" xfId="0" applyNumberFormat="1" applyFont="1" applyFill="1"/>
    <xf numFmtId="3" fontId="8" fillId="2" borderId="0" xfId="0" applyNumberFormat="1" applyFont="1" applyFill="1" applyBorder="1"/>
    <xf numFmtId="168" fontId="8" fillId="0" borderId="0" xfId="0" applyNumberFormat="1" applyFont="1"/>
    <xf numFmtId="168" fontId="8" fillId="0" borderId="0" xfId="0" applyNumberFormat="1" applyFont="1" applyAlignment="1">
      <alignment horizontal="center"/>
    </xf>
    <xf numFmtId="173" fontId="8" fillId="0" borderId="0" xfId="0" applyFont="1" applyAlignment="1">
      <alignment horizontal="center"/>
    </xf>
    <xf numFmtId="0" fontId="8" fillId="0" borderId="0" xfId="0" applyNumberFormat="1" applyFont="1" applyAlignment="1">
      <alignment horizontal="left"/>
    </xf>
    <xf numFmtId="172" fontId="8" fillId="0" borderId="0" xfId="0" applyNumberFormat="1" applyFont="1" applyAlignment="1"/>
    <xf numFmtId="172" fontId="8" fillId="2" borderId="0" xfId="0" applyNumberFormat="1" applyFont="1" applyFill="1" applyProtection="1">
      <protection locked="0"/>
    </xf>
    <xf numFmtId="172" fontId="8" fillId="0" borderId="0" xfId="0" applyNumberFormat="1" applyFont="1" applyProtection="1">
      <protection locked="0"/>
    </xf>
    <xf numFmtId="0" fontId="8" fillId="0" borderId="0" xfId="0" applyNumberFormat="1" applyFont="1" applyFill="1" applyAlignment="1">
      <alignment horizontal="right"/>
    </xf>
    <xf numFmtId="0" fontId="8" fillId="0" borderId="0" xfId="0" applyNumberFormat="1" applyFont="1" applyAlignment="1">
      <alignment horizontal="center"/>
    </xf>
    <xf numFmtId="49" fontId="8" fillId="0" borderId="0" xfId="0" applyNumberFormat="1" applyFont="1" applyAlignment="1">
      <alignment horizontal="left"/>
    </xf>
    <xf numFmtId="49" fontId="8" fillId="0" borderId="0" xfId="0" applyNumberFormat="1" applyFont="1" applyAlignment="1">
      <alignment horizontal="center"/>
    </xf>
    <xf numFmtId="3" fontId="9" fillId="0" borderId="0" xfId="0" applyNumberFormat="1" applyFont="1" applyAlignment="1">
      <alignment horizontal="center"/>
    </xf>
    <xf numFmtId="0" fontId="9" fillId="0" borderId="0" xfId="0" applyNumberFormat="1" applyFont="1" applyAlignment="1" applyProtection="1">
      <alignment horizontal="center"/>
      <protection locked="0"/>
    </xf>
    <xf numFmtId="173" fontId="9" fillId="0" borderId="0" xfId="0" applyFont="1" applyAlignment="1">
      <alignment horizontal="center"/>
    </xf>
    <xf numFmtId="3" fontId="9" fillId="0" borderId="0" xfId="0" applyNumberFormat="1" applyFont="1" applyAlignment="1"/>
    <xf numFmtId="0" fontId="9" fillId="0" borderId="0" xfId="0" applyNumberFormat="1" applyFont="1" applyAlignment="1"/>
    <xf numFmtId="165" fontId="8" fillId="0" borderId="0" xfId="0" applyNumberFormat="1" applyFont="1" applyAlignment="1"/>
    <xf numFmtId="3" fontId="8" fillId="2" borderId="1" xfId="0" applyNumberFormat="1" applyFont="1" applyFill="1" applyBorder="1" applyAlignment="1"/>
    <xf numFmtId="164" fontId="8" fillId="0" borderId="0" xfId="0" applyNumberFormat="1" applyFont="1" applyAlignment="1">
      <alignment horizontal="center"/>
    </xf>
    <xf numFmtId="164" fontId="8" fillId="0" borderId="0" xfId="0" applyNumberFormat="1" applyFont="1" applyFill="1" applyAlignment="1">
      <alignment horizontal="center"/>
    </xf>
    <xf numFmtId="165" fontId="8" fillId="0" borderId="0" xfId="0" applyNumberFormat="1" applyFont="1" applyFill="1" applyAlignment="1">
      <alignment horizontal="right"/>
    </xf>
    <xf numFmtId="3" fontId="8" fillId="0" borderId="0" xfId="0" applyNumberFormat="1" applyFont="1" applyBorder="1" applyAlignment="1"/>
    <xf numFmtId="3" fontId="8" fillId="0" borderId="0" xfId="0" applyNumberFormat="1" applyFont="1" applyFill="1" applyAlignment="1">
      <alignment horizontal="right"/>
    </xf>
    <xf numFmtId="0" fontId="9" fillId="0" borderId="0" xfId="0" applyNumberFormat="1" applyFont="1" applyFill="1" applyAlignment="1" applyProtection="1">
      <alignment horizontal="center"/>
      <protection locked="0"/>
    </xf>
    <xf numFmtId="0" fontId="8" fillId="0" borderId="0" xfId="0" applyNumberFormat="1" applyFont="1" applyFill="1" applyAlignment="1"/>
    <xf numFmtId="171" fontId="8" fillId="0" borderId="0" xfId="0" applyNumberFormat="1" applyFont="1" applyFill="1" applyAlignment="1">
      <alignment horizontal="left"/>
    </xf>
    <xf numFmtId="165" fontId="8" fillId="0" borderId="0" xfId="0" applyNumberFormat="1" applyFont="1" applyFill="1" applyAlignment="1"/>
    <xf numFmtId="166" fontId="8" fillId="0" borderId="0" xfId="0" applyNumberFormat="1" applyFont="1" applyFill="1" applyAlignment="1">
      <alignment horizontal="right"/>
    </xf>
    <xf numFmtId="166" fontId="8" fillId="0" borderId="0" xfId="0" applyNumberFormat="1" applyFont="1" applyAlignment="1">
      <alignment horizontal="center"/>
    </xf>
    <xf numFmtId="164" fontId="8" fillId="0" borderId="0" xfId="0" applyNumberFormat="1" applyFont="1" applyAlignment="1">
      <alignment horizontal="left"/>
    </xf>
    <xf numFmtId="10" fontId="8" fillId="0" borderId="0" xfId="0" applyNumberFormat="1" applyFont="1" applyFill="1" applyAlignment="1">
      <alignment horizontal="right"/>
    </xf>
    <xf numFmtId="169" fontId="8" fillId="0" borderId="0" xfId="0" applyNumberFormat="1" applyFont="1" applyFill="1" applyAlignment="1">
      <alignment horizontal="right"/>
    </xf>
    <xf numFmtId="10" fontId="8" fillId="0" borderId="0" xfId="0" applyNumberFormat="1" applyFont="1" applyAlignment="1">
      <alignment horizontal="left"/>
    </xf>
    <xf numFmtId="3" fontId="8" fillId="0" borderId="0" xfId="0" applyNumberFormat="1" applyFont="1" applyFill="1" applyAlignment="1">
      <alignment horizontal="left"/>
    </xf>
    <xf numFmtId="164" fontId="8" fillId="0" borderId="0" xfId="0" applyNumberFormat="1" applyFont="1" applyAlignment="1" applyProtection="1">
      <alignment horizontal="left"/>
      <protection locked="0"/>
    </xf>
    <xf numFmtId="167" fontId="8" fillId="0" borderId="0" xfId="0" applyNumberFormat="1" applyFont="1" applyAlignment="1"/>
    <xf numFmtId="0" fontId="8" fillId="0" borderId="0" xfId="0" applyNumberFormat="1" applyFont="1" applyFill="1" applyAlignment="1" applyProtection="1">
      <protection locked="0"/>
    </xf>
    <xf numFmtId="3" fontId="8" fillId="0" borderId="0" xfId="0" applyNumberFormat="1" applyFont="1" applyFill="1" applyAlignment="1">
      <alignment horizontal="center"/>
    </xf>
    <xf numFmtId="49" fontId="8" fillId="0" borderId="0" xfId="0" applyNumberFormat="1" applyFont="1" applyFill="1"/>
    <xf numFmtId="49" fontId="8" fillId="0" borderId="0" xfId="0" applyNumberFormat="1" applyFont="1" applyFill="1" applyAlignment="1"/>
    <xf numFmtId="49" fontId="8" fillId="0" borderId="0" xfId="0" applyNumberFormat="1" applyFont="1" applyFill="1" applyAlignment="1">
      <alignment horizontal="center"/>
    </xf>
    <xf numFmtId="165" fontId="8" fillId="0" borderId="0" xfId="0" applyNumberFormat="1" applyFont="1" applyFill="1"/>
    <xf numFmtId="166" fontId="8" fillId="0" borderId="0" xfId="0" applyNumberFormat="1" applyFont="1" applyFill="1"/>
    <xf numFmtId="3" fontId="8" fillId="0" borderId="0" xfId="0" applyNumberFormat="1" applyFont="1" applyAlignment="1">
      <alignment horizontal="center"/>
    </xf>
    <xf numFmtId="4" fontId="8" fillId="0" borderId="0" xfId="0" applyNumberFormat="1" applyFont="1" applyAlignment="1"/>
    <xf numFmtId="3" fontId="8" fillId="0" borderId="0" xfId="0" applyNumberFormat="1" applyFont="1" applyBorder="1" applyAlignment="1">
      <alignment horizontal="center"/>
    </xf>
    <xf numFmtId="166" fontId="8" fillId="0" borderId="0" xfId="0" applyNumberFormat="1" applyFont="1" applyAlignment="1" applyProtection="1">
      <alignment horizontal="center"/>
      <protection locked="0"/>
    </xf>
    <xf numFmtId="166" fontId="8" fillId="0" borderId="0" xfId="0" applyNumberFormat="1" applyFont="1" applyFill="1" applyAlignment="1"/>
    <xf numFmtId="42" fontId="8" fillId="2" borderId="0" xfId="0" applyNumberFormat="1" applyFont="1" applyFill="1" applyAlignment="1"/>
    <xf numFmtId="3" fontId="8" fillId="0" borderId="0" xfId="0" applyNumberFormat="1" applyFont="1" applyFill="1" applyAlignment="1" applyProtection="1">
      <protection locked="0"/>
    </xf>
    <xf numFmtId="9" fontId="8" fillId="0" borderId="0" xfId="0" applyNumberFormat="1" applyFont="1" applyAlignment="1"/>
    <xf numFmtId="169" fontId="8" fillId="0" borderId="0" xfId="0" applyNumberFormat="1" applyFont="1" applyAlignment="1"/>
    <xf numFmtId="3" fontId="8" fillId="0" borderId="0" xfId="0" quotePrefix="1" applyNumberFormat="1" applyFont="1" applyAlignment="1"/>
    <xf numFmtId="169" fontId="8" fillId="2" borderId="0" xfId="0" applyNumberFormat="1" applyFont="1" applyFill="1" applyAlignment="1"/>
    <xf numFmtId="0" fontId="8" fillId="0" borderId="0" xfId="0" applyNumberFormat="1" applyFont="1" applyBorder="1" applyAlignment="1" applyProtection="1">
      <alignment horizontal="center"/>
      <protection locked="0"/>
    </xf>
    <xf numFmtId="0" fontId="10" fillId="0" borderId="0" xfId="0" applyNumberFormat="1" applyFont="1" applyProtection="1">
      <protection locked="0"/>
    </xf>
    <xf numFmtId="173" fontId="10" fillId="0" borderId="0" xfId="0" applyFont="1" applyAlignment="1"/>
    <xf numFmtId="173" fontId="8" fillId="0" borderId="0" xfId="0" applyFont="1" applyFill="1" applyAlignment="1" applyProtection="1"/>
    <xf numFmtId="38" fontId="8" fillId="2" borderId="0" xfId="0" applyNumberFormat="1" applyFont="1" applyFill="1" applyBorder="1" applyProtection="1">
      <protection locked="0"/>
    </xf>
    <xf numFmtId="38" fontId="8" fillId="0" borderId="0" xfId="0" applyNumberFormat="1" applyFont="1" applyAlignment="1" applyProtection="1"/>
    <xf numFmtId="38" fontId="8" fillId="0" borderId="0" xfId="0" applyNumberFormat="1" applyFont="1" applyAlignment="1"/>
    <xf numFmtId="38" fontId="8" fillId="0" borderId="0" xfId="0" applyNumberFormat="1" applyFont="1" applyFill="1" applyBorder="1" applyProtection="1"/>
    <xf numFmtId="170" fontId="8" fillId="0" borderId="0" xfId="0" applyNumberFormat="1" applyFont="1" applyFill="1" applyBorder="1" applyProtection="1"/>
    <xf numFmtId="1" fontId="8" fillId="0" borderId="0" xfId="0" applyNumberFormat="1" applyFont="1" applyFill="1" applyProtection="1"/>
    <xf numFmtId="168" fontId="8" fillId="0" borderId="0" xfId="0" applyNumberFormat="1" applyFont="1" applyProtection="1">
      <protection locked="0"/>
    </xf>
    <xf numFmtId="1" fontId="8" fillId="0" borderId="0" xfId="0" applyNumberFormat="1" applyFont="1" applyFill="1" applyAlignment="1" applyProtection="1"/>
    <xf numFmtId="3" fontId="8" fillId="0" borderId="0" xfId="0" applyNumberFormat="1" applyFont="1" applyAlignment="1" applyProtection="1"/>
    <xf numFmtId="3" fontId="8" fillId="0" borderId="0" xfId="0" applyNumberFormat="1" applyFont="1" applyFill="1" applyAlignment="1" applyProtection="1">
      <alignment horizontal="right"/>
      <protection locked="0"/>
    </xf>
    <xf numFmtId="173" fontId="8" fillId="0" borderId="0" xfId="0" applyNumberFormat="1" applyFont="1" applyAlignment="1" applyProtection="1">
      <protection locked="0"/>
    </xf>
    <xf numFmtId="170" fontId="8" fillId="0" borderId="0" xfId="0" applyNumberFormat="1" applyFont="1" applyFill="1" applyBorder="1" applyAlignment="1" applyProtection="1"/>
    <xf numFmtId="3" fontId="8" fillId="0" borderId="0" xfId="0" applyNumberFormat="1" applyFont="1" applyFill="1" applyAlignment="1" applyProtection="1"/>
    <xf numFmtId="170" fontId="8" fillId="0" borderId="0" xfId="0" applyNumberFormat="1" applyFont="1" applyProtection="1">
      <protection locked="0"/>
    </xf>
    <xf numFmtId="0" fontId="8" fillId="0" borderId="0" xfId="0" applyNumberFormat="1" applyFont="1" applyFill="1" applyAlignment="1" applyProtection="1">
      <alignment horizontal="center"/>
      <protection locked="0"/>
    </xf>
    <xf numFmtId="172" fontId="8" fillId="0" borderId="0" xfId="0" applyNumberFormat="1" applyFont="1" applyFill="1" applyProtection="1">
      <protection locked="0"/>
    </xf>
    <xf numFmtId="3" fontId="8" fillId="0" borderId="0" xfId="0" applyNumberFormat="1" applyFont="1" applyFill="1" applyBorder="1" applyAlignment="1"/>
    <xf numFmtId="0" fontId="8" fillId="0" borderId="0" xfId="0" applyNumberFormat="1" applyFont="1" applyBorder="1" applyProtection="1">
      <protection locked="0"/>
    </xf>
    <xf numFmtId="0" fontId="8" fillId="0" borderId="0" xfId="0" applyNumberFormat="1" applyFont="1" applyBorder="1" applyAlignment="1" applyProtection="1">
      <protection locked="0"/>
    </xf>
    <xf numFmtId="3" fontId="8" fillId="2" borderId="0" xfId="0" applyNumberFormat="1" applyFont="1" applyFill="1" applyBorder="1" applyAlignment="1"/>
    <xf numFmtId="170" fontId="8" fillId="2" borderId="0" xfId="0" applyNumberFormat="1" applyFont="1" applyFill="1" applyBorder="1" applyProtection="1"/>
    <xf numFmtId="0" fontId="8" fillId="0" borderId="0" xfId="0" applyNumberFormat="1" applyFont="1" applyAlignment="1">
      <alignment horizontal="right"/>
    </xf>
    <xf numFmtId="0" fontId="8" fillId="0" borderId="1" xfId="0" applyNumberFormat="1" applyFont="1" applyBorder="1" applyAlignment="1" applyProtection="1">
      <alignment horizontal="center"/>
      <protection locked="0"/>
    </xf>
    <xf numFmtId="42" fontId="8" fillId="0" borderId="0" xfId="0" applyNumberFormat="1" applyFont="1"/>
    <xf numFmtId="0" fontId="8" fillId="0" borderId="1" xfId="0" applyNumberFormat="1" applyFont="1" applyBorder="1" applyAlignment="1" applyProtection="1">
      <alignment horizontal="centerContinuous"/>
      <protection locked="0"/>
    </xf>
    <xf numFmtId="3" fontId="8" fillId="0" borderId="1" xfId="0" applyNumberFormat="1" applyFont="1" applyBorder="1" applyAlignment="1"/>
    <xf numFmtId="42" fontId="8" fillId="0" borderId="2" xfId="0" applyNumberFormat="1" applyFont="1" applyBorder="1" applyAlignment="1" applyProtection="1">
      <alignment horizontal="right"/>
      <protection locked="0"/>
    </xf>
    <xf numFmtId="3" fontId="8" fillId="2" borderId="1" xfId="0" applyNumberFormat="1" applyFont="1" applyFill="1" applyBorder="1"/>
    <xf numFmtId="37" fontId="8" fillId="2" borderId="0" xfId="0" applyNumberFormat="1" applyFont="1" applyFill="1" applyAlignment="1"/>
    <xf numFmtId="37" fontId="8" fillId="0" borderId="0" xfId="0" applyNumberFormat="1" applyFont="1" applyAlignment="1"/>
    <xf numFmtId="37" fontId="8" fillId="2" borderId="0" xfId="0" applyNumberFormat="1" applyFont="1" applyFill="1" applyBorder="1" applyAlignment="1"/>
    <xf numFmtId="37" fontId="8" fillId="2" borderId="1" xfId="0" applyNumberFormat="1" applyFont="1" applyFill="1" applyBorder="1" applyAlignment="1"/>
    <xf numFmtId="37" fontId="8" fillId="0" borderId="1" xfId="0" applyNumberFormat="1" applyFont="1" applyBorder="1" applyAlignment="1"/>
    <xf numFmtId="173" fontId="8" fillId="0" borderId="1" xfId="0" applyFont="1" applyBorder="1" applyAlignment="1"/>
    <xf numFmtId="3" fontId="8" fillId="0" borderId="2" xfId="0" applyNumberFormat="1" applyFont="1" applyBorder="1" applyAlignment="1"/>
    <xf numFmtId="0" fontId="12" fillId="0" borderId="0" xfId="0" applyNumberFormat="1" applyFont="1" applyAlignment="1">
      <alignment horizontal="center"/>
    </xf>
    <xf numFmtId="3" fontId="12" fillId="0" borderId="0" xfId="0" applyNumberFormat="1" applyFont="1" applyAlignment="1"/>
    <xf numFmtId="0" fontId="9" fillId="0" borderId="0" xfId="0" applyNumberFormat="1" applyFont="1" applyAlignment="1">
      <alignment horizontal="center"/>
    </xf>
    <xf numFmtId="3" fontId="11" fillId="0" borderId="0" xfId="0" applyNumberFormat="1" applyFont="1" applyAlignment="1"/>
    <xf numFmtId="3" fontId="8" fillId="0" borderId="3" xfId="0" applyNumberFormat="1" applyFont="1" applyBorder="1" applyAlignment="1"/>
    <xf numFmtId="0" fontId="8" fillId="0" borderId="1" xfId="0" applyNumberFormat="1" applyFont="1" applyFill="1" applyBorder="1" applyProtection="1">
      <protection locked="0"/>
    </xf>
    <xf numFmtId="0" fontId="8" fillId="0" borderId="1" xfId="0" applyNumberFormat="1" applyFont="1" applyFill="1" applyBorder="1"/>
    <xf numFmtId="3" fontId="8" fillId="0" borderId="1" xfId="0" applyNumberFormat="1" applyFont="1" applyFill="1" applyBorder="1" applyAlignment="1"/>
    <xf numFmtId="3" fontId="8" fillId="0" borderId="1" xfId="0" applyNumberFormat="1" applyFont="1" applyBorder="1" applyAlignment="1">
      <alignment horizontal="center"/>
    </xf>
    <xf numFmtId="0" fontId="8" fillId="0" borderId="1" xfId="0" applyNumberFormat="1" applyFont="1" applyBorder="1" applyAlignment="1"/>
    <xf numFmtId="169" fontId="8" fillId="0" borderId="1" xfId="0" applyNumberFormat="1" applyFont="1" applyBorder="1" applyAlignment="1"/>
    <xf numFmtId="0" fontId="8" fillId="0" borderId="1" xfId="0" applyNumberFormat="1" applyFont="1" applyBorder="1"/>
    <xf numFmtId="0" fontId="8" fillId="0" borderId="1" xfId="0" applyNumberFormat="1" applyFont="1" applyBorder="1" applyProtection="1">
      <protection locked="0"/>
    </xf>
    <xf numFmtId="38" fontId="8" fillId="2" borderId="1" xfId="0" applyNumberFormat="1" applyFont="1" applyFill="1" applyBorder="1" applyProtection="1">
      <protection locked="0"/>
    </xf>
    <xf numFmtId="0" fontId="13" fillId="0" borderId="0" xfId="0" applyNumberFormat="1" applyFont="1" applyFill="1" applyProtection="1">
      <protection locked="0"/>
    </xf>
    <xf numFmtId="10" fontId="8" fillId="0" borderId="0" xfId="0" applyNumberFormat="1" applyFont="1" applyFill="1"/>
    <xf numFmtId="173" fontId="8" fillId="0" borderId="0" xfId="0" applyFont="1" applyFill="1" applyAlignment="1">
      <alignment horizontal="center"/>
    </xf>
    <xf numFmtId="3" fontId="9" fillId="2" borderId="0" xfId="0" applyNumberFormat="1" applyFont="1" applyFill="1" applyAlignment="1">
      <alignment horizontal="center"/>
    </xf>
    <xf numFmtId="0" fontId="8" fillId="2" borderId="0" xfId="0" applyNumberFormat="1" applyFont="1" applyFill="1" applyAlignment="1">
      <alignment horizontal="center"/>
    </xf>
    <xf numFmtId="3" fontId="8" fillId="2" borderId="0" xfId="0" applyNumberFormat="1" applyFont="1" applyFill="1" applyAlignment="1">
      <alignment horizontal="center"/>
    </xf>
    <xf numFmtId="9" fontId="8" fillId="0" borderId="0" xfId="1" applyNumberFormat="1" applyFont="1" applyAlignment="1"/>
    <xf numFmtId="0" fontId="9" fillId="2" borderId="0" xfId="0" applyNumberFormat="1" applyFont="1" applyFill="1" applyAlignment="1">
      <alignment horizontal="center"/>
    </xf>
    <xf numFmtId="3" fontId="8" fillId="3" borderId="0" xfId="0" applyNumberFormat="1" applyFont="1" applyFill="1" applyBorder="1" applyAlignment="1"/>
    <xf numFmtId="173" fontId="8" fillId="0" borderId="0" xfId="1" applyFont="1" applyAlignment="1">
      <alignment horizontal="center"/>
    </xf>
    <xf numFmtId="0" fontId="8" fillId="0" borderId="0" xfId="1" applyNumberFormat="1" applyFont="1" applyFill="1"/>
    <xf numFmtId="173" fontId="8" fillId="0" borderId="0" xfId="1" applyFont="1" applyAlignment="1"/>
    <xf numFmtId="37" fontId="8" fillId="0" borderId="0" xfId="0" applyNumberFormat="1" applyFont="1" applyBorder="1" applyAlignment="1"/>
    <xf numFmtId="0" fontId="8" fillId="0" borderId="0" xfId="0" applyNumberFormat="1" applyFont="1" applyAlignment="1">
      <alignment horizontal="left" indent="1"/>
    </xf>
    <xf numFmtId="3" fontId="8" fillId="0" borderId="4" xfId="0" applyNumberFormat="1" applyFont="1" applyBorder="1" applyAlignment="1"/>
    <xf numFmtId="164" fontId="8" fillId="0" borderId="0" xfId="0" applyNumberFormat="1" applyFont="1" applyAlignment="1" applyProtection="1">
      <alignment horizontal="left" indent="1"/>
      <protection locked="0"/>
    </xf>
    <xf numFmtId="169" fontId="8" fillId="0" borderId="0" xfId="0" applyNumberFormat="1" applyFont="1" applyFill="1" applyAlignment="1"/>
    <xf numFmtId="167" fontId="8" fillId="3" borderId="0" xfId="0" applyNumberFormat="1" applyFont="1" applyFill="1" applyAlignment="1"/>
    <xf numFmtId="173" fontId="8" fillId="0" borderId="0" xfId="0" quotePrefix="1" applyFont="1" applyAlignment="1"/>
    <xf numFmtId="173" fontId="8" fillId="0" borderId="0" xfId="0" applyFont="1" applyAlignment="1">
      <alignment horizontal="left" indent="1"/>
    </xf>
    <xf numFmtId="0" fontId="8" fillId="0" borderId="0" xfId="0" applyNumberFormat="1" applyFont="1" applyAlignment="1" applyProtection="1">
      <alignment horizontal="left" indent="1"/>
      <protection locked="0"/>
    </xf>
    <xf numFmtId="175" fontId="8" fillId="0" borderId="0" xfId="2" applyNumberFormat="1" applyFont="1" applyAlignment="1"/>
    <xf numFmtId="44" fontId="8" fillId="0" borderId="0" xfId="3" applyFont="1" applyAlignment="1"/>
    <xf numFmtId="9" fontId="8" fillId="0" borderId="0" xfId="4" applyNumberFormat="1" applyFont="1" applyFill="1" applyAlignment="1"/>
    <xf numFmtId="3" fontId="8" fillId="3" borderId="0" xfId="0" applyNumberFormat="1" applyFont="1" applyFill="1" applyAlignment="1"/>
    <xf numFmtId="3" fontId="8" fillId="3" borderId="1" xfId="0" applyNumberFormat="1" applyFont="1" applyFill="1" applyBorder="1" applyAlignment="1"/>
    <xf numFmtId="43" fontId="8" fillId="3" borderId="0" xfId="2" applyNumberFormat="1" applyFont="1" applyFill="1" applyAlignment="1"/>
    <xf numFmtId="174" fontId="8" fillId="3" borderId="1" xfId="2" applyNumberFormat="1" applyFont="1" applyFill="1" applyBorder="1" applyAlignment="1"/>
    <xf numFmtId="174" fontId="8" fillId="0" borderId="0" xfId="2" quotePrefix="1" applyNumberFormat="1" applyFont="1" applyAlignment="1"/>
    <xf numFmtId="0" fontId="8" fillId="0" borderId="0" xfId="0" applyNumberFormat="1" applyFont="1" applyFill="1" applyBorder="1" applyAlignment="1" applyProtection="1">
      <protection locked="0"/>
    </xf>
    <xf numFmtId="0" fontId="8" fillId="0" borderId="0" xfId="0" applyNumberFormat="1" applyFont="1" applyFill="1" applyBorder="1" applyProtection="1">
      <protection locked="0"/>
    </xf>
    <xf numFmtId="0" fontId="8" fillId="0" borderId="1" xfId="0" applyNumberFormat="1" applyFont="1" applyFill="1" applyBorder="1" applyAlignment="1" applyProtection="1">
      <protection locked="0"/>
    </xf>
    <xf numFmtId="173" fontId="0" fillId="0" borderId="0" xfId="0" applyFill="1" applyBorder="1" applyAlignment="1"/>
    <xf numFmtId="173" fontId="0" fillId="0" borderId="0" xfId="0" applyFill="1" applyBorder="1" applyAlignment="1">
      <alignment horizontal="right"/>
    </xf>
    <xf numFmtId="0" fontId="32" fillId="0" borderId="0" xfId="0" applyNumberFormat="1" applyFont="1" applyFill="1" applyBorder="1" applyAlignment="1" applyProtection="1">
      <protection locked="0"/>
    </xf>
    <xf numFmtId="0" fontId="32" fillId="0" borderId="0" xfId="0" applyNumberFormat="1" applyFont="1" applyFill="1" applyBorder="1" applyAlignment="1" applyProtection="1">
      <alignment horizontal="left"/>
      <protection locked="0"/>
    </xf>
    <xf numFmtId="0" fontId="32" fillId="0" borderId="0" xfId="0" applyNumberFormat="1" applyFont="1" applyFill="1" applyBorder="1" applyProtection="1">
      <protection locked="0"/>
    </xf>
    <xf numFmtId="0" fontId="32" fillId="0" borderId="0" xfId="0" applyNumberFormat="1" applyFont="1" applyFill="1" applyBorder="1"/>
    <xf numFmtId="0" fontId="32" fillId="0" borderId="0" xfId="0" applyNumberFormat="1" applyFont="1" applyFill="1" applyBorder="1" applyAlignment="1" applyProtection="1">
      <alignment horizontal="right"/>
      <protection locked="0"/>
    </xf>
    <xf numFmtId="0" fontId="0" fillId="0" borderId="0" xfId="0" applyNumberFormat="1" applyFont="1" applyFill="1" applyBorder="1"/>
    <xf numFmtId="0" fontId="33" fillId="0" borderId="0" xfId="0" applyNumberFormat="1" applyFont="1" applyFill="1" applyBorder="1"/>
    <xf numFmtId="173" fontId="0" fillId="0" borderId="0" xfId="0" applyFont="1" applyFill="1" applyBorder="1" applyAlignment="1"/>
    <xf numFmtId="3" fontId="32" fillId="0" borderId="0" xfId="0" applyNumberFormat="1" applyFont="1" applyFill="1" applyBorder="1" applyAlignment="1"/>
    <xf numFmtId="0" fontId="3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32" fillId="2" borderId="0" xfId="0" applyNumberFormat="1" applyFont="1" applyFill="1" applyBorder="1" applyAlignment="1">
      <alignment horizontal="center"/>
    </xf>
    <xf numFmtId="49" fontId="32" fillId="0" borderId="0" xfId="0" applyNumberFormat="1" applyFont="1" applyFill="1" applyBorder="1"/>
    <xf numFmtId="3" fontId="32" fillId="0" borderId="0" xfId="0" applyNumberFormat="1" applyFont="1" applyFill="1" applyBorder="1"/>
    <xf numFmtId="0" fontId="32" fillId="0" borderId="0" xfId="0" applyNumberFormat="1" applyFont="1" applyFill="1" applyBorder="1" applyAlignment="1">
      <alignment horizontal="center"/>
    </xf>
    <xf numFmtId="49" fontId="3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32" fillId="0" borderId="0" xfId="0" applyNumberFormat="1" applyFont="1" applyFill="1" applyBorder="1" applyAlignment="1"/>
    <xf numFmtId="3" fontId="3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73" fontId="34" fillId="0" borderId="0" xfId="0" applyFont="1" applyFill="1" applyBorder="1" applyAlignment="1">
      <alignment horizontal="center"/>
    </xf>
    <xf numFmtId="0" fontId="34" fillId="0" borderId="0" xfId="0" applyNumberFormat="1" applyFont="1" applyFill="1" applyBorder="1" applyAlignment="1" applyProtection="1">
      <alignment horizontal="center"/>
      <protection locked="0"/>
    </xf>
    <xf numFmtId="0" fontId="35" fillId="0" borderId="0" xfId="0" applyNumberFormat="1" applyFont="1" applyFill="1" applyBorder="1" applyAlignment="1">
      <alignment horizontal="center"/>
    </xf>
    <xf numFmtId="0" fontId="34" fillId="0" borderId="0" xfId="0" applyNumberFormat="1" applyFont="1" applyFill="1" applyBorder="1" applyAlignment="1"/>
    <xf numFmtId="0" fontId="3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32" fillId="0" borderId="0" xfId="0" applyNumberFormat="1" applyFont="1" applyFill="1" applyBorder="1" applyAlignment="1">
      <alignment horizontal="center"/>
    </xf>
    <xf numFmtId="175" fontId="32" fillId="2" borderId="0" xfId="45" applyNumberFormat="1" applyFont="1" applyFill="1" applyBorder="1" applyAlignment="1"/>
    <xf numFmtId="175" fontId="32" fillId="2" borderId="14" xfId="45" applyNumberFormat="1" applyFont="1" applyFill="1" applyBorder="1" applyAlignment="1"/>
    <xf numFmtId="3" fontId="38" fillId="0" borderId="0" xfId="0" applyNumberFormat="1" applyFont="1" applyFill="1" applyBorder="1" applyAlignment="1"/>
    <xf numFmtId="175" fontId="32" fillId="0" borderId="0" xfId="45" applyNumberFormat="1" applyFont="1" applyFill="1" applyBorder="1" applyAlignment="1"/>
    <xf numFmtId="41" fontId="32" fillId="0" borderId="0" xfId="0" applyNumberFormat="1" applyFont="1" applyFill="1" applyBorder="1" applyAlignment="1"/>
    <xf numFmtId="10" fontId="34" fillId="0" borderId="0" xfId="0" applyNumberFormat="1" applyFont="1" applyFill="1" applyBorder="1" applyAlignment="1"/>
    <xf numFmtId="10" fontId="35" fillId="0" borderId="0" xfId="46" applyNumberFormat="1" applyFont="1" applyFill="1" applyBorder="1" applyAlignment="1"/>
    <xf numFmtId="10" fontId="32" fillId="0" borderId="0" xfId="0" applyNumberFormat="1" applyFont="1" applyFill="1" applyBorder="1" applyAlignment="1"/>
    <xf numFmtId="10" fontId="0" fillId="0" borderId="0" xfId="46" applyNumberFormat="1" applyFont="1" applyFill="1" applyBorder="1" applyAlignment="1"/>
    <xf numFmtId="3" fontId="35" fillId="0" borderId="0" xfId="0" applyNumberFormat="1" applyFont="1" applyFill="1" applyBorder="1" applyAlignment="1"/>
    <xf numFmtId="165" fontId="34" fillId="0" borderId="0" xfId="0" applyNumberFormat="1" applyFont="1" applyFill="1" applyBorder="1" applyAlignment="1"/>
    <xf numFmtId="49" fontId="0" fillId="0" borderId="0" xfId="0" applyNumberFormat="1" applyFont="1" applyFill="1" applyBorder="1" applyAlignment="1">
      <alignment horizontal="center"/>
    </xf>
    <xf numFmtId="173" fontId="32" fillId="0" borderId="0" xfId="0" applyFont="1" applyFill="1" applyBorder="1" applyAlignment="1">
      <alignment horizontal="center"/>
    </xf>
    <xf numFmtId="49" fontId="0" fillId="0" borderId="0" xfId="0" applyNumberFormat="1" applyFill="1" applyBorder="1" applyAlignment="1">
      <alignment horizontal="center"/>
    </xf>
    <xf numFmtId="0" fontId="3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35" fillId="0" borderId="0" xfId="0" applyNumberFormat="1" applyFont="1" applyFill="1" applyBorder="1" applyAlignment="1">
      <alignment horizontal="center"/>
    </xf>
    <xf numFmtId="173" fontId="35" fillId="0" borderId="0" xfId="0" applyFont="1" applyFill="1" applyBorder="1" applyAlignment="1"/>
    <xf numFmtId="10" fontId="34" fillId="0" borderId="0" xfId="46" applyNumberFormat="1" applyFont="1" applyFill="1" applyBorder="1" applyAlignment="1"/>
    <xf numFmtId="0" fontId="0" fillId="0" borderId="0" xfId="0" applyNumberFormat="1" applyFont="1" applyFill="1" applyBorder="1" applyAlignment="1">
      <alignment horizontal="fill"/>
    </xf>
    <xf numFmtId="173" fontId="39" fillId="0" borderId="0" xfId="0" applyFont="1" applyFill="1" applyBorder="1" applyAlignment="1"/>
    <xf numFmtId="3" fontId="40" fillId="0" borderId="0" xfId="0" applyNumberFormat="1" applyFont="1" applyFill="1" applyBorder="1" applyAlignment="1"/>
    <xf numFmtId="164" fontId="32" fillId="0" borderId="0" xfId="0" applyNumberFormat="1" applyFont="1" applyFill="1" applyBorder="1" applyAlignment="1">
      <alignment horizontal="center"/>
    </xf>
    <xf numFmtId="10" fontId="32" fillId="0" borderId="0" xfId="46" applyNumberFormat="1" applyFont="1" applyFill="1" applyBorder="1" applyAlignment="1"/>
    <xf numFmtId="170" fontId="0" fillId="0" borderId="0" xfId="0" applyNumberFormat="1" applyFill="1" applyBorder="1" applyAlignment="1"/>
    <xf numFmtId="3" fontId="34" fillId="0" borderId="0" xfId="0" applyNumberFormat="1" applyFont="1" applyFill="1" applyBorder="1" applyAlignment="1"/>
    <xf numFmtId="0" fontId="40" fillId="0" borderId="0" xfId="0" applyNumberFormat="1" applyFont="1" applyFill="1" applyBorder="1"/>
    <xf numFmtId="173" fontId="32" fillId="0" borderId="0" xfId="0" applyFont="1" applyFill="1" applyBorder="1" applyAlignment="1"/>
    <xf numFmtId="173" fontId="32" fillId="0" borderId="0" xfId="0" applyFont="1" applyFill="1" applyBorder="1" applyAlignment="1">
      <alignment horizontal="right"/>
    </xf>
    <xf numFmtId="0" fontId="0" fillId="0" borderId="0" xfId="0" quotePrefix="1" applyNumberFormat="1" applyFill="1" applyBorder="1" applyAlignment="1" applyProtection="1">
      <alignment horizontal="center"/>
      <protection locked="0"/>
    </xf>
    <xf numFmtId="176" fontId="34" fillId="0" borderId="0" xfId="0" quotePrefix="1" applyNumberFormat="1" applyFont="1" applyFill="1" applyBorder="1" applyAlignment="1">
      <alignment horizontal="center"/>
    </xf>
    <xf numFmtId="173" fontId="35" fillId="0" borderId="15" xfId="0" applyFont="1" applyFill="1" applyBorder="1" applyAlignment="1">
      <alignment horizontal="center" wrapText="1"/>
    </xf>
    <xf numFmtId="173" fontId="35" fillId="0" borderId="16" xfId="0" applyFont="1" applyFill="1" applyBorder="1" applyAlignment="1"/>
    <xf numFmtId="173" fontId="35" fillId="0" borderId="16" xfId="0" applyFont="1" applyFill="1" applyBorder="1" applyAlignment="1">
      <alignment horizontal="center" wrapText="1"/>
    </xf>
    <xf numFmtId="0" fontId="34" fillId="0" borderId="16" xfId="0" applyNumberFormat="1" applyFont="1" applyFill="1" applyBorder="1" applyAlignment="1">
      <alignment horizontal="center" wrapText="1"/>
    </xf>
    <xf numFmtId="173" fontId="35" fillId="0" borderId="17" xfId="0" applyFont="1" applyFill="1" applyBorder="1" applyAlignment="1">
      <alignment horizontal="center" wrapText="1"/>
    </xf>
    <xf numFmtId="173" fontId="35" fillId="0" borderId="18" xfId="0" applyFont="1" applyFill="1" applyBorder="1" applyAlignment="1">
      <alignment horizontal="center" wrapText="1"/>
    </xf>
    <xf numFmtId="3" fontId="34" fillId="0" borderId="18" xfId="0" applyNumberFormat="1" applyFont="1" applyFill="1" applyBorder="1" applyAlignment="1">
      <alignment horizontal="center" wrapText="1"/>
    </xf>
    <xf numFmtId="3" fontId="34" fillId="0" borderId="16" xfId="0" applyNumberFormat="1" applyFont="1" applyFill="1" applyBorder="1" applyAlignment="1">
      <alignment horizontal="center" wrapText="1"/>
    </xf>
    <xf numFmtId="0" fontId="32" fillId="0" borderId="15" xfId="0" applyNumberFormat="1" applyFont="1" applyFill="1" applyBorder="1"/>
    <xf numFmtId="0" fontId="32" fillId="0" borderId="16" xfId="0" applyNumberFormat="1" applyFont="1" applyFill="1" applyBorder="1"/>
    <xf numFmtId="0" fontId="32" fillId="0" borderId="16" xfId="0" quotePrefix="1" applyNumberFormat="1" applyFont="1" applyFill="1" applyBorder="1" applyAlignment="1">
      <alignment horizontal="center"/>
    </xf>
    <xf numFmtId="0" fontId="32" fillId="0" borderId="16" xfId="0" applyNumberFormat="1" applyFont="1" applyFill="1" applyBorder="1" applyAlignment="1">
      <alignment horizontal="center"/>
    </xf>
    <xf numFmtId="0" fontId="32" fillId="0" borderId="18" xfId="0" quotePrefix="1" applyNumberFormat="1" applyFont="1" applyFill="1" applyBorder="1" applyAlignment="1">
      <alignment horizontal="center"/>
    </xf>
    <xf numFmtId="0" fontId="32" fillId="0" borderId="16" xfId="0" applyNumberFormat="1" applyFont="1" applyFill="1" applyBorder="1" applyAlignment="1">
      <alignment horizontal="center" wrapText="1"/>
    </xf>
    <xf numFmtId="0" fontId="32" fillId="0" borderId="18" xfId="0" applyNumberFormat="1" applyFont="1" applyFill="1" applyBorder="1" applyAlignment="1">
      <alignment horizontal="center" wrapText="1"/>
    </xf>
    <xf numFmtId="0" fontId="32" fillId="0" borderId="18" xfId="0" applyNumberFormat="1" applyFont="1" applyFill="1" applyBorder="1" applyAlignment="1">
      <alignment horizontal="center"/>
    </xf>
    <xf numFmtId="3" fontId="32" fillId="0" borderId="16" xfId="0" applyNumberFormat="1" applyFont="1" applyFill="1" applyBorder="1" applyAlignment="1">
      <alignment horizontal="center"/>
    </xf>
    <xf numFmtId="3" fontId="32" fillId="0" borderId="18" xfId="0" applyNumberFormat="1" applyFont="1" applyFill="1" applyBorder="1" applyAlignment="1">
      <alignment horizontal="center" wrapText="1"/>
    </xf>
    <xf numFmtId="0" fontId="32" fillId="0" borderId="19" xfId="0" applyNumberFormat="1" applyFont="1" applyFill="1" applyBorder="1"/>
    <xf numFmtId="0" fontId="32" fillId="0" borderId="20" xfId="0" applyNumberFormat="1" applyFont="1" applyFill="1" applyBorder="1"/>
    <xf numFmtId="3" fontId="32" fillId="0" borderId="20" xfId="0" applyNumberFormat="1" applyFont="1" applyFill="1" applyBorder="1" applyAlignment="1"/>
    <xf numFmtId="173" fontId="0" fillId="0" borderId="19" xfId="0" applyFill="1" applyBorder="1" applyAlignment="1"/>
    <xf numFmtId="177" fontId="0" fillId="0" borderId="0" xfId="47" applyNumberFormat="1" applyFont="1" applyFill="1" applyBorder="1" applyAlignment="1"/>
    <xf numFmtId="173" fontId="0" fillId="0" borderId="20" xfId="0" applyFill="1" applyBorder="1" applyAlignment="1"/>
    <xf numFmtId="177" fontId="0" fillId="0" borderId="20" xfId="47" applyNumberFormat="1" applyFont="1" applyFill="1" applyBorder="1" applyAlignment="1"/>
    <xf numFmtId="177" fontId="32" fillId="0" borderId="20" xfId="47" applyNumberFormat="1" applyFont="1" applyFill="1" applyBorder="1" applyAlignment="1"/>
    <xf numFmtId="173" fontId="41" fillId="0" borderId="0" xfId="0" applyFont="1" applyFill="1" applyBorder="1" applyAlignment="1"/>
    <xf numFmtId="0" fontId="41" fillId="0" borderId="0" xfId="0" applyNumberFormat="1" applyFont="1" applyFill="1" applyBorder="1" applyAlignment="1">
      <alignment horizontal="center"/>
    </xf>
    <xf numFmtId="173" fontId="41" fillId="0" borderId="20" xfId="0" applyFont="1" applyFill="1" applyBorder="1" applyAlignment="1"/>
    <xf numFmtId="173" fontId="0" fillId="0" borderId="21" xfId="0" applyFill="1" applyBorder="1" applyAlignment="1"/>
    <xf numFmtId="173" fontId="0" fillId="0" borderId="14" xfId="0" applyFill="1" applyBorder="1" applyAlignment="1"/>
    <xf numFmtId="173" fontId="41" fillId="0" borderId="14" xfId="0" applyFont="1" applyFill="1" applyBorder="1" applyAlignment="1"/>
    <xf numFmtId="173" fontId="41" fillId="0" borderId="22" xfId="0" applyFont="1" applyFill="1" applyBorder="1" applyAlignment="1"/>
    <xf numFmtId="170" fontId="32" fillId="0" borderId="0" xfId="0" applyNumberFormat="1" applyFont="1" applyFill="1" applyBorder="1" applyAlignment="1"/>
    <xf numFmtId="173" fontId="37" fillId="0" borderId="0" xfId="0" applyFont="1" applyFill="1" applyBorder="1" applyAlignment="1"/>
    <xf numFmtId="1" fontId="32" fillId="0" borderId="0" xfId="45" applyNumberFormat="1" applyFont="1" applyFill="1" applyBorder="1" applyAlignment="1">
      <alignment horizontal="center"/>
    </xf>
    <xf numFmtId="173" fontId="32" fillId="0" borderId="1" xfId="0" applyFont="1" applyFill="1" applyBorder="1" applyAlignment="1"/>
    <xf numFmtId="173" fontId="15" fillId="0" borderId="0" xfId="0" applyFont="1" applyFill="1" applyBorder="1" applyAlignment="1">
      <alignment horizontal="center" vertical="top"/>
    </xf>
    <xf numFmtId="173" fontId="15" fillId="0" borderId="0" xfId="0" applyFont="1" applyFill="1" applyBorder="1" applyAlignment="1"/>
    <xf numFmtId="173" fontId="15" fillId="0" borderId="0" xfId="0" applyFont="1" applyFill="1" applyBorder="1" applyAlignment="1">
      <alignment horizontal="center"/>
    </xf>
    <xf numFmtId="173" fontId="0" fillId="0" borderId="0" xfId="0" applyFont="1" applyFill="1" applyBorder="1" applyAlignment="1">
      <alignment horizontal="center"/>
    </xf>
    <xf numFmtId="173" fontId="0" fillId="0" borderId="0" xfId="0" applyFont="1" applyFill="1" applyBorder="1" applyAlignment="1">
      <alignment horizontal="left" vertical="top"/>
    </xf>
    <xf numFmtId="173" fontId="8" fillId="0" borderId="0" xfId="0" applyFont="1" applyFill="1" applyBorder="1" applyAlignment="1"/>
    <xf numFmtId="49" fontId="8" fillId="0" borderId="0" xfId="0" applyNumberFormat="1" applyFont="1" applyFill="1" applyBorder="1" applyAlignment="1">
      <alignment horizontal="center"/>
    </xf>
    <xf numFmtId="0" fontId="8"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8" fillId="0" borderId="0" xfId="0" applyNumberFormat="1" applyFont="1" applyAlignment="1" applyProtection="1">
      <alignment horizontal="right"/>
      <protection locked="0"/>
    </xf>
    <xf numFmtId="177" fontId="0" fillId="0" borderId="0" xfId="365" applyNumberFormat="1" applyFont="1"/>
    <xf numFmtId="44" fontId="7" fillId="0" borderId="0" xfId="363" applyNumberFormat="1"/>
    <xf numFmtId="10" fontId="86" fillId="59" borderId="0" xfId="171" applyNumberFormat="1" applyFont="1" applyFill="1"/>
    <xf numFmtId="0" fontId="7" fillId="0" borderId="0" xfId="363"/>
    <xf numFmtId="173" fontId="0" fillId="3" borderId="0" xfId="0" applyFill="1" applyBorder="1" applyAlignment="1"/>
    <xf numFmtId="0" fontId="7" fillId="59" borderId="0" xfId="363" applyFill="1" applyAlignment="1">
      <alignment horizontal="center"/>
    </xf>
    <xf numFmtId="0" fontId="111" fillId="0" borderId="0" xfId="363" quotePrefix="1" applyFont="1" applyAlignment="1">
      <alignment horizontal="center"/>
    </xf>
    <xf numFmtId="173" fontId="0" fillId="0" borderId="0" xfId="0" applyAlignment="1"/>
    <xf numFmtId="173" fontId="0" fillId="0" borderId="0" xfId="0" applyFill="1" applyBorder="1" applyAlignment="1"/>
    <xf numFmtId="173" fontId="0" fillId="0" borderId="19" xfId="0" applyFill="1" applyBorder="1" applyAlignment="1"/>
    <xf numFmtId="0" fontId="0" fillId="0" borderId="0" xfId="0" applyNumberFormat="1" applyFill="1" applyBorder="1" applyAlignment="1">
      <alignment horizontal="center"/>
    </xf>
    <xf numFmtId="0" fontId="7" fillId="0" borderId="39" xfId="363" applyBorder="1"/>
    <xf numFmtId="175" fontId="86" fillId="59" borderId="0" xfId="178" applyNumberFormat="1" applyFont="1" applyFill="1" applyBorder="1"/>
    <xf numFmtId="0" fontId="110" fillId="0" borderId="0" xfId="363" applyFont="1" applyFill="1" applyBorder="1" applyAlignment="1">
      <alignment horizontal="center" wrapText="1"/>
    </xf>
    <xf numFmtId="0" fontId="7" fillId="0" borderId="19" xfId="363" applyBorder="1" applyAlignment="1">
      <alignment horizontal="center" vertical="center"/>
    </xf>
    <xf numFmtId="0" fontId="7" fillId="0" borderId="14" xfId="363" applyBorder="1"/>
    <xf numFmtId="0" fontId="7" fillId="0" borderId="21" xfId="363" applyBorder="1"/>
    <xf numFmtId="0" fontId="7" fillId="0" borderId="34" xfId="363" applyFill="1" applyBorder="1"/>
    <xf numFmtId="0" fontId="7" fillId="0" borderId="0" xfId="363" applyFill="1" applyBorder="1"/>
    <xf numFmtId="0" fontId="7" fillId="0" borderId="0" xfId="363" applyFill="1" applyBorder="1" applyAlignment="1">
      <alignment horizontal="center"/>
    </xf>
    <xf numFmtId="0" fontId="7" fillId="0" borderId="39" xfId="363" applyFill="1" applyBorder="1" applyAlignment="1">
      <alignment horizontal="center"/>
    </xf>
    <xf numFmtId="0" fontId="7" fillId="0" borderId="14" xfId="363" applyFill="1" applyBorder="1" applyAlignment="1">
      <alignment horizontal="center"/>
    </xf>
    <xf numFmtId="0" fontId="7" fillId="0" borderId="14" xfId="363" applyBorder="1" applyAlignment="1">
      <alignment horizontal="center"/>
    </xf>
    <xf numFmtId="0" fontId="7" fillId="0" borderId="21" xfId="363" applyBorder="1" applyAlignment="1">
      <alignment horizontal="center"/>
    </xf>
    <xf numFmtId="0" fontId="7" fillId="0" borderId="19" xfId="363" applyBorder="1" applyAlignment="1">
      <alignment horizontal="center"/>
    </xf>
    <xf numFmtId="0" fontId="7" fillId="0" borderId="34" xfId="363" applyBorder="1" applyAlignment="1">
      <alignment horizontal="center"/>
    </xf>
    <xf numFmtId="0" fontId="7" fillId="0" borderId="34" xfId="363" applyBorder="1"/>
    <xf numFmtId="0" fontId="7" fillId="0" borderId="0" xfId="363" applyBorder="1" applyAlignment="1">
      <alignment horizontal="center"/>
    </xf>
    <xf numFmtId="0" fontId="7" fillId="0" borderId="0" xfId="363" applyBorder="1"/>
    <xf numFmtId="0" fontId="7" fillId="0" borderId="19" xfId="363" applyBorder="1"/>
    <xf numFmtId="0" fontId="7" fillId="0" borderId="38" xfId="363" applyBorder="1"/>
    <xf numFmtId="0" fontId="7" fillId="0" borderId="23" xfId="363" applyBorder="1" applyAlignment="1">
      <alignment horizontal="center"/>
    </xf>
    <xf numFmtId="0" fontId="7" fillId="0" borderId="23" xfId="363" applyBorder="1"/>
    <xf numFmtId="0" fontId="7" fillId="0" borderId="37" xfId="363" applyBorder="1"/>
    <xf numFmtId="0" fontId="7" fillId="0" borderId="0" xfId="363" applyAlignment="1">
      <alignment horizontal="center"/>
    </xf>
    <xf numFmtId="0" fontId="7" fillId="59" borderId="0" xfId="363" applyFill="1"/>
    <xf numFmtId="0" fontId="7" fillId="0" borderId="0" xfId="363" applyAlignment="1">
      <alignment horizontal="right"/>
    </xf>
    <xf numFmtId="0" fontId="43" fillId="0" borderId="0" xfId="363" applyFont="1"/>
    <xf numFmtId="173" fontId="0" fillId="0" borderId="0" xfId="0" applyAlignment="1"/>
    <xf numFmtId="173" fontId="0" fillId="0" borderId="0" xfId="0" applyFill="1" applyBorder="1" applyAlignment="1"/>
    <xf numFmtId="173" fontId="0" fillId="0" borderId="19" xfId="0" applyFill="1" applyBorder="1" applyAlignment="1"/>
    <xf numFmtId="173" fontId="0" fillId="0" borderId="20" xfId="0" applyFill="1" applyBorder="1" applyAlignment="1"/>
    <xf numFmtId="0" fontId="0" fillId="0" borderId="0" xfId="0" applyNumberFormat="1" applyFill="1" applyBorder="1" applyAlignment="1">
      <alignment horizontal="center"/>
    </xf>
    <xf numFmtId="177" fontId="32" fillId="0" borderId="20" xfId="47" applyNumberFormat="1" applyFont="1" applyFill="1" applyBorder="1" applyAlignment="1"/>
    <xf numFmtId="177" fontId="0" fillId="0" borderId="20" xfId="47" applyNumberFormat="1" applyFont="1" applyFill="1" applyBorder="1" applyAlignment="1"/>
    <xf numFmtId="10" fontId="0" fillId="0" borderId="0" xfId="46" applyNumberFormat="1" applyFont="1" applyFill="1" applyBorder="1" applyAlignment="1"/>
    <xf numFmtId="177" fontId="0" fillId="0" borderId="0" xfId="47" applyNumberFormat="1" applyFont="1" applyFill="1" applyBorder="1" applyAlignment="1"/>
    <xf numFmtId="235" fontId="112" fillId="0" borderId="0" xfId="0" applyNumberFormat="1" applyFont="1" applyAlignment="1">
      <alignment horizontal="right"/>
    </xf>
    <xf numFmtId="235" fontId="43" fillId="0" borderId="0" xfId="0" applyNumberFormat="1" applyFont="1" applyAlignment="1">
      <alignment horizontal="left"/>
    </xf>
    <xf numFmtId="236" fontId="113" fillId="0" borderId="0" xfId="0" applyNumberFormat="1" applyFont="1" applyAlignment="1">
      <alignment horizontal="right"/>
    </xf>
    <xf numFmtId="235" fontId="114" fillId="0" borderId="0" xfId="0" applyNumberFormat="1" applyFont="1" applyAlignment="1">
      <alignment horizontal="right"/>
    </xf>
    <xf numFmtId="235" fontId="115" fillId="0" borderId="0" xfId="0" applyNumberFormat="1" applyFont="1" applyAlignment="1">
      <alignment horizontal="left"/>
    </xf>
    <xf numFmtId="235" fontId="113" fillId="0" borderId="0" xfId="0" applyNumberFormat="1" applyFont="1" applyAlignment="1">
      <alignment horizontal="right"/>
    </xf>
    <xf numFmtId="49" fontId="116" fillId="0" borderId="0" xfId="0" applyNumberFormat="1" applyFont="1" applyAlignment="1">
      <alignment horizontal="center" wrapText="1"/>
    </xf>
    <xf numFmtId="49" fontId="114" fillId="0" borderId="0" xfId="0" applyNumberFormat="1" applyFont="1" applyAlignment="1">
      <alignment horizontal="center" wrapText="1"/>
    </xf>
    <xf numFmtId="49" fontId="114" fillId="0" borderId="14" xfId="0" applyNumberFormat="1" applyFont="1" applyBorder="1" applyAlignment="1">
      <alignment horizontal="center" wrapText="1"/>
    </xf>
    <xf numFmtId="235" fontId="116" fillId="0" borderId="0" xfId="0" applyNumberFormat="1" applyFont="1" applyAlignment="1">
      <alignment horizontal="left"/>
    </xf>
    <xf numFmtId="235" fontId="114" fillId="0" borderId="0" xfId="0" applyNumberFormat="1" applyFont="1" applyAlignment="1">
      <alignment horizontal="center"/>
    </xf>
    <xf numFmtId="235" fontId="114" fillId="0" borderId="0" xfId="0" applyNumberFormat="1" applyFont="1" applyAlignment="1">
      <alignment horizontal="left"/>
    </xf>
    <xf numFmtId="3" fontId="114" fillId="0" borderId="0" xfId="0" applyNumberFormat="1" applyFont="1" applyAlignment="1">
      <alignment horizontal="right"/>
    </xf>
    <xf numFmtId="3" fontId="114" fillId="0" borderId="14" xfId="0" applyNumberFormat="1" applyFont="1" applyBorder="1" applyAlignment="1">
      <alignment horizontal="right"/>
    </xf>
    <xf numFmtId="3" fontId="114" fillId="0" borderId="23" xfId="0" applyNumberFormat="1" applyFont="1" applyBorder="1" applyAlignment="1">
      <alignment horizontal="right"/>
    </xf>
    <xf numFmtId="235" fontId="114" fillId="0" borderId="0" xfId="0" applyNumberFormat="1" applyFont="1" applyFill="1" applyAlignment="1">
      <alignment horizontal="center"/>
    </xf>
    <xf numFmtId="235" fontId="114" fillId="0" borderId="0" xfId="0" applyNumberFormat="1" applyFont="1" applyFill="1" applyAlignment="1">
      <alignment horizontal="right"/>
    </xf>
    <xf numFmtId="235" fontId="114" fillId="0" borderId="0" xfId="0" applyNumberFormat="1" applyFont="1" applyFill="1" applyAlignment="1">
      <alignment horizontal="left"/>
    </xf>
    <xf numFmtId="3" fontId="114" fillId="0" borderId="0" xfId="0" applyNumberFormat="1" applyFont="1" applyFill="1" applyAlignment="1">
      <alignment horizontal="right"/>
    </xf>
    <xf numFmtId="3" fontId="116" fillId="0" borderId="0" xfId="0" applyNumberFormat="1" applyFont="1" applyAlignment="1">
      <alignment horizontal="right"/>
    </xf>
    <xf numFmtId="235" fontId="112" fillId="0" borderId="0" xfId="0" applyNumberFormat="1" applyFont="1" applyAlignment="1">
      <alignment horizontal="center"/>
    </xf>
    <xf numFmtId="235" fontId="112" fillId="0" borderId="0" xfId="0" applyNumberFormat="1" applyFont="1" applyAlignment="1">
      <alignment horizontal="left"/>
    </xf>
    <xf numFmtId="3" fontId="112" fillId="0" borderId="0" xfId="0" applyNumberFormat="1" applyFont="1" applyAlignment="1">
      <alignment horizontal="right"/>
    </xf>
    <xf numFmtId="235" fontId="112" fillId="0" borderId="0" xfId="0" applyNumberFormat="1" applyFont="1" applyFill="1" applyAlignment="1">
      <alignment horizontal="center"/>
    </xf>
    <xf numFmtId="235" fontId="112" fillId="0" borderId="0" xfId="0" applyNumberFormat="1" applyFont="1" applyFill="1" applyAlignment="1">
      <alignment horizontal="right"/>
    </xf>
    <xf numFmtId="235" fontId="112" fillId="0" borderId="0" xfId="0" applyNumberFormat="1" applyFont="1" applyFill="1" applyAlignment="1">
      <alignment horizontal="left"/>
    </xf>
    <xf numFmtId="3" fontId="112" fillId="0" borderId="0" xfId="0" applyNumberFormat="1" applyFont="1" applyFill="1" applyAlignment="1">
      <alignment horizontal="right"/>
    </xf>
    <xf numFmtId="38" fontId="112" fillId="0" borderId="0" xfId="0" applyNumberFormat="1" applyFont="1" applyFill="1" applyAlignment="1">
      <alignment horizontal="right"/>
    </xf>
    <xf numFmtId="38" fontId="112" fillId="0" borderId="0" xfId="0" applyNumberFormat="1" applyFont="1" applyAlignment="1">
      <alignment horizontal="right"/>
    </xf>
    <xf numFmtId="235" fontId="118" fillId="0" borderId="0" xfId="0" applyNumberFormat="1" applyFont="1" applyAlignment="1">
      <alignment horizontal="left"/>
    </xf>
    <xf numFmtId="3" fontId="114" fillId="0" borderId="0" xfId="0" applyNumberFormat="1" applyFont="1" applyBorder="1" applyAlignment="1">
      <alignment horizontal="right"/>
    </xf>
    <xf numFmtId="38" fontId="114" fillId="0" borderId="0" xfId="0" applyNumberFormat="1" applyFont="1" applyFill="1" applyAlignment="1">
      <alignment horizontal="right"/>
    </xf>
    <xf numFmtId="38" fontId="114" fillId="0" borderId="0" xfId="0" applyNumberFormat="1" applyFont="1" applyAlignment="1">
      <alignment horizontal="right"/>
    </xf>
    <xf numFmtId="3" fontId="119" fillId="0" borderId="0" xfId="0" applyNumberFormat="1" applyFont="1" applyAlignment="1">
      <alignment horizontal="right"/>
    </xf>
    <xf numFmtId="10" fontId="114" fillId="0" borderId="0" xfId="0" applyNumberFormat="1" applyFont="1" applyAlignment="1">
      <alignment horizontal="right"/>
    </xf>
    <xf numFmtId="10" fontId="112" fillId="0" borderId="0" xfId="0" applyNumberFormat="1" applyFont="1" applyAlignment="1">
      <alignment horizontal="right"/>
    </xf>
    <xf numFmtId="9" fontId="114" fillId="0" borderId="0" xfId="4" applyFont="1" applyAlignment="1">
      <alignment horizontal="right"/>
    </xf>
    <xf numFmtId="170" fontId="8" fillId="3" borderId="0" xfId="0" applyNumberFormat="1" applyFont="1" applyFill="1" applyAlignment="1"/>
    <xf numFmtId="235" fontId="112" fillId="67" borderId="0" xfId="370" applyNumberFormat="1" applyFont="1" applyFill="1" applyAlignment="1">
      <alignment horizontal="right"/>
    </xf>
    <xf numFmtId="235" fontId="121" fillId="0" borderId="0" xfId="0" applyNumberFormat="1" applyFont="1" applyAlignment="1">
      <alignment horizontal="left"/>
    </xf>
    <xf numFmtId="0" fontId="34" fillId="0" borderId="0" xfId="370" applyFont="1" applyBorder="1"/>
    <xf numFmtId="173" fontId="0" fillId="0" borderId="0" xfId="0" applyFont="1" applyBorder="1" applyAlignment="1"/>
    <xf numFmtId="173" fontId="110" fillId="0" borderId="0" xfId="0" applyFont="1" applyFill="1" applyBorder="1" applyAlignment="1">
      <alignment horizontal="left"/>
    </xf>
    <xf numFmtId="8" fontId="32" fillId="0" borderId="0" xfId="370" applyNumberFormat="1" applyFont="1" applyBorder="1"/>
    <xf numFmtId="173" fontId="0" fillId="0" borderId="0" xfId="0" applyBorder="1" applyAlignment="1"/>
    <xf numFmtId="173" fontId="0" fillId="0" borderId="40" xfId="0" applyBorder="1" applyAlignment="1"/>
    <xf numFmtId="173" fontId="0" fillId="0" borderId="41" xfId="0" applyBorder="1" applyAlignment="1"/>
    <xf numFmtId="8" fontId="32" fillId="0" borderId="42" xfId="370" applyNumberFormat="1" applyFont="1" applyBorder="1"/>
    <xf numFmtId="0" fontId="32" fillId="0" borderId="43" xfId="370" applyFont="1" applyBorder="1"/>
    <xf numFmtId="8" fontId="32" fillId="0" borderId="44" xfId="370" applyNumberFormat="1" applyFont="1" applyBorder="1"/>
    <xf numFmtId="0" fontId="32" fillId="0" borderId="45" xfId="370" applyFont="1" applyBorder="1"/>
    <xf numFmtId="8" fontId="32" fillId="0" borderId="1" xfId="370" applyNumberFormat="1" applyFont="1" applyBorder="1"/>
    <xf numFmtId="173" fontId="0" fillId="0" borderId="1" xfId="0" applyBorder="1" applyAlignment="1"/>
    <xf numFmtId="164" fontId="32" fillId="0" borderId="46" xfId="370" applyNumberFormat="1" applyFont="1" applyBorder="1"/>
    <xf numFmtId="10" fontId="0" fillId="3" borderId="0" xfId="4" applyNumberFormat="1" applyFont="1" applyFill="1" applyAlignment="1"/>
    <xf numFmtId="237" fontId="0" fillId="0" borderId="0" xfId="4" applyNumberFormat="1" applyFont="1" applyFill="1" applyAlignment="1"/>
    <xf numFmtId="164" fontId="0" fillId="3" borderId="0" xfId="4" applyNumberFormat="1" applyFont="1" applyFill="1" applyAlignment="1"/>
    <xf numFmtId="173" fontId="122" fillId="0" borderId="0" xfId="0" applyFont="1" applyFill="1" applyAlignment="1"/>
    <xf numFmtId="173" fontId="0" fillId="0" borderId="0" xfId="0" applyFill="1" applyAlignment="1"/>
    <xf numFmtId="173" fontId="35" fillId="0" borderId="0" xfId="0" applyFont="1" applyAlignment="1"/>
    <xf numFmtId="0" fontId="123" fillId="0" borderId="0" xfId="177" applyFont="1"/>
    <xf numFmtId="175" fontId="32" fillId="0" borderId="0" xfId="178" applyNumberFormat="1" applyFont="1"/>
    <xf numFmtId="0" fontId="124" fillId="0" borderId="0" xfId="177" applyFont="1"/>
    <xf numFmtId="175" fontId="34" fillId="0" borderId="14" xfId="178" applyNumberFormat="1" applyFont="1" applyBorder="1" applyAlignment="1">
      <alignment horizontal="left" wrapText="1"/>
    </xf>
    <xf numFmtId="175" fontId="32" fillId="0" borderId="14" xfId="178" applyNumberFormat="1" applyFont="1" applyBorder="1" applyAlignment="1">
      <alignment horizontal="center"/>
    </xf>
    <xf numFmtId="175" fontId="32" fillId="0" borderId="0" xfId="178" applyNumberFormat="1" applyFont="1" applyBorder="1" applyAlignment="1">
      <alignment horizontal="left" wrapText="1"/>
    </xf>
    <xf numFmtId="175" fontId="32" fillId="0" borderId="0" xfId="178" applyNumberFormat="1" applyFont="1" applyFill="1"/>
    <xf numFmtId="5" fontId="32" fillId="0" borderId="0" xfId="178" applyNumberFormat="1" applyFont="1"/>
    <xf numFmtId="238" fontId="32" fillId="0" borderId="0" xfId="178" applyNumberFormat="1" applyFont="1"/>
    <xf numFmtId="0" fontId="123" fillId="0" borderId="0" xfId="174" applyFont="1"/>
    <xf numFmtId="0" fontId="124" fillId="0" borderId="0" xfId="174" applyFont="1"/>
    <xf numFmtId="175" fontId="32" fillId="0" borderId="14" xfId="178" applyNumberFormat="1" applyFont="1" applyBorder="1"/>
    <xf numFmtId="43" fontId="8" fillId="3" borderId="14" xfId="2" applyNumberFormat="1" applyFont="1" applyFill="1" applyBorder="1" applyAlignment="1"/>
    <xf numFmtId="173" fontId="0" fillId="68" borderId="19" xfId="0" applyFill="1" applyBorder="1" applyAlignment="1"/>
    <xf numFmtId="173" fontId="0" fillId="68" borderId="0" xfId="0" applyFill="1" applyAlignment="1"/>
    <xf numFmtId="173" fontId="0" fillId="68" borderId="0" xfId="0" applyFill="1" applyBorder="1" applyAlignment="1"/>
    <xf numFmtId="0" fontId="0" fillId="68" borderId="0" xfId="0" applyNumberFormat="1" applyFill="1" applyBorder="1" applyAlignment="1">
      <alignment horizontal="center"/>
    </xf>
    <xf numFmtId="177" fontId="0" fillId="68" borderId="0" xfId="47" applyNumberFormat="1" applyFont="1" applyFill="1" applyBorder="1" applyAlignment="1"/>
    <xf numFmtId="10" fontId="0" fillId="68" borderId="0" xfId="46" applyNumberFormat="1" applyFont="1" applyFill="1" applyBorder="1" applyAlignment="1"/>
    <xf numFmtId="173" fontId="0" fillId="68" borderId="20" xfId="0" applyFill="1" applyBorder="1" applyAlignment="1"/>
    <xf numFmtId="177" fontId="0" fillId="68" borderId="20" xfId="47" applyNumberFormat="1" applyFont="1" applyFill="1" applyBorder="1" applyAlignment="1"/>
    <xf numFmtId="177" fontId="32" fillId="68" borderId="20" xfId="47" applyNumberFormat="1" applyFont="1" applyFill="1" applyBorder="1" applyAlignment="1"/>
    <xf numFmtId="173" fontId="41" fillId="68" borderId="0" xfId="0" applyFont="1" applyFill="1" applyBorder="1" applyAlignment="1"/>
    <xf numFmtId="177" fontId="0" fillId="3" borderId="0" xfId="47" applyNumberFormat="1" applyFont="1" applyFill="1" applyBorder="1" applyAlignment="1"/>
    <xf numFmtId="177" fontId="32" fillId="3" borderId="0" xfId="47" applyNumberFormat="1" applyFont="1" applyFill="1" applyBorder="1" applyAlignment="1"/>
    <xf numFmtId="235" fontId="112" fillId="0" borderId="0" xfId="385" applyNumberFormat="1" applyFont="1" applyAlignment="1">
      <alignment horizontal="right"/>
    </xf>
    <xf numFmtId="8" fontId="126" fillId="0" borderId="0" xfId="384" applyNumberFormat="1" applyFill="1" applyBorder="1"/>
    <xf numFmtId="6" fontId="126" fillId="0" borderId="0" xfId="384" applyNumberFormat="1" applyFill="1" applyBorder="1"/>
    <xf numFmtId="10" fontId="8" fillId="3" borderId="0" xfId="0" applyNumberFormat="1" applyFont="1" applyFill="1" applyProtection="1">
      <protection locked="0"/>
    </xf>
    <xf numFmtId="3" fontId="120" fillId="0" borderId="0" xfId="0" applyNumberFormat="1" applyFont="1" applyFill="1" applyBorder="1" applyAlignment="1">
      <alignment horizontal="right"/>
    </xf>
    <xf numFmtId="3" fontId="114" fillId="0" borderId="0" xfId="0" applyNumberFormat="1" applyFont="1" applyFill="1" applyBorder="1" applyAlignment="1">
      <alignment horizontal="right"/>
    </xf>
    <xf numFmtId="3" fontId="120" fillId="0" borderId="0" xfId="0" applyNumberFormat="1" applyFont="1" applyFill="1" applyAlignment="1">
      <alignment horizontal="right"/>
    </xf>
    <xf numFmtId="235" fontId="120" fillId="0" borderId="0" xfId="0" applyNumberFormat="1" applyFont="1" applyFill="1" applyAlignment="1">
      <alignment horizontal="right"/>
    </xf>
    <xf numFmtId="170" fontId="8" fillId="3" borderId="0" xfId="0" applyNumberFormat="1" applyFont="1" applyFill="1" applyBorder="1" applyAlignment="1" applyProtection="1">
      <protection locked="0"/>
    </xf>
    <xf numFmtId="3" fontId="114" fillId="0" borderId="23" xfId="0" applyNumberFormat="1" applyFont="1" applyFill="1" applyBorder="1" applyAlignment="1">
      <alignment horizontal="right"/>
    </xf>
    <xf numFmtId="173" fontId="127" fillId="0" borderId="43" xfId="0" applyFont="1" applyBorder="1"/>
    <xf numFmtId="173" fontId="0" fillId="0" borderId="0" xfId="0" applyBorder="1"/>
    <xf numFmtId="173" fontId="0" fillId="0" borderId="0" xfId="0" applyFill="1" applyBorder="1"/>
    <xf numFmtId="173" fontId="0" fillId="0" borderId="44" xfId="0" applyBorder="1"/>
    <xf numFmtId="173" fontId="0" fillId="0" borderId="43" xfId="0" applyBorder="1"/>
    <xf numFmtId="173" fontId="30" fillId="69" borderId="0" xfId="0" applyFont="1" applyFill="1" applyBorder="1" applyAlignment="1">
      <alignment horizontal="center"/>
    </xf>
    <xf numFmtId="173" fontId="30" fillId="69" borderId="44" xfId="0" applyFont="1" applyFill="1" applyBorder="1" applyAlignment="1">
      <alignment horizontal="center"/>
    </xf>
    <xf numFmtId="173" fontId="30" fillId="0" borderId="43" xfId="0" applyFont="1" applyBorder="1"/>
    <xf numFmtId="173" fontId="0" fillId="0" borderId="44" xfId="0" applyFill="1" applyBorder="1"/>
    <xf numFmtId="173" fontId="0" fillId="0" borderId="45" xfId="0" applyBorder="1"/>
    <xf numFmtId="173" fontId="0" fillId="0" borderId="1" xfId="0" applyBorder="1"/>
    <xf numFmtId="173" fontId="0" fillId="0" borderId="1" xfId="0" applyFill="1" applyBorder="1"/>
    <xf numFmtId="173" fontId="0" fillId="0" borderId="46" xfId="0" applyBorder="1"/>
    <xf numFmtId="237" fontId="8" fillId="0" borderId="0" xfId="4" applyNumberFormat="1" applyFont="1" applyFill="1" applyAlignment="1"/>
    <xf numFmtId="44" fontId="8" fillId="0" borderId="0" xfId="3" applyFont="1" applyFill="1"/>
    <xf numFmtId="6" fontId="37" fillId="0" borderId="0" xfId="360" applyNumberFormat="1" applyFill="1" applyBorder="1"/>
    <xf numFmtId="170" fontId="8" fillId="3" borderId="1" xfId="0" applyNumberFormat="1" applyFont="1" applyFill="1" applyBorder="1" applyAlignment="1" applyProtection="1">
      <protection locked="0"/>
    </xf>
    <xf numFmtId="3" fontId="8" fillId="2" borderId="0" xfId="0" quotePrefix="1" applyNumberFormat="1" applyFont="1" applyFill="1" applyAlignment="1"/>
    <xf numFmtId="173" fontId="129" fillId="0" borderId="43" xfId="0" applyFont="1" applyBorder="1"/>
    <xf numFmtId="3" fontId="129" fillId="70" borderId="0" xfId="0" applyNumberFormat="1" applyFont="1" applyFill="1" applyBorder="1"/>
    <xf numFmtId="3" fontId="129" fillId="0" borderId="0" xfId="0" applyNumberFormat="1" applyFont="1" applyFill="1" applyBorder="1"/>
    <xf numFmtId="3" fontId="129" fillId="0" borderId="44" xfId="0" applyNumberFormat="1" applyFont="1" applyFill="1" applyBorder="1"/>
    <xf numFmtId="173" fontId="129" fillId="0" borderId="43" xfId="0" applyFont="1" applyFill="1" applyBorder="1"/>
    <xf numFmtId="3" fontId="129" fillId="0" borderId="23" xfId="0" applyNumberFormat="1" applyFont="1" applyFill="1" applyBorder="1"/>
    <xf numFmtId="3" fontId="129" fillId="0" borderId="47" xfId="0" applyNumberFormat="1" applyFont="1" applyFill="1" applyBorder="1"/>
    <xf numFmtId="173" fontId="129" fillId="0" borderId="0" xfId="0" applyFont="1" applyBorder="1"/>
    <xf numFmtId="173" fontId="129" fillId="0" borderId="44" xfId="0" applyFont="1" applyBorder="1"/>
    <xf numFmtId="3" fontId="129" fillId="0" borderId="0" xfId="0" applyNumberFormat="1" applyFont="1" applyBorder="1"/>
    <xf numFmtId="3" fontId="129" fillId="0" borderId="44" xfId="0" applyNumberFormat="1" applyFont="1" applyBorder="1"/>
    <xf numFmtId="175" fontId="129" fillId="0" borderId="0" xfId="178" applyNumberFormat="1" applyFont="1" applyBorder="1"/>
    <xf numFmtId="175" fontId="1" fillId="0" borderId="0" xfId="363" applyNumberFormat="1" applyFont="1" applyBorder="1"/>
    <xf numFmtId="175" fontId="1" fillId="0" borderId="34" xfId="363" applyNumberFormat="1" applyFont="1" applyBorder="1"/>
    <xf numFmtId="0" fontId="1" fillId="0" borderId="0" xfId="363" applyFont="1" applyBorder="1"/>
    <xf numFmtId="0" fontId="1" fillId="0" borderId="0" xfId="363" applyFont="1"/>
    <xf numFmtId="44" fontId="1" fillId="0" borderId="0" xfId="363" applyNumberFormat="1" applyFont="1"/>
    <xf numFmtId="175" fontId="130" fillId="0" borderId="0" xfId="178" applyNumberFormat="1" applyFont="1" applyBorder="1"/>
    <xf numFmtId="10" fontId="130" fillId="0" borderId="0" xfId="171" applyNumberFormat="1" applyFont="1" applyBorder="1"/>
    <xf numFmtId="177" fontId="130" fillId="0" borderId="0" xfId="365" applyNumberFormat="1" applyFont="1"/>
    <xf numFmtId="173" fontId="130" fillId="0" borderId="0" xfId="173" applyFont="1" applyFill="1" applyBorder="1" applyAlignment="1"/>
    <xf numFmtId="0" fontId="130" fillId="0" borderId="0" xfId="172" applyNumberFormat="1" applyFont="1" applyFill="1" applyBorder="1" applyAlignment="1">
      <alignment horizontal="center"/>
    </xf>
    <xf numFmtId="44" fontId="130" fillId="59" borderId="0" xfId="365" applyFont="1" applyFill="1"/>
    <xf numFmtId="3" fontId="8" fillId="3" borderId="0" xfId="0" quotePrefix="1" applyNumberFormat="1" applyFont="1" applyFill="1" applyAlignment="1"/>
    <xf numFmtId="173" fontId="128" fillId="0" borderId="40" xfId="0" applyFont="1" applyFill="1" applyBorder="1"/>
    <xf numFmtId="173" fontId="0" fillId="0" borderId="41" xfId="0" applyFill="1" applyBorder="1"/>
    <xf numFmtId="173" fontId="0" fillId="0" borderId="42" xfId="0" applyFill="1" applyBorder="1"/>
    <xf numFmtId="0" fontId="8" fillId="0" borderId="0" xfId="0" applyNumberFormat="1" applyFont="1" applyFill="1" applyAlignment="1">
      <alignment horizontal="left" wrapText="1"/>
    </xf>
    <xf numFmtId="173" fontId="8" fillId="0" borderId="0" xfId="0" applyFont="1" applyFill="1" applyAlignment="1">
      <alignment horizontal="left" vertical="top" wrapText="1"/>
    </xf>
    <xf numFmtId="173" fontId="0" fillId="0" borderId="0" xfId="0" applyFont="1" applyFill="1" applyBorder="1" applyAlignment="1">
      <alignment horizontal="left" vertical="top" wrapText="1"/>
    </xf>
    <xf numFmtId="173" fontId="0" fillId="0" borderId="0" xfId="0" applyFont="1" applyFill="1" applyBorder="1" applyAlignment="1">
      <alignment horizontal="left" vertical="top" wrapText="1" indent="1"/>
    </xf>
    <xf numFmtId="0" fontId="7" fillId="0" borderId="0" xfId="363" applyBorder="1" applyAlignment="1">
      <alignment horizontal="center" wrapText="1"/>
    </xf>
    <xf numFmtId="235" fontId="114" fillId="0" borderId="0" xfId="0" applyNumberFormat="1" applyFont="1" applyFill="1" applyAlignment="1">
      <alignment horizontal="left" wrapText="1"/>
    </xf>
    <xf numFmtId="0" fontId="125" fillId="0" borderId="0" xfId="177" applyFont="1" applyFill="1" applyAlignment="1">
      <alignment horizontal="left" wrapText="1"/>
    </xf>
    <xf numFmtId="236" fontId="30" fillId="69" borderId="0" xfId="0" applyNumberFormat="1" applyFont="1" applyFill="1" applyBorder="1" applyAlignment="1">
      <alignment horizontal="center"/>
    </xf>
  </cellXfs>
  <cellStyles count="454">
    <cellStyle name="=C:\WINNT35\SYSTEM32\COMMAND.COM" xfId="182"/>
    <cellStyle name="=C:\WINNT35\SYSTEM32\COMMAND.COM 2" xfId="183"/>
    <cellStyle name="20% - Accent1" xfId="22" builtinId="30" customBuiltin="1"/>
    <cellStyle name="20% - Accent1 2" xfId="49"/>
    <cellStyle name="20% - Accent1 3" xfId="371"/>
    <cellStyle name="20% - Accent1 4" xfId="386"/>
    <cellStyle name="20% - Accent1 5" xfId="430"/>
    <cellStyle name="20% - Accent2" xfId="26" builtinId="34" customBuiltin="1"/>
    <cellStyle name="20% - Accent2 2" xfId="50"/>
    <cellStyle name="20% - Accent2 3" xfId="372"/>
    <cellStyle name="20% - Accent2 4" xfId="387"/>
    <cellStyle name="20% - Accent2 5" xfId="431"/>
    <cellStyle name="20% - Accent3" xfId="30" builtinId="38" customBuiltin="1"/>
    <cellStyle name="20% - Accent3 2" xfId="51"/>
    <cellStyle name="20% - Accent3 3" xfId="373"/>
    <cellStyle name="20% - Accent3 4" xfId="388"/>
    <cellStyle name="20% - Accent3 5" xfId="432"/>
    <cellStyle name="20% - Accent4" xfId="34" builtinId="42" customBuiltin="1"/>
    <cellStyle name="20% - Accent4 2" xfId="52"/>
    <cellStyle name="20% - Accent4 3" xfId="374"/>
    <cellStyle name="20% - Accent4 4" xfId="389"/>
    <cellStyle name="20% - Accent4 5" xfId="433"/>
    <cellStyle name="20% - Accent5" xfId="38" builtinId="46" customBuiltin="1"/>
    <cellStyle name="20% - Accent5 2" xfId="53"/>
    <cellStyle name="20% - Accent5 3" xfId="375"/>
    <cellStyle name="20% - Accent5 4" xfId="390"/>
    <cellStyle name="20% - Accent5 5" xfId="434"/>
    <cellStyle name="20% - Accent6" xfId="42" builtinId="50" customBuiltin="1"/>
    <cellStyle name="20% - Accent6 2" xfId="54"/>
    <cellStyle name="20% - Accent6 3" xfId="376"/>
    <cellStyle name="20% - Accent6 4" xfId="391"/>
    <cellStyle name="20% - Accent6 5" xfId="435"/>
    <cellStyle name="40% - Accent1" xfId="23" builtinId="31" customBuiltin="1"/>
    <cellStyle name="40% - Accent1 2" xfId="55"/>
    <cellStyle name="40% - Accent1 3" xfId="377"/>
    <cellStyle name="40% - Accent1 4" xfId="392"/>
    <cellStyle name="40% - Accent1 5" xfId="436"/>
    <cellStyle name="40% - Accent2" xfId="27" builtinId="35" customBuiltin="1"/>
    <cellStyle name="40% - Accent2 2" xfId="56"/>
    <cellStyle name="40% - Accent2 3" xfId="378"/>
    <cellStyle name="40% - Accent2 4" xfId="393"/>
    <cellStyle name="40% - Accent2 5" xfId="437"/>
    <cellStyle name="40% - Accent3" xfId="31" builtinId="39" customBuiltin="1"/>
    <cellStyle name="40% - Accent3 2" xfId="57"/>
    <cellStyle name="40% - Accent3 3" xfId="379"/>
    <cellStyle name="40% - Accent3 4" xfId="394"/>
    <cellStyle name="40% - Accent3 5" xfId="438"/>
    <cellStyle name="40% - Accent4" xfId="35" builtinId="43" customBuiltin="1"/>
    <cellStyle name="40% - Accent4 2" xfId="58"/>
    <cellStyle name="40% - Accent4 3" xfId="380"/>
    <cellStyle name="40% - Accent4 4" xfId="395"/>
    <cellStyle name="40% - Accent4 5" xfId="439"/>
    <cellStyle name="40% - Accent5" xfId="39" builtinId="47" customBuiltin="1"/>
    <cellStyle name="40% - Accent5 2" xfId="59"/>
    <cellStyle name="40% - Accent5 3" xfId="381"/>
    <cellStyle name="40% - Accent5 4" xfId="396"/>
    <cellStyle name="40% - Accent5 5" xfId="440"/>
    <cellStyle name="40% - Accent6" xfId="43" builtinId="51" customBuiltin="1"/>
    <cellStyle name="40% - Accent6 2" xfId="60"/>
    <cellStyle name="40% - Accent6 3" xfId="382"/>
    <cellStyle name="40% - Accent6 4" xfId="397"/>
    <cellStyle name="40% - Accent6 5" xfId="441"/>
    <cellStyle name="60% - Accent1" xfId="24" builtinId="32" customBuiltin="1"/>
    <cellStyle name="60% - Accent1 2" xfId="61"/>
    <cellStyle name="60% - Accent2" xfId="28" builtinId="36" customBuiltin="1"/>
    <cellStyle name="60% - Accent2 2" xfId="62"/>
    <cellStyle name="60% - Accent3" xfId="32" builtinId="40" customBuiltin="1"/>
    <cellStyle name="60% - Accent3 2" xfId="63"/>
    <cellStyle name="60% - Accent4" xfId="36" builtinId="44" customBuiltin="1"/>
    <cellStyle name="60% - Accent4 2" xfId="64"/>
    <cellStyle name="60% - Accent5" xfId="40" builtinId="48" customBuiltin="1"/>
    <cellStyle name="60% - Accent5 2" xfId="65"/>
    <cellStyle name="60% - Accent6" xfId="44" builtinId="52" customBuiltin="1"/>
    <cellStyle name="60% - Accent6 2" xfId="66"/>
    <cellStyle name="Accent1" xfId="21" builtinId="29" customBuiltin="1"/>
    <cellStyle name="Accent1 2" xfId="67"/>
    <cellStyle name="Accent2" xfId="25" builtinId="33" customBuiltin="1"/>
    <cellStyle name="Accent2 2" xfId="68"/>
    <cellStyle name="Accent3" xfId="29" builtinId="37" customBuiltin="1"/>
    <cellStyle name="Accent3 2" xfId="69"/>
    <cellStyle name="Accent4" xfId="33" builtinId="41" customBuiltin="1"/>
    <cellStyle name="Accent4 2" xfId="70"/>
    <cellStyle name="Accent5" xfId="37" builtinId="45" customBuiltin="1"/>
    <cellStyle name="Accent5 2" xfId="71"/>
    <cellStyle name="Accent6" xfId="41" builtinId="49" customBuiltin="1"/>
    <cellStyle name="Accent6 2" xfId="72"/>
    <cellStyle name="Bad" xfId="11" builtinId="27" customBuiltin="1"/>
    <cellStyle name="Bad 2" xfId="73"/>
    <cellStyle name="black" xfId="184"/>
    <cellStyle name="black 2" xfId="185"/>
    <cellStyle name="blu" xfId="186"/>
    <cellStyle name="bot" xfId="187"/>
    <cellStyle name="bot 2" xfId="188"/>
    <cellStyle name="Bullet" xfId="189"/>
    <cellStyle name="c" xfId="190"/>
    <cellStyle name="c," xfId="191"/>
    <cellStyle name="c_HardInc " xfId="192"/>
    <cellStyle name="C00A" xfId="74"/>
    <cellStyle name="C00A 2" xfId="193"/>
    <cellStyle name="C00B" xfId="75"/>
    <cellStyle name="C00B 2" xfId="194"/>
    <cellStyle name="C00L" xfId="76"/>
    <cellStyle name="C00L 2" xfId="195"/>
    <cellStyle name="C01A" xfId="77"/>
    <cellStyle name="C01B" xfId="78"/>
    <cellStyle name="C01B 2" xfId="196"/>
    <cellStyle name="C01H" xfId="79"/>
    <cellStyle name="C01L" xfId="80"/>
    <cellStyle name="C02A" xfId="81"/>
    <cellStyle name="C02B" xfId="82"/>
    <cellStyle name="C02B 2" xfId="197"/>
    <cellStyle name="C02H" xfId="83"/>
    <cellStyle name="C02L" xfId="84"/>
    <cellStyle name="C03A" xfId="85"/>
    <cellStyle name="C03B" xfId="86"/>
    <cellStyle name="C03H" xfId="87"/>
    <cellStyle name="C03L" xfId="88"/>
    <cellStyle name="C04A" xfId="89"/>
    <cellStyle name="C04A 2" xfId="198"/>
    <cellStyle name="C04B" xfId="90"/>
    <cellStyle name="C04H" xfId="91"/>
    <cellStyle name="C04L" xfId="92"/>
    <cellStyle name="C05A" xfId="93"/>
    <cellStyle name="C05B" xfId="94"/>
    <cellStyle name="C05H" xfId="95"/>
    <cellStyle name="C05L" xfId="96"/>
    <cellStyle name="C05L 2" xfId="199"/>
    <cellStyle name="C06A" xfId="97"/>
    <cellStyle name="C06B" xfId="98"/>
    <cellStyle name="C06H" xfId="99"/>
    <cellStyle name="C06L" xfId="100"/>
    <cellStyle name="C07A" xfId="101"/>
    <cellStyle name="C07B" xfId="102"/>
    <cellStyle name="C07H" xfId="103"/>
    <cellStyle name="C07L" xfId="104"/>
    <cellStyle name="c1" xfId="200"/>
    <cellStyle name="c1," xfId="201"/>
    <cellStyle name="c2" xfId="202"/>
    <cellStyle name="c2 2" xfId="203"/>
    <cellStyle name="c2," xfId="204"/>
    <cellStyle name="c3" xfId="205"/>
    <cellStyle name="Calculation" xfId="15" builtinId="22" customBuiltin="1"/>
    <cellStyle name="Calculation 2" xfId="105"/>
    <cellStyle name="cas" xfId="206"/>
    <cellStyle name="cas 2" xfId="207"/>
    <cellStyle name="Centered Heading" xfId="208"/>
    <cellStyle name="Check Cell" xfId="17" builtinId="23" customBuiltin="1"/>
    <cellStyle name="Check Cell 2" xfId="106"/>
    <cellStyle name="Comma" xfId="2" builtinId="3"/>
    <cellStyle name="Comma 0.0" xfId="209"/>
    <cellStyle name="Comma 0.00" xfId="210"/>
    <cellStyle name="Comma 0.000" xfId="211"/>
    <cellStyle name="Comma 0.0000" xfId="212"/>
    <cellStyle name="Comma 10" xfId="448"/>
    <cellStyle name="Comma 11" xfId="451"/>
    <cellStyle name="Comma 2" xfId="45"/>
    <cellStyle name="Comma 2 2" xfId="107"/>
    <cellStyle name="Comma 2 2 2" xfId="213"/>
    <cellStyle name="Comma 2 3" xfId="405"/>
    <cellStyle name="Comma 3" xfId="178"/>
    <cellStyle name="Comma 3 2" xfId="214"/>
    <cellStyle name="Comma 3 2 2" xfId="215"/>
    <cellStyle name="Comma 3 3" xfId="369"/>
    <cellStyle name="Comma 3 4" xfId="404"/>
    <cellStyle name="Comma 3 5" xfId="445"/>
    <cellStyle name="Comma 4" xfId="168"/>
    <cellStyle name="Comma 5" xfId="170"/>
    <cellStyle name="Comma 6" xfId="406"/>
    <cellStyle name="Comma 7" xfId="407"/>
    <cellStyle name="Comma 8" xfId="410"/>
    <cellStyle name="Comma 9" xfId="444"/>
    <cellStyle name="Comma0" xfId="108"/>
    <cellStyle name="Comma0 2" xfId="216"/>
    <cellStyle name="Company Name" xfId="217"/>
    <cellStyle name="Currency" xfId="3" builtinId="4"/>
    <cellStyle name="Currency 0.0" xfId="218"/>
    <cellStyle name="Currency 0.00" xfId="219"/>
    <cellStyle name="Currency 0.000" xfId="220"/>
    <cellStyle name="Currency 0.0000" xfId="221"/>
    <cellStyle name="Currency 10" xfId="365"/>
    <cellStyle name="Currency 11" xfId="366"/>
    <cellStyle name="Currency 12" xfId="367"/>
    <cellStyle name="Currency 13" xfId="398"/>
    <cellStyle name="Currency 14" xfId="408"/>
    <cellStyle name="Currency 15" xfId="411"/>
    <cellStyle name="Currency 16" xfId="414"/>
    <cellStyle name="Currency 17" xfId="416"/>
    <cellStyle name="Currency 18" xfId="418"/>
    <cellStyle name="Currency 19" xfId="420"/>
    <cellStyle name="Currency 2" xfId="47"/>
    <cellStyle name="Currency 2 2" xfId="222"/>
    <cellStyle name="Currency 2 2 2" xfId="223"/>
    <cellStyle name="Currency 2 3" xfId="224"/>
    <cellStyle name="Currency 20" xfId="422"/>
    <cellStyle name="Currency 21" xfId="424"/>
    <cellStyle name="Currency 22" xfId="426"/>
    <cellStyle name="Currency 23" xfId="428"/>
    <cellStyle name="Currency 24" xfId="446"/>
    <cellStyle name="Currency 25" xfId="443"/>
    <cellStyle name="Currency 26" xfId="452"/>
    <cellStyle name="Currency 3" xfId="179"/>
    <cellStyle name="Currency 3 2" xfId="225"/>
    <cellStyle name="Currency 3 2 2" xfId="226"/>
    <cellStyle name="Currency 3 3" xfId="227"/>
    <cellStyle name="Currency 4" xfId="356"/>
    <cellStyle name="Currency 5" xfId="355"/>
    <cellStyle name="Currency 6" xfId="359"/>
    <cellStyle name="Currency 7" xfId="361"/>
    <cellStyle name="Currency 8" xfId="362"/>
    <cellStyle name="Currency 9" xfId="364"/>
    <cellStyle name="Currency0" xfId="109"/>
    <cellStyle name="Currency0 2" xfId="228"/>
    <cellStyle name="d" xfId="229"/>
    <cellStyle name="d 2" xfId="230"/>
    <cellStyle name="d," xfId="231"/>
    <cellStyle name="d1" xfId="232"/>
    <cellStyle name="d1 2" xfId="233"/>
    <cellStyle name="d1," xfId="234"/>
    <cellStyle name="d2" xfId="235"/>
    <cellStyle name="d2 2" xfId="236"/>
    <cellStyle name="d2," xfId="237"/>
    <cellStyle name="d3" xfId="238"/>
    <cellStyle name="Dash" xfId="239"/>
    <cellStyle name="Date" xfId="110"/>
    <cellStyle name="Date 2" xfId="240"/>
    <cellStyle name="Define$0" xfId="241"/>
    <cellStyle name="Define$1" xfId="242"/>
    <cellStyle name="Define$2" xfId="243"/>
    <cellStyle name="Define0" xfId="244"/>
    <cellStyle name="Define1" xfId="245"/>
    <cellStyle name="Define1x" xfId="246"/>
    <cellStyle name="Define2" xfId="247"/>
    <cellStyle name="Define2x" xfId="248"/>
    <cellStyle name="Dollar" xfId="249"/>
    <cellStyle name="Dollar 2" xfId="250"/>
    <cellStyle name="e" xfId="251"/>
    <cellStyle name="e1" xfId="252"/>
    <cellStyle name="e2" xfId="253"/>
    <cellStyle name="Euro" xfId="254"/>
    <cellStyle name="Euro 2" xfId="255"/>
    <cellStyle name="Explanatory Text" xfId="19" builtinId="53" customBuiltin="1"/>
    <cellStyle name="Explanatory Text 2" xfId="111"/>
    <cellStyle name="Fixed" xfId="112"/>
    <cellStyle name="Fixed 2" xfId="256"/>
    <cellStyle name="g" xfId="257"/>
    <cellStyle name="general" xfId="258"/>
    <cellStyle name="general 2" xfId="259"/>
    <cellStyle name="Good" xfId="10" builtinId="26" customBuiltin="1"/>
    <cellStyle name="Good 2" xfId="113"/>
    <cellStyle name="Green" xfId="260"/>
    <cellStyle name="grey" xfId="261"/>
    <cellStyle name="Heading" xfId="262"/>
    <cellStyle name="Heading 1" xfId="6" builtinId="16" customBuiltin="1"/>
    <cellStyle name="Heading 1 2" xfId="114"/>
    <cellStyle name="Heading 2" xfId="7" builtinId="17" customBuiltin="1"/>
    <cellStyle name="Heading 2 2" xfId="115"/>
    <cellStyle name="Heading 3" xfId="8" builtinId="18" customBuiltin="1"/>
    <cellStyle name="Heading 3 2" xfId="116"/>
    <cellStyle name="Heading 4" xfId="9" builtinId="19" customBuiltin="1"/>
    <cellStyle name="Heading 4 2" xfId="117"/>
    <cellStyle name="Heading No Underline" xfId="263"/>
    <cellStyle name="Heading With Underline" xfId="264"/>
    <cellStyle name="Heading1" xfId="118"/>
    <cellStyle name="Heading2" xfId="119"/>
    <cellStyle name="Headline" xfId="265"/>
    <cellStyle name="Highlight" xfId="266"/>
    <cellStyle name="in" xfId="267"/>
    <cellStyle name="Input" xfId="13" builtinId="20" customBuiltin="1"/>
    <cellStyle name="Input 2" xfId="120"/>
    <cellStyle name="Input$0" xfId="268"/>
    <cellStyle name="Input$1" xfId="269"/>
    <cellStyle name="Input$2" xfId="270"/>
    <cellStyle name="Input0" xfId="271"/>
    <cellStyle name="Input1" xfId="272"/>
    <cellStyle name="Input1x" xfId="273"/>
    <cellStyle name="Input2" xfId="274"/>
    <cellStyle name="Input2x" xfId="275"/>
    <cellStyle name="lborder" xfId="276"/>
    <cellStyle name="Linked Cell" xfId="16" builtinId="24" customBuiltin="1"/>
    <cellStyle name="Linked Cell 2" xfId="121"/>
    <cellStyle name="m" xfId="277"/>
    <cellStyle name="m 2" xfId="278"/>
    <cellStyle name="m1" xfId="279"/>
    <cellStyle name="m1 2" xfId="280"/>
    <cellStyle name="m2" xfId="281"/>
    <cellStyle name="m2 2" xfId="282"/>
    <cellStyle name="m3" xfId="283"/>
    <cellStyle name="m3 2" xfId="284"/>
    <cellStyle name="Negative" xfId="285"/>
    <cellStyle name="Negative 2" xfId="286"/>
    <cellStyle name="Neutral" xfId="12" builtinId="28" customBuiltin="1"/>
    <cellStyle name="Neutral 2" xfId="122"/>
    <cellStyle name="Normal" xfId="0" builtinId="0"/>
    <cellStyle name="Normal 10" xfId="360"/>
    <cellStyle name="Normal 11" xfId="363"/>
    <cellStyle name="Normal 12" xfId="370"/>
    <cellStyle name="Normal 13" xfId="384"/>
    <cellStyle name="Normal 14" xfId="385"/>
    <cellStyle name="Normal 15" xfId="413"/>
    <cellStyle name="Normal 2" xfId="48"/>
    <cellStyle name="Normal 2 2" xfId="287"/>
    <cellStyle name="Normal 2 3" xfId="403"/>
    <cellStyle name="Normal 3" xfId="123"/>
    <cellStyle name="Normal 3 2" xfId="288"/>
    <cellStyle name="Normal 3 2 2" xfId="289"/>
    <cellStyle name="Normal 3 3" xfId="402"/>
    <cellStyle name="Normal 3 4" xfId="449"/>
    <cellStyle name="Normal 3_ITC-Great Plains Heintz 6-24-08a" xfId="290"/>
    <cellStyle name="Normal 4" xfId="174"/>
    <cellStyle name="Normal 4 2" xfId="291"/>
    <cellStyle name="Normal 4 2 2" xfId="292"/>
    <cellStyle name="Normal 4 3" xfId="293"/>
    <cellStyle name="Normal 4 4" xfId="177"/>
    <cellStyle name="Normal 4 4 2" xfId="368"/>
    <cellStyle name="Normal 4_ITC-Great Plains Heintz 6-24-08a" xfId="294"/>
    <cellStyle name="Normal 5" xfId="180"/>
    <cellStyle name="Normal 6" xfId="357"/>
    <cellStyle name="Normal 6 2" xfId="173"/>
    <cellStyle name="Normal 7" xfId="176"/>
    <cellStyle name="Normal 7 2" xfId="172"/>
    <cellStyle name="Normal 8" xfId="181"/>
    <cellStyle name="Normal 8 2" xfId="295"/>
    <cellStyle name="Normal 8 3" xfId="296"/>
    <cellStyle name="Normal 9" xfId="358"/>
    <cellStyle name="Normal_Attachment O &amp; GG Final 11_11_09" xfId="1"/>
    <cellStyle name="Note 2" xfId="124"/>
    <cellStyle name="Note 3" xfId="175"/>
    <cellStyle name="Note 4" xfId="383"/>
    <cellStyle name="Note 5" xfId="399"/>
    <cellStyle name="Note 6" xfId="442"/>
    <cellStyle name="Output" xfId="14" builtinId="21" customBuiltin="1"/>
    <cellStyle name="Output 2" xfId="125"/>
    <cellStyle name="p" xfId="297"/>
    <cellStyle name="p 2" xfId="298"/>
    <cellStyle name="p1" xfId="299"/>
    <cellStyle name="p2" xfId="300"/>
    <cellStyle name="p3" xfId="301"/>
    <cellStyle name="p3 2" xfId="302"/>
    <cellStyle name="Percent" xfId="4" builtinId="5"/>
    <cellStyle name="Percent %" xfId="303"/>
    <cellStyle name="Percent % Long Underline" xfId="304"/>
    <cellStyle name="Percent (0)" xfId="305"/>
    <cellStyle name="Percent (0) 2" xfId="306"/>
    <cellStyle name="Percent 0.0%" xfId="307"/>
    <cellStyle name="Percent 0.0% Long Underline" xfId="308"/>
    <cellStyle name="Percent 0.00%" xfId="309"/>
    <cellStyle name="Percent 0.00% Long Underline" xfId="310"/>
    <cellStyle name="Percent 0.000%" xfId="311"/>
    <cellStyle name="Percent 0.000% Long Underline" xfId="312"/>
    <cellStyle name="Percent 0.0000%" xfId="313"/>
    <cellStyle name="Percent 0.0000% Long Underline" xfId="314"/>
    <cellStyle name="Percent 10" xfId="417"/>
    <cellStyle name="Percent 11" xfId="419"/>
    <cellStyle name="Percent 12" xfId="421"/>
    <cellStyle name="Percent 13" xfId="423"/>
    <cellStyle name="Percent 14" xfId="425"/>
    <cellStyle name="Percent 15" xfId="427"/>
    <cellStyle name="Percent 16" xfId="429"/>
    <cellStyle name="Percent 17" xfId="450"/>
    <cellStyle name="Percent 18" xfId="447"/>
    <cellStyle name="Percent 19" xfId="453"/>
    <cellStyle name="Percent 2" xfId="46"/>
    <cellStyle name="Percent 2 2" xfId="315"/>
    <cellStyle name="Percent 2 2 2" xfId="316"/>
    <cellStyle name="Percent 2 3" xfId="317"/>
    <cellStyle name="Percent 2 4" xfId="400"/>
    <cellStyle name="Percent 3" xfId="318"/>
    <cellStyle name="Percent 3 2" xfId="319"/>
    <cellStyle name="Percent 3 2 2" xfId="320"/>
    <cellStyle name="Percent 3 3" xfId="321"/>
    <cellStyle name="Percent 4" xfId="171"/>
    <cellStyle name="Percent 5" xfId="169"/>
    <cellStyle name="Percent 6" xfId="401"/>
    <cellStyle name="Percent 7" xfId="409"/>
    <cellStyle name="Percent 8" xfId="412"/>
    <cellStyle name="Percent 9" xfId="415"/>
    <cellStyle name="Percent0" xfId="322"/>
    <cellStyle name="Percent1" xfId="323"/>
    <cellStyle name="Percent2" xfId="324"/>
    <cellStyle name="PSChar" xfId="126"/>
    <cellStyle name="PSDate" xfId="127"/>
    <cellStyle name="PSDec" xfId="128"/>
    <cellStyle name="PSdesc" xfId="129"/>
    <cellStyle name="PSdesc 2" xfId="325"/>
    <cellStyle name="PSHeading" xfId="130"/>
    <cellStyle name="PSInt" xfId="131"/>
    <cellStyle name="PSSpacer" xfId="132"/>
    <cellStyle name="PStest" xfId="133"/>
    <cellStyle name="PStest 2" xfId="326"/>
    <cellStyle name="R00A" xfId="134"/>
    <cellStyle name="R00B" xfId="135"/>
    <cellStyle name="R00L" xfId="136"/>
    <cellStyle name="R01A" xfId="137"/>
    <cellStyle name="R01B" xfId="138"/>
    <cellStyle name="R01H" xfId="139"/>
    <cellStyle name="R01L" xfId="140"/>
    <cellStyle name="R02A" xfId="141"/>
    <cellStyle name="R02B" xfId="142"/>
    <cellStyle name="R02B 2" xfId="327"/>
    <cellStyle name="R02H" xfId="143"/>
    <cellStyle name="R02L" xfId="144"/>
    <cellStyle name="R03A" xfId="145"/>
    <cellStyle name="R03B" xfId="146"/>
    <cellStyle name="R03B 2" xfId="328"/>
    <cellStyle name="R03H" xfId="147"/>
    <cellStyle name="R03L" xfId="148"/>
    <cellStyle name="R04A" xfId="149"/>
    <cellStyle name="R04B" xfId="150"/>
    <cellStyle name="R04B 2" xfId="329"/>
    <cellStyle name="R04H" xfId="151"/>
    <cellStyle name="R04L" xfId="152"/>
    <cellStyle name="R05A" xfId="153"/>
    <cellStyle name="R05B" xfId="154"/>
    <cellStyle name="R05B 2" xfId="330"/>
    <cellStyle name="R05H" xfId="155"/>
    <cellStyle name="R05L" xfId="156"/>
    <cellStyle name="R05L 2" xfId="331"/>
    <cellStyle name="R06A" xfId="157"/>
    <cellStyle name="R06B" xfId="158"/>
    <cellStyle name="R06B 2" xfId="332"/>
    <cellStyle name="R06H" xfId="159"/>
    <cellStyle name="R06L" xfId="160"/>
    <cellStyle name="R07A" xfId="161"/>
    <cellStyle name="R07B" xfId="162"/>
    <cellStyle name="R07B 2" xfId="333"/>
    <cellStyle name="R07H" xfId="163"/>
    <cellStyle name="R07L" xfId="164"/>
    <cellStyle name="rborder" xfId="334"/>
    <cellStyle name="red" xfId="335"/>
    <cellStyle name="s_HardInc " xfId="336"/>
    <cellStyle name="TableHeading" xfId="337"/>
    <cellStyle name="tb" xfId="338"/>
    <cellStyle name="Tickmark" xfId="339"/>
    <cellStyle name="Title" xfId="5" builtinId="15" customBuiltin="1"/>
    <cellStyle name="Title 2" xfId="165"/>
    <cellStyle name="top" xfId="340"/>
    <cellStyle name="top 2" xfId="341"/>
    <cellStyle name="Total" xfId="20" builtinId="25" customBuiltin="1"/>
    <cellStyle name="Total 2" xfId="166"/>
    <cellStyle name="w" xfId="342"/>
    <cellStyle name="Warning Text" xfId="18" builtinId="11" customBuiltin="1"/>
    <cellStyle name="Warning Text 2" xfId="167"/>
    <cellStyle name="XComma" xfId="343"/>
    <cellStyle name="XComma 0.0" xfId="344"/>
    <cellStyle name="XComma 0.00" xfId="345"/>
    <cellStyle name="XComma 0.000" xfId="346"/>
    <cellStyle name="XCurrency" xfId="347"/>
    <cellStyle name="XCurrency 0.0" xfId="348"/>
    <cellStyle name="XCurrency 0.00" xfId="349"/>
    <cellStyle name="XCurrency 0.000" xfId="350"/>
    <cellStyle name="yra" xfId="351"/>
    <cellStyle name="yrActual" xfId="352"/>
    <cellStyle name="yre" xfId="353"/>
    <cellStyle name="yrExpect" xfId="3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19</xdr:col>
      <xdr:colOff>442496</xdr:colOff>
      <xdr:row>54</xdr:row>
      <xdr:rowOff>36882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19125"/>
          <a:ext cx="16044446" cy="9752382"/>
        </a:xfrm>
        <a:prstGeom prst="rect">
          <a:avLst/>
        </a:prstGeom>
      </xdr:spPr>
    </xdr:pic>
    <xdr:clientData/>
  </xdr:twoCellAnchor>
  <xdr:twoCellAnchor editAs="oneCell">
    <xdr:from>
      <xdr:col>0</xdr:col>
      <xdr:colOff>0</xdr:colOff>
      <xdr:row>55</xdr:row>
      <xdr:rowOff>0</xdr:rowOff>
    </xdr:from>
    <xdr:to>
      <xdr:col>19</xdr:col>
      <xdr:colOff>442496</xdr:colOff>
      <xdr:row>106</xdr:row>
      <xdr:rowOff>36882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0525125"/>
          <a:ext cx="16044446" cy="9752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mission%20Rates%20and%20Revenue/Attachment%20O/2012%20Filing/ATXI%20true%20up%20for%202012%20actuals/For%202012%20true%20up%20filing/Attach%20MM%20True-up%20ER13-263%20-%20ATXI%202012%20to%20MISO%20062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mission%20Rates%20and%20Revenue/Attachment%20O/2012%20Filing/ATXI%20true%20up%20for%202012%20actuals/For%202012%20true%20up%20filing/Attach%20O%20-%20ATXI%20ER12-749%202012%20true%20u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fs/GOB/EnergySupplyServ/Transmission%20Rates%20and%20Revenue/Attachment%20O/2012%20Filing/ATXI%20true%20up%20for%202012%20actuals/For%202012%20true%20up%20filing/ATXI%202012%20Attach%20O%20True%20Up%20July%201%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6a support"/>
      <sheetName val="26a data"/>
    </sheetNames>
    <sheetDataSet>
      <sheetData sheetId="0"/>
      <sheetData sheetId="1">
        <row r="11">
          <cell r="D11">
            <v>1068807.5266666666</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XI"/>
      <sheetName val="Attach MM ER12-312"/>
      <sheetName val="Rate Base"/>
      <sheetName val="Revenues &amp; Expenses"/>
      <sheetName val="Capitalization"/>
      <sheetName val="MVPs"/>
      <sheetName val="2012 load true up"/>
      <sheetName val="load"/>
      <sheetName val="interest calc on TU"/>
      <sheetName val="interest rate support"/>
    </sheetNames>
    <sheetDataSet>
      <sheetData sheetId="0"/>
      <sheetData sheetId="1">
        <row r="74">
          <cell r="Q74">
            <v>152073.84338940345</v>
          </cell>
        </row>
        <row r="75">
          <cell r="Q75">
            <v>39852.825579240583</v>
          </cell>
        </row>
        <row r="76">
          <cell r="Q76">
            <v>452844.95001429139</v>
          </cell>
        </row>
        <row r="77">
          <cell r="Q77">
            <v>102238.93377524678</v>
          </cell>
        </row>
        <row r="78">
          <cell r="Q78">
            <v>26876.468651446736</v>
          </cell>
        </row>
        <row r="79">
          <cell r="Q79">
            <v>0</v>
          </cell>
        </row>
        <row r="80">
          <cell r="Q80">
            <v>22.345956935223537</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XI"/>
      <sheetName val="Attach MM ER12-312"/>
      <sheetName val="Rate Base"/>
      <sheetName val="Revenues &amp; Expenses"/>
      <sheetName val="Capitalization"/>
      <sheetName val="MVPs"/>
      <sheetName val="Load True Up"/>
      <sheetName val="AMIL Load"/>
      <sheetName val="Interest Calc"/>
      <sheetName val="Interest Rates"/>
    </sheetNames>
    <sheetDataSet>
      <sheetData sheetId="0">
        <row r="23">
          <cell r="J23">
            <v>2622454.4335543895</v>
          </cell>
        </row>
        <row r="24">
          <cell r="J24">
            <v>30874.036800000002</v>
          </cell>
        </row>
      </sheetData>
      <sheetData sheetId="1"/>
      <sheetData sheetId="2"/>
      <sheetData sheetId="3"/>
      <sheetData sheetId="4"/>
      <sheetData sheetId="5"/>
      <sheetData sheetId="6"/>
      <sheetData sheetId="7">
        <row r="20">
          <cell r="E20">
            <v>7197.583333333333</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tabSelected="1" zoomScale="80" zoomScaleNormal="80" workbookViewId="0"/>
  </sheetViews>
  <sheetFormatPr defaultRowHeight="15.75"/>
  <cols>
    <col min="1" max="1" width="6" style="1" customWidth="1"/>
    <col min="2" max="2" width="1.44140625" style="1" customWidth="1"/>
    <col min="3" max="3" width="28.6640625" style="1" customWidth="1"/>
    <col min="4" max="4" width="30.33203125" style="1" customWidth="1"/>
    <col min="5" max="5" width="13.88671875" style="1" customWidth="1"/>
    <col min="6" max="6" width="6.77734375" style="1" customWidth="1"/>
    <col min="7" max="7" width="14.88671875" style="1" customWidth="1"/>
    <col min="8" max="8" width="10.6640625" style="1" customWidth="1"/>
    <col min="9" max="9" width="5.77734375" style="1" customWidth="1"/>
    <col min="10" max="10" width="12.77734375" style="1" customWidth="1"/>
    <col min="11" max="11" width="3.44140625" style="1" customWidth="1"/>
    <col min="12" max="12" width="22.21875" style="8" customWidth="1"/>
    <col min="13" max="16384" width="8.88671875" style="1"/>
  </cols>
  <sheetData>
    <row r="1" spans="1:12">
      <c r="C1" s="2"/>
      <c r="D1" s="2"/>
      <c r="E1" s="3"/>
      <c r="F1" s="2"/>
      <c r="G1" s="2"/>
      <c r="H1" s="2"/>
      <c r="I1" s="4"/>
      <c r="J1" s="4"/>
      <c r="L1" s="101" t="s">
        <v>188</v>
      </c>
    </row>
    <row r="2" spans="1:12">
      <c r="C2" s="2"/>
      <c r="D2" s="2"/>
      <c r="E2" s="3"/>
      <c r="F2" s="2"/>
      <c r="G2" s="2"/>
      <c r="H2" s="2"/>
      <c r="I2" s="4"/>
      <c r="J2" s="4"/>
      <c r="K2" s="7"/>
      <c r="L2" s="29" t="s">
        <v>314</v>
      </c>
    </row>
    <row r="3" spans="1:12">
      <c r="C3" s="2"/>
      <c r="D3" s="2"/>
      <c r="E3" s="3"/>
      <c r="F3" s="2"/>
      <c r="G3" s="2"/>
      <c r="H3" s="2"/>
      <c r="I3" s="4"/>
      <c r="J3" s="4"/>
      <c r="K3" s="7"/>
      <c r="L3" s="10"/>
    </row>
    <row r="4" spans="1:12">
      <c r="C4" s="2" t="s">
        <v>0</v>
      </c>
      <c r="D4" s="2"/>
      <c r="E4" s="3" t="s">
        <v>1</v>
      </c>
      <c r="F4" s="2"/>
      <c r="G4" s="2"/>
      <c r="H4" s="2"/>
      <c r="I4" s="4"/>
      <c r="J4" s="4"/>
      <c r="K4" s="7"/>
      <c r="L4" s="268" t="s">
        <v>548</v>
      </c>
    </row>
    <row r="5" spans="1:12">
      <c r="C5" s="2"/>
      <c r="D5" s="11" t="s">
        <v>2</v>
      </c>
      <c r="E5" s="11" t="s">
        <v>3</v>
      </c>
      <c r="F5" s="11"/>
      <c r="G5" s="11"/>
      <c r="H5" s="11"/>
      <c r="I5" s="4"/>
      <c r="J5" s="4"/>
      <c r="K5" s="7"/>
      <c r="L5" s="10"/>
    </row>
    <row r="6" spans="1:12">
      <c r="C6" s="7"/>
      <c r="D6" s="7"/>
      <c r="E6" s="7"/>
      <c r="F6" s="7"/>
      <c r="G6" s="7"/>
      <c r="H6" s="7"/>
      <c r="I6" s="7"/>
      <c r="J6" s="7"/>
      <c r="K6" s="7"/>
      <c r="L6" s="10"/>
    </row>
    <row r="7" spans="1:12">
      <c r="A7" s="5"/>
      <c r="C7" s="7"/>
      <c r="D7" s="133"/>
      <c r="E7" s="136" t="s">
        <v>324</v>
      </c>
      <c r="F7" s="133"/>
      <c r="G7" s="133"/>
      <c r="H7" s="133"/>
      <c r="I7" s="133"/>
      <c r="J7" s="7"/>
      <c r="K7" s="7"/>
      <c r="L7" s="10"/>
    </row>
    <row r="8" spans="1:12">
      <c r="A8" s="5"/>
      <c r="C8" s="7"/>
      <c r="D8" s="7"/>
      <c r="E8" s="12"/>
      <c r="F8" s="7"/>
      <c r="G8" s="7"/>
      <c r="H8" s="7"/>
      <c r="I8" s="7"/>
      <c r="J8" s="7"/>
      <c r="K8" s="7"/>
      <c r="L8" s="10"/>
    </row>
    <row r="9" spans="1:12">
      <c r="A9" s="5" t="s">
        <v>4</v>
      </c>
      <c r="C9" s="7"/>
      <c r="D9" s="7"/>
      <c r="E9" s="12"/>
      <c r="F9" s="7"/>
      <c r="G9" s="7"/>
      <c r="H9" s="7"/>
      <c r="I9" s="7"/>
      <c r="J9" s="5" t="s">
        <v>5</v>
      </c>
      <c r="K9" s="7"/>
      <c r="L9" s="10"/>
    </row>
    <row r="10" spans="1:12" ht="16.5" thickBot="1">
      <c r="A10" s="102" t="s">
        <v>6</v>
      </c>
      <c r="C10" s="7"/>
      <c r="D10" s="7"/>
      <c r="E10" s="7"/>
      <c r="F10" s="7"/>
      <c r="G10" s="7"/>
      <c r="H10" s="7"/>
      <c r="I10" s="7"/>
      <c r="J10" s="102" t="s">
        <v>7</v>
      </c>
      <c r="K10" s="7"/>
      <c r="L10" s="10"/>
    </row>
    <row r="11" spans="1:12">
      <c r="A11" s="5">
        <v>1</v>
      </c>
      <c r="C11" s="7" t="s">
        <v>226</v>
      </c>
      <c r="D11" s="7"/>
      <c r="E11" s="13"/>
      <c r="F11" s="7"/>
      <c r="G11" s="7"/>
      <c r="H11" s="7"/>
      <c r="I11" s="7"/>
      <c r="J11" s="103">
        <f>+J215</f>
        <v>8574495.9570409432</v>
      </c>
      <c r="K11" s="7"/>
      <c r="L11" s="10"/>
    </row>
    <row r="12" spans="1:12">
      <c r="A12" s="5"/>
      <c r="C12" s="7"/>
      <c r="D12" s="7"/>
      <c r="E12" s="7"/>
      <c r="F12" s="7"/>
      <c r="G12" s="7"/>
      <c r="H12" s="7"/>
      <c r="I12" s="7"/>
      <c r="J12" s="13"/>
      <c r="K12" s="7"/>
      <c r="L12" s="10"/>
    </row>
    <row r="13" spans="1:12">
      <c r="A13" s="5"/>
      <c r="C13" s="7"/>
      <c r="D13" s="7"/>
      <c r="E13" s="7"/>
      <c r="F13" s="7"/>
      <c r="G13" s="7"/>
      <c r="H13" s="7"/>
      <c r="I13" s="7"/>
      <c r="J13" s="13"/>
      <c r="K13" s="7"/>
      <c r="L13" s="10"/>
    </row>
    <row r="14" spans="1:12" ht="16.5" thickBot="1">
      <c r="A14" s="5" t="s">
        <v>2</v>
      </c>
      <c r="C14" s="6" t="s">
        <v>8</v>
      </c>
      <c r="D14" s="14" t="s">
        <v>185</v>
      </c>
      <c r="E14" s="102" t="s">
        <v>9</v>
      </c>
      <c r="F14" s="11"/>
      <c r="G14" s="104" t="s">
        <v>10</v>
      </c>
      <c r="H14" s="104"/>
      <c r="I14" s="7"/>
      <c r="J14" s="13"/>
      <c r="K14" s="7"/>
      <c r="L14" s="10"/>
    </row>
    <row r="15" spans="1:12">
      <c r="A15" s="5">
        <v>2</v>
      </c>
      <c r="C15" s="6" t="s">
        <v>12</v>
      </c>
      <c r="D15" s="11" t="s">
        <v>154</v>
      </c>
      <c r="E15" s="11">
        <f>J294</f>
        <v>0</v>
      </c>
      <c r="F15" s="11"/>
      <c r="G15" s="11" t="s">
        <v>11</v>
      </c>
      <c r="H15" s="15">
        <f>J233</f>
        <v>1</v>
      </c>
      <c r="I15" s="11"/>
      <c r="J15" s="11">
        <f>+H15*E15</f>
        <v>0</v>
      </c>
      <c r="K15" s="7"/>
      <c r="L15" s="10"/>
    </row>
    <row r="16" spans="1:12">
      <c r="A16" s="5">
        <v>3</v>
      </c>
      <c r="C16" s="6" t="s">
        <v>204</v>
      </c>
      <c r="D16" s="11" t="s">
        <v>155</v>
      </c>
      <c r="E16" s="11">
        <f>J301</f>
        <v>502000</v>
      </c>
      <c r="F16" s="11"/>
      <c r="G16" s="11" t="str">
        <f t="shared" ref="G16:H18" si="0">+G15</f>
        <v>TP</v>
      </c>
      <c r="H16" s="15">
        <f t="shared" si="0"/>
        <v>1</v>
      </c>
      <c r="I16" s="11"/>
      <c r="J16" s="11">
        <f>+H16*E16</f>
        <v>502000</v>
      </c>
      <c r="K16" s="7"/>
      <c r="L16" s="10"/>
    </row>
    <row r="17" spans="1:12">
      <c r="A17" s="5">
        <v>4</v>
      </c>
      <c r="C17" s="16" t="s">
        <v>144</v>
      </c>
      <c r="D17" s="11"/>
      <c r="E17" s="17">
        <v>0</v>
      </c>
      <c r="F17" s="11"/>
      <c r="G17" s="11" t="str">
        <f t="shared" si="0"/>
        <v>TP</v>
      </c>
      <c r="H17" s="15">
        <f t="shared" si="0"/>
        <v>1</v>
      </c>
      <c r="I17" s="11"/>
      <c r="J17" s="11">
        <f>+H17*E17</f>
        <v>0</v>
      </c>
      <c r="K17" s="7"/>
      <c r="L17" s="10"/>
    </row>
    <row r="18" spans="1:12" ht="16.5" thickBot="1">
      <c r="A18" s="5">
        <v>5</v>
      </c>
      <c r="C18" s="16" t="s">
        <v>145</v>
      </c>
      <c r="D18" s="11"/>
      <c r="E18" s="17">
        <v>0</v>
      </c>
      <c r="F18" s="11"/>
      <c r="G18" s="11" t="str">
        <f t="shared" si="0"/>
        <v>TP</v>
      </c>
      <c r="H18" s="15">
        <f t="shared" si="0"/>
        <v>1</v>
      </c>
      <c r="I18" s="11"/>
      <c r="J18" s="105">
        <f>+H18*E18</f>
        <v>0</v>
      </c>
      <c r="K18" s="7"/>
      <c r="L18" s="10"/>
    </row>
    <row r="19" spans="1:12">
      <c r="A19" s="5">
        <v>6</v>
      </c>
      <c r="C19" s="6" t="s">
        <v>136</v>
      </c>
      <c r="D19" s="7"/>
      <c r="E19" s="18" t="s">
        <v>2</v>
      </c>
      <c r="F19" s="11"/>
      <c r="G19" s="11"/>
      <c r="H19" s="15"/>
      <c r="I19" s="11"/>
      <c r="J19" s="11">
        <f>SUM(J15:J18)</f>
        <v>502000</v>
      </c>
      <c r="K19" s="7"/>
      <c r="L19" s="425"/>
    </row>
    <row r="20" spans="1:12">
      <c r="A20" s="5"/>
      <c r="C20" s="6"/>
      <c r="D20" s="7"/>
      <c r="E20" s="18"/>
      <c r="F20" s="11"/>
      <c r="G20" s="11"/>
      <c r="H20" s="15"/>
      <c r="I20" s="11"/>
      <c r="J20" s="11"/>
      <c r="K20" s="7"/>
      <c r="L20" s="10"/>
    </row>
    <row r="21" spans="1:12">
      <c r="A21" s="5" t="s">
        <v>325</v>
      </c>
      <c r="C21" s="6" t="s">
        <v>326</v>
      </c>
      <c r="D21" s="7"/>
      <c r="E21" s="18"/>
      <c r="F21" s="11"/>
      <c r="G21" s="11"/>
      <c r="H21" s="15"/>
      <c r="I21" s="11"/>
      <c r="J21" s="153">
        <v>9892717.1352915242</v>
      </c>
      <c r="K21" s="7"/>
      <c r="L21" s="10"/>
    </row>
    <row r="22" spans="1:12" ht="16.5" thickBot="1">
      <c r="A22" s="5" t="s">
        <v>327</v>
      </c>
      <c r="C22" s="6" t="s">
        <v>397</v>
      </c>
      <c r="D22" s="7" t="s">
        <v>334</v>
      </c>
      <c r="E22" s="18"/>
      <c r="F22" s="11"/>
      <c r="G22" s="11"/>
      <c r="H22" s="15"/>
      <c r="I22" s="11"/>
      <c r="J22" s="154">
        <v>7270262.7017371347</v>
      </c>
      <c r="K22" s="7"/>
      <c r="L22" s="10"/>
    </row>
    <row r="23" spans="1:12">
      <c r="A23" s="5" t="s">
        <v>328</v>
      </c>
      <c r="C23" s="6" t="s">
        <v>329</v>
      </c>
      <c r="D23" s="7" t="s">
        <v>335</v>
      </c>
      <c r="E23" s="18"/>
      <c r="F23" s="11"/>
      <c r="G23" s="11"/>
      <c r="H23" s="15"/>
      <c r="I23" s="11"/>
      <c r="J23" s="153">
        <f>J21-J22</f>
        <v>2622454.4335543895</v>
      </c>
      <c r="K23" s="7"/>
      <c r="L23" s="10"/>
    </row>
    <row r="24" spans="1:12">
      <c r="A24" s="5" t="s">
        <v>330</v>
      </c>
      <c r="C24" s="6" t="s">
        <v>331</v>
      </c>
      <c r="D24" s="7" t="s">
        <v>336</v>
      </c>
      <c r="E24" s="18"/>
      <c r="F24" s="11"/>
      <c r="G24" s="11"/>
      <c r="H24" s="15"/>
      <c r="I24" s="11"/>
      <c r="J24" s="14">
        <f>G377</f>
        <v>30874.036800000002</v>
      </c>
      <c r="K24" s="7"/>
      <c r="L24" s="10"/>
    </row>
    <row r="25" spans="1:12" ht="16.5" thickBot="1">
      <c r="A25" s="5" t="s">
        <v>332</v>
      </c>
      <c r="C25" s="6" t="s">
        <v>333</v>
      </c>
      <c r="D25" s="7"/>
      <c r="E25" s="18"/>
      <c r="F25" s="11"/>
      <c r="G25" s="11"/>
      <c r="H25" s="15"/>
      <c r="I25" s="11"/>
      <c r="J25" s="154">
        <f>'Interest Calc on 2012 True up'!D15</f>
        <v>35469.69</v>
      </c>
      <c r="K25" s="7"/>
      <c r="L25" s="10"/>
    </row>
    <row r="26" spans="1:12">
      <c r="A26" s="5"/>
      <c r="C26" s="6"/>
      <c r="D26" s="7"/>
      <c r="E26" s="18"/>
      <c r="F26" s="11"/>
      <c r="G26" s="11"/>
      <c r="H26" s="15"/>
      <c r="I26" s="11"/>
      <c r="J26" s="14"/>
      <c r="K26" s="7"/>
      <c r="L26" s="10"/>
    </row>
    <row r="27" spans="1:12" ht="16.5" thickBot="1">
      <c r="A27" s="5">
        <v>7</v>
      </c>
      <c r="C27" s="6" t="s">
        <v>13</v>
      </c>
      <c r="D27" s="7" t="s">
        <v>337</v>
      </c>
      <c r="E27" s="18" t="s">
        <v>2</v>
      </c>
      <c r="F27" s="11"/>
      <c r="G27" s="11"/>
      <c r="H27" s="11"/>
      <c r="I27" s="11"/>
      <c r="J27" s="106">
        <f>+J11-J19+J23+J24+J25</f>
        <v>10761294.117395332</v>
      </c>
      <c r="K27" s="7"/>
      <c r="L27" s="10"/>
    </row>
    <row r="28" spans="1:12" ht="16.5" thickTop="1">
      <c r="A28" s="5"/>
      <c r="D28" s="7"/>
      <c r="E28" s="18"/>
      <c r="F28" s="11"/>
      <c r="G28" s="11"/>
      <c r="H28" s="11"/>
      <c r="I28" s="11"/>
      <c r="K28" s="7"/>
      <c r="L28" s="10"/>
    </row>
    <row r="29" spans="1:12">
      <c r="A29" s="5"/>
      <c r="D29" s="11"/>
      <c r="J29" s="11"/>
      <c r="K29" s="7"/>
      <c r="L29" s="10"/>
    </row>
    <row r="30" spans="1:12">
      <c r="A30" s="5"/>
      <c r="C30" s="6" t="s">
        <v>14</v>
      </c>
      <c r="D30" s="7"/>
      <c r="E30" s="13"/>
      <c r="F30" s="7"/>
      <c r="G30" s="7"/>
      <c r="H30" s="7"/>
      <c r="I30" s="7"/>
      <c r="J30" s="13"/>
      <c r="K30" s="7"/>
      <c r="L30" s="10"/>
    </row>
    <row r="31" spans="1:12">
      <c r="A31" s="5">
        <v>8</v>
      </c>
      <c r="C31" s="6" t="s">
        <v>15</v>
      </c>
      <c r="E31" s="13"/>
      <c r="F31" s="7"/>
      <c r="G31" s="7"/>
      <c r="H31" s="19" t="s">
        <v>16</v>
      </c>
      <c r="I31" s="7"/>
      <c r="J31" s="20">
        <v>0</v>
      </c>
      <c r="K31" s="7"/>
      <c r="L31" s="10"/>
    </row>
    <row r="32" spans="1:12">
      <c r="A32" s="5">
        <v>9</v>
      </c>
      <c r="C32" s="6" t="s">
        <v>156</v>
      </c>
      <c r="D32" s="11"/>
      <c r="E32" s="11"/>
      <c r="F32" s="11"/>
      <c r="G32" s="11"/>
      <c r="H32" s="14" t="s">
        <v>17</v>
      </c>
      <c r="I32" s="11"/>
      <c r="J32" s="20">
        <v>0</v>
      </c>
      <c r="K32" s="7"/>
      <c r="L32" s="10"/>
    </row>
    <row r="33" spans="1:12">
      <c r="A33" s="5">
        <v>10</v>
      </c>
      <c r="C33" s="16" t="s">
        <v>157</v>
      </c>
      <c r="D33" s="7"/>
      <c r="E33" s="7"/>
      <c r="F33" s="7"/>
      <c r="H33" s="19" t="s">
        <v>18</v>
      </c>
      <c r="I33" s="7"/>
      <c r="J33" s="20">
        <v>0</v>
      </c>
      <c r="K33" s="7"/>
      <c r="L33" s="10"/>
    </row>
    <row r="34" spans="1:12">
      <c r="A34" s="5">
        <v>11</v>
      </c>
      <c r="C34" s="6" t="s">
        <v>146</v>
      </c>
      <c r="D34" s="7"/>
      <c r="E34" s="7"/>
      <c r="F34" s="7"/>
      <c r="H34" s="19" t="s">
        <v>19</v>
      </c>
      <c r="I34" s="7"/>
      <c r="J34" s="21">
        <v>0</v>
      </c>
      <c r="K34" s="7"/>
      <c r="L34" s="10"/>
    </row>
    <row r="35" spans="1:12">
      <c r="A35" s="5">
        <v>12</v>
      </c>
      <c r="C35" s="16" t="s">
        <v>135</v>
      </c>
      <c r="D35" s="7"/>
      <c r="E35" s="7"/>
      <c r="F35" s="7"/>
      <c r="G35" s="7"/>
      <c r="H35" s="4"/>
      <c r="I35" s="7"/>
      <c r="J35" s="21">
        <v>0</v>
      </c>
      <c r="K35" s="7"/>
      <c r="L35" s="10"/>
    </row>
    <row r="36" spans="1:12">
      <c r="A36" s="5">
        <v>13</v>
      </c>
      <c r="C36" s="16" t="s">
        <v>227</v>
      </c>
      <c r="D36" s="7"/>
      <c r="E36" s="7"/>
      <c r="F36" s="7"/>
      <c r="G36" s="7"/>
      <c r="H36" s="19"/>
      <c r="I36" s="7"/>
      <c r="J36" s="21">
        <v>0</v>
      </c>
      <c r="K36" s="7"/>
      <c r="L36" s="10"/>
    </row>
    <row r="37" spans="1:12" ht="16.5" thickBot="1">
      <c r="A37" s="5">
        <v>14</v>
      </c>
      <c r="C37" s="16" t="s">
        <v>172</v>
      </c>
      <c r="D37" s="7"/>
      <c r="E37" s="7"/>
      <c r="F37" s="7"/>
      <c r="G37" s="7"/>
      <c r="H37" s="4"/>
      <c r="I37" s="7"/>
      <c r="J37" s="107">
        <v>0</v>
      </c>
      <c r="K37" s="7"/>
      <c r="L37" s="10"/>
    </row>
    <row r="38" spans="1:12">
      <c r="A38" s="5">
        <v>15</v>
      </c>
      <c r="C38" s="2" t="s">
        <v>147</v>
      </c>
      <c r="D38" s="7"/>
      <c r="E38" s="7"/>
      <c r="F38" s="7"/>
      <c r="G38" s="7"/>
      <c r="H38" s="7"/>
      <c r="I38" s="7"/>
      <c r="J38" s="13">
        <f>SUM(J31:J37)</f>
        <v>0</v>
      </c>
      <c r="K38" s="7"/>
      <c r="L38" s="10"/>
    </row>
    <row r="39" spans="1:12">
      <c r="A39" s="5"/>
      <c r="C39" s="6"/>
      <c r="D39" s="7"/>
      <c r="E39" s="7"/>
      <c r="F39" s="7"/>
      <c r="G39" s="7"/>
      <c r="H39" s="7"/>
      <c r="I39" s="7"/>
      <c r="J39" s="13"/>
      <c r="K39" s="7"/>
      <c r="L39" s="10"/>
    </row>
    <row r="40" spans="1:12">
      <c r="A40" s="5">
        <v>16</v>
      </c>
      <c r="C40" s="6" t="s">
        <v>20</v>
      </c>
      <c r="D40" s="7" t="s">
        <v>148</v>
      </c>
      <c r="E40" s="22">
        <f>IF(J38&gt;0,J27/J38,0)</f>
        <v>0</v>
      </c>
      <c r="F40" s="7"/>
      <c r="G40" s="7"/>
      <c r="H40" s="7"/>
      <c r="I40" s="7"/>
      <c r="K40" s="7"/>
      <c r="L40" s="10"/>
    </row>
    <row r="41" spans="1:12">
      <c r="A41" s="5">
        <v>17</v>
      </c>
      <c r="C41" s="6" t="s">
        <v>137</v>
      </c>
      <c r="D41" s="7" t="s">
        <v>149</v>
      </c>
      <c r="E41" s="22">
        <f>+E40/12</f>
        <v>0</v>
      </c>
      <c r="F41" s="7"/>
      <c r="G41" s="7"/>
      <c r="H41" s="7"/>
      <c r="I41" s="7"/>
      <c r="K41" s="7"/>
      <c r="L41" s="10"/>
    </row>
    <row r="42" spans="1:12">
      <c r="A42" s="5"/>
      <c r="C42" s="6"/>
      <c r="D42" s="7"/>
      <c r="E42" s="22"/>
      <c r="F42" s="7"/>
      <c r="G42" s="7"/>
      <c r="H42" s="7"/>
      <c r="I42" s="7"/>
      <c r="K42" s="7"/>
      <c r="L42" s="10"/>
    </row>
    <row r="43" spans="1:12">
      <c r="A43" s="5"/>
      <c r="C43" s="6"/>
      <c r="D43" s="7"/>
      <c r="E43" s="23" t="s">
        <v>21</v>
      </c>
      <c r="F43" s="7"/>
      <c r="G43" s="7"/>
      <c r="H43" s="7"/>
      <c r="I43" s="7"/>
      <c r="J43" s="24" t="s">
        <v>22</v>
      </c>
      <c r="K43" s="7"/>
      <c r="L43" s="10"/>
    </row>
    <row r="44" spans="1:12">
      <c r="A44" s="5"/>
      <c r="C44" s="6"/>
      <c r="D44" s="7"/>
      <c r="E44" s="22"/>
      <c r="F44" s="7"/>
      <c r="G44" s="7"/>
      <c r="H44" s="7"/>
      <c r="I44" s="7"/>
      <c r="K44" s="7"/>
      <c r="L44" s="10"/>
    </row>
    <row r="45" spans="1:12">
      <c r="A45" s="5">
        <v>18</v>
      </c>
      <c r="C45" s="6" t="s">
        <v>23</v>
      </c>
      <c r="D45" s="25" t="s">
        <v>150</v>
      </c>
      <c r="E45" s="22">
        <f>+E40/52</f>
        <v>0</v>
      </c>
      <c r="F45" s="7"/>
      <c r="G45" s="7"/>
      <c r="H45" s="7"/>
      <c r="I45" s="7"/>
      <c r="J45" s="26">
        <f>+E40/52</f>
        <v>0</v>
      </c>
      <c r="K45" s="7"/>
      <c r="L45" s="10"/>
    </row>
    <row r="46" spans="1:12">
      <c r="A46" s="5">
        <v>19</v>
      </c>
      <c r="C46" s="6" t="s">
        <v>24</v>
      </c>
      <c r="D46" s="25" t="s">
        <v>223</v>
      </c>
      <c r="E46" s="22">
        <f>+E40/260</f>
        <v>0</v>
      </c>
      <c r="F46" s="7" t="s">
        <v>25</v>
      </c>
      <c r="H46" s="7"/>
      <c r="I46" s="7"/>
      <c r="J46" s="26">
        <f>+E40/365</f>
        <v>0</v>
      </c>
      <c r="K46" s="7"/>
      <c r="L46" s="10"/>
    </row>
    <row r="47" spans="1:12">
      <c r="A47" s="5">
        <v>20</v>
      </c>
      <c r="C47" s="6" t="s">
        <v>26</v>
      </c>
      <c r="D47" s="25" t="s">
        <v>224</v>
      </c>
      <c r="E47" s="22">
        <f>+E40/4160*1000</f>
        <v>0</v>
      </c>
      <c r="F47" s="7" t="s">
        <v>27</v>
      </c>
      <c r="H47" s="7"/>
      <c r="I47" s="7"/>
      <c r="J47" s="26">
        <f>+E40/8760*1000</f>
        <v>0</v>
      </c>
      <c r="K47" s="7"/>
      <c r="L47" s="10" t="s">
        <v>2</v>
      </c>
    </row>
    <row r="48" spans="1:12">
      <c r="A48" s="5"/>
      <c r="C48" s="6"/>
      <c r="D48" s="7" t="s">
        <v>28</v>
      </c>
      <c r="E48" s="7"/>
      <c r="F48" s="7" t="s">
        <v>29</v>
      </c>
      <c r="H48" s="7"/>
      <c r="I48" s="7"/>
      <c r="K48" s="7"/>
      <c r="L48" s="10" t="s">
        <v>2</v>
      </c>
    </row>
    <row r="49" spans="1:12">
      <c r="A49" s="5"/>
      <c r="C49" s="6"/>
      <c r="D49" s="7"/>
      <c r="E49" s="7"/>
      <c r="F49" s="7"/>
      <c r="H49" s="7"/>
      <c r="I49" s="7"/>
      <c r="K49" s="7"/>
      <c r="L49" s="10" t="s">
        <v>2</v>
      </c>
    </row>
    <row r="50" spans="1:12">
      <c r="A50" s="5">
        <v>21</v>
      </c>
      <c r="C50" s="6" t="s">
        <v>228</v>
      </c>
      <c r="D50" s="7" t="s">
        <v>229</v>
      </c>
      <c r="E50" s="27">
        <v>0</v>
      </c>
      <c r="F50" s="28" t="s">
        <v>30</v>
      </c>
      <c r="G50" s="28"/>
      <c r="H50" s="28"/>
      <c r="I50" s="28"/>
      <c r="J50" s="28">
        <f>E50</f>
        <v>0</v>
      </c>
      <c r="K50" s="28" t="s">
        <v>30</v>
      </c>
      <c r="L50" s="10"/>
    </row>
    <row r="51" spans="1:12">
      <c r="A51" s="5">
        <v>22</v>
      </c>
      <c r="C51" s="6"/>
      <c r="D51" s="7"/>
      <c r="E51" s="27">
        <v>0</v>
      </c>
      <c r="F51" s="28" t="s">
        <v>31</v>
      </c>
      <c r="G51" s="28"/>
      <c r="H51" s="28"/>
      <c r="I51" s="28"/>
      <c r="J51" s="28">
        <f>E51</f>
        <v>0</v>
      </c>
      <c r="K51" s="28" t="s">
        <v>31</v>
      </c>
      <c r="L51" s="10"/>
    </row>
    <row r="52" spans="1:12" s="8" customFormat="1">
      <c r="A52" s="94"/>
      <c r="C52" s="46"/>
      <c r="D52" s="10"/>
      <c r="E52" s="95"/>
      <c r="F52" s="95"/>
      <c r="G52" s="95"/>
      <c r="H52" s="95"/>
      <c r="I52" s="95"/>
      <c r="J52" s="95"/>
      <c r="K52" s="95"/>
      <c r="L52" s="10"/>
    </row>
    <row r="53" spans="1:12" s="8" customFormat="1">
      <c r="A53" s="94"/>
      <c r="C53" s="46"/>
      <c r="D53" s="10"/>
      <c r="E53" s="95"/>
      <c r="F53" s="95"/>
      <c r="G53" s="95"/>
      <c r="H53" s="95"/>
      <c r="I53" s="95"/>
      <c r="J53" s="95"/>
      <c r="K53" s="95"/>
      <c r="L53" s="10"/>
    </row>
    <row r="54" spans="1:12" s="8" customFormat="1">
      <c r="A54" s="94"/>
      <c r="C54" s="46"/>
      <c r="D54" s="10"/>
      <c r="E54" s="95"/>
      <c r="F54" s="95"/>
      <c r="G54" s="95"/>
      <c r="H54" s="95"/>
      <c r="I54" s="95"/>
      <c r="J54" s="95"/>
      <c r="K54" s="95"/>
      <c r="L54" s="10"/>
    </row>
    <row r="55" spans="1:12" s="8" customFormat="1">
      <c r="A55" s="94"/>
      <c r="C55" s="46"/>
      <c r="D55" s="10"/>
      <c r="E55" s="95"/>
      <c r="F55" s="95"/>
      <c r="G55" s="95"/>
      <c r="H55" s="95"/>
      <c r="I55" s="95"/>
      <c r="J55" s="95"/>
      <c r="K55" s="95"/>
      <c r="L55" s="10"/>
    </row>
    <row r="56" spans="1:12" s="8" customFormat="1">
      <c r="A56" s="94"/>
      <c r="C56" s="46"/>
      <c r="D56" s="10"/>
      <c r="E56" s="95"/>
      <c r="F56" s="95"/>
      <c r="G56" s="95"/>
      <c r="H56" s="95"/>
      <c r="I56" s="95"/>
      <c r="J56" s="95"/>
      <c r="K56" s="95"/>
      <c r="L56" s="10"/>
    </row>
    <row r="57" spans="1:12" s="8" customFormat="1">
      <c r="A57" s="94"/>
      <c r="C57" s="46"/>
      <c r="D57" s="10"/>
      <c r="E57" s="95"/>
      <c r="F57" s="95"/>
      <c r="G57" s="95"/>
      <c r="H57" s="95"/>
      <c r="I57" s="95"/>
      <c r="J57" s="95"/>
      <c r="K57" s="95"/>
      <c r="L57" s="10"/>
    </row>
    <row r="58" spans="1:12" s="8" customFormat="1">
      <c r="A58" s="94"/>
      <c r="C58" s="46"/>
      <c r="D58" s="10"/>
      <c r="E58" s="95"/>
      <c r="F58" s="95"/>
      <c r="G58" s="95"/>
      <c r="H58" s="95"/>
      <c r="I58" s="95"/>
      <c r="J58" s="95"/>
      <c r="K58" s="95"/>
      <c r="L58" s="10"/>
    </row>
    <row r="59" spans="1:12" s="8" customFormat="1">
      <c r="A59" s="94"/>
      <c r="C59" s="46"/>
      <c r="D59" s="10"/>
      <c r="E59" s="95"/>
      <c r="F59" s="95"/>
      <c r="G59" s="95"/>
      <c r="H59" s="95"/>
      <c r="I59" s="95"/>
      <c r="J59" s="95"/>
      <c r="K59" s="95"/>
      <c r="L59" s="10"/>
    </row>
    <row r="60" spans="1:12" s="8" customFormat="1">
      <c r="A60" s="94"/>
      <c r="C60" s="46"/>
      <c r="D60" s="10"/>
      <c r="E60" s="95"/>
      <c r="F60" s="95"/>
      <c r="G60" s="95"/>
      <c r="H60" s="95"/>
      <c r="I60" s="95"/>
      <c r="J60" s="95"/>
      <c r="K60" s="95"/>
      <c r="L60" s="10"/>
    </row>
    <row r="61" spans="1:12" s="8" customFormat="1">
      <c r="A61" s="94"/>
      <c r="C61" s="46"/>
      <c r="D61" s="10"/>
      <c r="E61" s="95"/>
      <c r="F61" s="95"/>
      <c r="G61" s="95"/>
      <c r="H61" s="95"/>
      <c r="I61" s="95"/>
      <c r="J61" s="95"/>
      <c r="K61" s="95"/>
      <c r="L61" s="10"/>
    </row>
    <row r="62" spans="1:12" s="8" customFormat="1">
      <c r="A62" s="94"/>
      <c r="C62" s="46"/>
      <c r="D62" s="10"/>
      <c r="E62" s="95"/>
      <c r="F62" s="95"/>
      <c r="G62" s="95"/>
      <c r="H62" s="95"/>
      <c r="I62" s="95"/>
      <c r="J62" s="95"/>
      <c r="K62" s="95"/>
      <c r="L62" s="10"/>
    </row>
    <row r="63" spans="1:12" s="8" customFormat="1">
      <c r="A63" s="94"/>
      <c r="C63" s="46"/>
      <c r="D63" s="10"/>
      <c r="E63" s="95"/>
      <c r="F63" s="95"/>
      <c r="G63" s="95"/>
      <c r="H63" s="95"/>
      <c r="I63" s="95"/>
      <c r="J63" s="95"/>
      <c r="K63" s="95"/>
      <c r="L63" s="10"/>
    </row>
    <row r="64" spans="1:12" s="8" customFormat="1">
      <c r="A64" s="94"/>
      <c r="C64" s="46"/>
      <c r="D64" s="10"/>
      <c r="E64" s="95"/>
      <c r="F64" s="95"/>
      <c r="G64" s="95"/>
      <c r="H64" s="95"/>
      <c r="I64" s="95"/>
      <c r="J64" s="95"/>
      <c r="K64" s="95"/>
      <c r="L64" s="10"/>
    </row>
    <row r="65" spans="1:12" s="8" customFormat="1">
      <c r="A65" s="94"/>
      <c r="C65" s="46"/>
      <c r="D65" s="10"/>
      <c r="E65" s="95"/>
      <c r="F65" s="95"/>
      <c r="G65" s="95"/>
      <c r="H65" s="95"/>
      <c r="I65" s="95"/>
      <c r="J65" s="95"/>
      <c r="K65" s="95"/>
      <c r="L65" s="10"/>
    </row>
    <row r="66" spans="1:12" s="8" customFormat="1">
      <c r="A66" s="94"/>
      <c r="C66" s="46"/>
      <c r="D66" s="10"/>
      <c r="E66" s="95"/>
      <c r="F66" s="95"/>
      <c r="G66" s="95"/>
      <c r="H66" s="95"/>
      <c r="I66" s="95"/>
      <c r="J66" s="95"/>
      <c r="K66" s="95"/>
      <c r="L66" s="10"/>
    </row>
    <row r="67" spans="1:12" s="8" customFormat="1">
      <c r="A67" s="94"/>
      <c r="C67" s="46"/>
      <c r="D67" s="10"/>
      <c r="E67" s="95"/>
      <c r="F67" s="95"/>
      <c r="G67" s="95"/>
      <c r="H67" s="95"/>
      <c r="I67" s="95"/>
      <c r="J67" s="95"/>
      <c r="K67" s="95"/>
      <c r="L67" s="10"/>
    </row>
    <row r="68" spans="1:12" s="8" customFormat="1">
      <c r="A68" s="94"/>
      <c r="C68" s="46"/>
      <c r="D68" s="10"/>
      <c r="E68" s="95"/>
      <c r="F68" s="95"/>
      <c r="G68" s="95"/>
      <c r="H68" s="95"/>
      <c r="I68" s="95"/>
      <c r="J68" s="95"/>
      <c r="K68" s="95"/>
      <c r="L68" s="10"/>
    </row>
    <row r="69" spans="1:12" s="8" customFormat="1">
      <c r="A69" s="94"/>
      <c r="C69" s="46"/>
      <c r="D69" s="10"/>
      <c r="E69" s="95"/>
      <c r="F69" s="95"/>
      <c r="G69" s="95"/>
      <c r="H69" s="95"/>
      <c r="I69" s="95"/>
      <c r="J69" s="95"/>
      <c r="K69" s="95"/>
      <c r="L69" s="10"/>
    </row>
    <row r="70" spans="1:12">
      <c r="C70" s="2"/>
      <c r="D70" s="2"/>
      <c r="E70" s="3"/>
      <c r="F70" s="2"/>
      <c r="G70" s="2"/>
      <c r="H70" s="2"/>
      <c r="I70" s="4"/>
      <c r="J70" s="4"/>
      <c r="L70" s="101" t="s">
        <v>188</v>
      </c>
    </row>
    <row r="71" spans="1:12">
      <c r="C71" s="2"/>
      <c r="D71" s="2"/>
      <c r="E71" s="3"/>
      <c r="F71" s="2"/>
      <c r="G71" s="2"/>
      <c r="H71" s="2"/>
      <c r="I71" s="4"/>
      <c r="J71" s="4"/>
      <c r="K71" s="7"/>
      <c r="L71" s="29" t="s">
        <v>315</v>
      </c>
    </row>
    <row r="72" spans="1:12">
      <c r="C72" s="2"/>
      <c r="D72" s="2"/>
      <c r="E72" s="3"/>
      <c r="F72" s="2"/>
      <c r="G72" s="2"/>
      <c r="H72" s="2"/>
      <c r="I72" s="4"/>
      <c r="J72" s="4"/>
      <c r="K72" s="7"/>
      <c r="L72" s="29"/>
    </row>
    <row r="73" spans="1:12">
      <c r="C73" s="2" t="s">
        <v>0</v>
      </c>
      <c r="D73" s="2"/>
      <c r="E73" s="3" t="s">
        <v>1</v>
      </c>
      <c r="F73" s="2"/>
      <c r="G73" s="2"/>
      <c r="H73" s="2"/>
      <c r="I73" s="4"/>
      <c r="J73" s="2"/>
      <c r="K73" s="2"/>
      <c r="L73" s="268" t="str">
        <f>$L$4</f>
        <v>Projected For the 12 months ended 12/31/2014</v>
      </c>
    </row>
    <row r="74" spans="1:12">
      <c r="C74" s="2"/>
      <c r="D74" s="11" t="s">
        <v>2</v>
      </c>
      <c r="E74" s="11" t="s">
        <v>3</v>
      </c>
      <c r="F74" s="11"/>
      <c r="G74" s="11"/>
      <c r="H74" s="11"/>
      <c r="I74" s="4"/>
      <c r="J74" s="4"/>
      <c r="K74" s="7"/>
      <c r="L74" s="10"/>
    </row>
    <row r="75" spans="1:12">
      <c r="C75" s="2"/>
      <c r="D75" s="11"/>
      <c r="E75" s="11"/>
      <c r="F75" s="11"/>
      <c r="G75" s="11"/>
      <c r="H75" s="11"/>
      <c r="I75" s="4"/>
      <c r="J75" s="4"/>
      <c r="K75" s="7"/>
      <c r="L75" s="10"/>
    </row>
    <row r="76" spans="1:12">
      <c r="C76" s="6"/>
      <c r="D76" s="133"/>
      <c r="E76" s="132" t="str">
        <f>E7</f>
        <v>ATXI</v>
      </c>
      <c r="F76" s="134"/>
      <c r="G76" s="134"/>
      <c r="H76" s="134"/>
      <c r="I76" s="65"/>
      <c r="J76" s="11"/>
      <c r="K76" s="11"/>
      <c r="L76" s="14"/>
    </row>
    <row r="77" spans="1:12">
      <c r="C77" s="30" t="s">
        <v>32</v>
      </c>
      <c r="D77" s="30" t="s">
        <v>33</v>
      </c>
      <c r="E77" s="30" t="s">
        <v>34</v>
      </c>
      <c r="F77" s="11" t="s">
        <v>2</v>
      </c>
      <c r="G77" s="11"/>
      <c r="H77" s="31" t="s">
        <v>35</v>
      </c>
      <c r="I77" s="11"/>
      <c r="J77" s="32" t="s">
        <v>36</v>
      </c>
      <c r="K77" s="11"/>
      <c r="L77" s="9"/>
    </row>
    <row r="78" spans="1:12">
      <c r="C78" s="6"/>
      <c r="D78" s="33" t="s">
        <v>37</v>
      </c>
      <c r="E78" s="11"/>
      <c r="F78" s="11"/>
      <c r="G78" s="11"/>
      <c r="H78" s="5"/>
      <c r="I78" s="11"/>
      <c r="J78" s="34" t="s">
        <v>38</v>
      </c>
      <c r="K78" s="11"/>
      <c r="L78" s="9"/>
    </row>
    <row r="79" spans="1:12">
      <c r="A79" s="5" t="s">
        <v>4</v>
      </c>
      <c r="C79" s="6"/>
      <c r="D79" s="35" t="s">
        <v>39</v>
      </c>
      <c r="E79" s="34" t="s">
        <v>40</v>
      </c>
      <c r="F79" s="36"/>
      <c r="G79" s="34" t="s">
        <v>41</v>
      </c>
      <c r="I79" s="36"/>
      <c r="J79" s="5" t="s">
        <v>42</v>
      </c>
      <c r="K79" s="11"/>
      <c r="L79" s="9"/>
    </row>
    <row r="80" spans="1:12" ht="16.5" thickBot="1">
      <c r="A80" s="102" t="s">
        <v>6</v>
      </c>
      <c r="C80" s="37" t="s">
        <v>43</v>
      </c>
      <c r="D80" s="11"/>
      <c r="E80" s="11"/>
      <c r="F80" s="11"/>
      <c r="G80" s="11"/>
      <c r="H80" s="11"/>
      <c r="I80" s="11"/>
      <c r="J80" s="11"/>
      <c r="K80" s="11"/>
      <c r="L80" s="14"/>
    </row>
    <row r="81" spans="1:12">
      <c r="A81" s="5"/>
      <c r="C81" s="6"/>
      <c r="D81" s="11"/>
      <c r="E81" s="11"/>
      <c r="F81" s="11"/>
      <c r="G81" s="11"/>
      <c r="H81" s="11"/>
      <c r="I81" s="11"/>
      <c r="J81" s="11"/>
      <c r="K81" s="11"/>
      <c r="L81" s="14"/>
    </row>
    <row r="82" spans="1:12">
      <c r="A82" s="5"/>
      <c r="C82" s="6" t="s">
        <v>338</v>
      </c>
      <c r="D82" s="11"/>
      <c r="E82" s="11"/>
      <c r="F82" s="11"/>
      <c r="G82" s="11"/>
      <c r="H82" s="11"/>
      <c r="I82" s="11"/>
      <c r="J82" s="11"/>
      <c r="K82" s="11"/>
      <c r="L82" s="14"/>
    </row>
    <row r="83" spans="1:12">
      <c r="A83" s="5">
        <v>1</v>
      </c>
      <c r="C83" s="6" t="s">
        <v>44</v>
      </c>
      <c r="D83" s="14" t="s">
        <v>208</v>
      </c>
      <c r="E83" s="17">
        <v>0</v>
      </c>
      <c r="F83" s="11"/>
      <c r="G83" s="11" t="s">
        <v>45</v>
      </c>
      <c r="H83" s="38" t="s">
        <v>2</v>
      </c>
      <c r="I83" s="11"/>
      <c r="J83" s="11" t="s">
        <v>2</v>
      </c>
      <c r="K83" s="11"/>
      <c r="L83" s="14"/>
    </row>
    <row r="84" spans="1:12">
      <c r="A84" s="5">
        <v>2</v>
      </c>
      <c r="C84" s="6" t="s">
        <v>298</v>
      </c>
      <c r="D84" s="14" t="s">
        <v>201</v>
      </c>
      <c r="E84" s="17">
        <f>ROUND('Projected Rate Base'!AE11,0)*1000</f>
        <v>72401000</v>
      </c>
      <c r="F84" s="11"/>
      <c r="G84" s="11" t="s">
        <v>11</v>
      </c>
      <c r="H84" s="38">
        <f>J233</f>
        <v>1</v>
      </c>
      <c r="I84" s="11"/>
      <c r="J84" s="11">
        <f>+H84*E84</f>
        <v>72401000</v>
      </c>
      <c r="K84" s="11"/>
      <c r="L84" s="14"/>
    </row>
    <row r="85" spans="1:12">
      <c r="A85" s="5">
        <v>3</v>
      </c>
      <c r="C85" s="6" t="s">
        <v>47</v>
      </c>
      <c r="D85" s="14" t="s">
        <v>202</v>
      </c>
      <c r="E85" s="17">
        <v>0</v>
      </c>
      <c r="F85" s="11"/>
      <c r="G85" s="11" t="s">
        <v>45</v>
      </c>
      <c r="H85" s="38" t="s">
        <v>2</v>
      </c>
      <c r="I85" s="11"/>
      <c r="J85" s="11" t="s">
        <v>2</v>
      </c>
      <c r="K85" s="11"/>
      <c r="L85" s="14"/>
    </row>
    <row r="86" spans="1:12">
      <c r="A86" s="5">
        <v>4</v>
      </c>
      <c r="C86" s="6" t="s">
        <v>48</v>
      </c>
      <c r="D86" s="14" t="s">
        <v>209</v>
      </c>
      <c r="E86" s="17">
        <v>0</v>
      </c>
      <c r="F86" s="11"/>
      <c r="G86" s="11" t="s">
        <v>49</v>
      </c>
      <c r="H86" s="38">
        <f>J251</f>
        <v>1</v>
      </c>
      <c r="I86" s="11"/>
      <c r="J86" s="11">
        <f>+H86*E86</f>
        <v>0</v>
      </c>
      <c r="K86" s="11"/>
      <c r="L86" s="14"/>
    </row>
    <row r="87" spans="1:12" ht="16.5" thickBot="1">
      <c r="A87" s="5">
        <v>5</v>
      </c>
      <c r="C87" s="6" t="s">
        <v>50</v>
      </c>
      <c r="D87" s="14" t="s">
        <v>51</v>
      </c>
      <c r="E87" s="39">
        <v>0</v>
      </c>
      <c r="F87" s="11"/>
      <c r="G87" s="11" t="s">
        <v>93</v>
      </c>
      <c r="H87" s="38">
        <f>L256</f>
        <v>1</v>
      </c>
      <c r="I87" s="11"/>
      <c r="J87" s="105">
        <f>+H87*E87</f>
        <v>0</v>
      </c>
      <c r="K87" s="11"/>
      <c r="L87" s="14"/>
    </row>
    <row r="88" spans="1:12">
      <c r="A88" s="5">
        <v>6</v>
      </c>
      <c r="C88" s="2" t="s">
        <v>230</v>
      </c>
      <c r="D88" s="14"/>
      <c r="E88" s="11">
        <f>SUM(E83:E87)</f>
        <v>72401000</v>
      </c>
      <c r="F88" s="11"/>
      <c r="G88" s="11" t="s">
        <v>52</v>
      </c>
      <c r="H88" s="40">
        <f>IF(J88&gt;0,J88/E88,0)</f>
        <v>1</v>
      </c>
      <c r="I88" s="11"/>
      <c r="J88" s="11">
        <f>SUM(J83:J87)</f>
        <v>72401000</v>
      </c>
      <c r="K88" s="11"/>
      <c r="L88" s="41"/>
    </row>
    <row r="89" spans="1:12">
      <c r="C89" s="6"/>
      <c r="D89" s="11"/>
      <c r="E89" s="11"/>
      <c r="F89" s="11"/>
      <c r="G89" s="11"/>
      <c r="H89" s="40"/>
      <c r="I89" s="11"/>
      <c r="J89" s="11"/>
      <c r="K89" s="11"/>
      <c r="L89" s="41"/>
    </row>
    <row r="90" spans="1:12">
      <c r="C90" s="6" t="s">
        <v>339</v>
      </c>
      <c r="D90" s="11"/>
      <c r="E90" s="11"/>
      <c r="F90" s="11"/>
      <c r="G90" s="11"/>
      <c r="H90" s="11"/>
      <c r="I90" s="11"/>
      <c r="J90" s="11"/>
      <c r="K90" s="11"/>
      <c r="L90" s="14"/>
    </row>
    <row r="91" spans="1:12">
      <c r="A91" s="5">
        <v>7</v>
      </c>
      <c r="C91" s="6" t="str">
        <f>+C83</f>
        <v xml:space="preserve">  Production</v>
      </c>
      <c r="D91" s="11" t="s">
        <v>189</v>
      </c>
      <c r="E91" s="17">
        <v>0</v>
      </c>
      <c r="F91" s="11"/>
      <c r="G91" s="11" t="str">
        <f t="shared" ref="G91:H95" si="1">+G83</f>
        <v>NA</v>
      </c>
      <c r="H91" s="38" t="str">
        <f t="shared" si="1"/>
        <v xml:space="preserve"> </v>
      </c>
      <c r="I91" s="11"/>
      <c r="J91" s="11" t="s">
        <v>2</v>
      </c>
      <c r="K91" s="11"/>
      <c r="L91" s="14"/>
    </row>
    <row r="92" spans="1:12">
      <c r="A92" s="5">
        <v>8</v>
      </c>
      <c r="C92" s="6" t="str">
        <f>+C84</f>
        <v xml:space="preserve">  Transmission (Note Z)</v>
      </c>
      <c r="D92" s="11" t="s">
        <v>190</v>
      </c>
      <c r="E92" s="17">
        <f>-ROUND('Projected Rate Base'!AE12,0)*1000</f>
        <v>3701000</v>
      </c>
      <c r="F92" s="11"/>
      <c r="G92" s="11" t="str">
        <f t="shared" si="1"/>
        <v>TP</v>
      </c>
      <c r="H92" s="38">
        <f t="shared" si="1"/>
        <v>1</v>
      </c>
      <c r="I92" s="11"/>
      <c r="J92" s="11">
        <f>+H92*E92</f>
        <v>3701000</v>
      </c>
      <c r="K92" s="11"/>
      <c r="L92" s="14"/>
    </row>
    <row r="93" spans="1:12">
      <c r="A93" s="5">
        <v>9</v>
      </c>
      <c r="C93" s="6" t="str">
        <f>+C85</f>
        <v xml:space="preserve">  Distribution</v>
      </c>
      <c r="D93" s="11" t="s">
        <v>191</v>
      </c>
      <c r="E93" s="17">
        <v>0</v>
      </c>
      <c r="F93" s="11"/>
      <c r="G93" s="11" t="str">
        <f t="shared" si="1"/>
        <v>NA</v>
      </c>
      <c r="H93" s="38" t="str">
        <f t="shared" si="1"/>
        <v xml:space="preserve"> </v>
      </c>
      <c r="I93" s="11"/>
      <c r="J93" s="11" t="s">
        <v>2</v>
      </c>
      <c r="K93" s="11"/>
      <c r="L93" s="14"/>
    </row>
    <row r="94" spans="1:12">
      <c r="A94" s="5">
        <v>10</v>
      </c>
      <c r="C94" s="6" t="str">
        <f>+C86</f>
        <v xml:space="preserve">  General &amp; Intangible</v>
      </c>
      <c r="D94" s="11" t="s">
        <v>310</v>
      </c>
      <c r="E94" s="17">
        <v>0</v>
      </c>
      <c r="F94" s="11"/>
      <c r="G94" s="11" t="str">
        <f t="shared" si="1"/>
        <v>W/S</v>
      </c>
      <c r="H94" s="38">
        <f t="shared" si="1"/>
        <v>1</v>
      </c>
      <c r="I94" s="11"/>
      <c r="J94" s="11">
        <f>+H94*E94</f>
        <v>0</v>
      </c>
      <c r="K94" s="11"/>
      <c r="L94" s="14"/>
    </row>
    <row r="95" spans="1:12" ht="16.5" thickBot="1">
      <c r="A95" s="5">
        <v>11</v>
      </c>
      <c r="C95" s="6" t="str">
        <f>+C87</f>
        <v xml:space="preserve">  Common</v>
      </c>
      <c r="D95" s="11" t="s">
        <v>51</v>
      </c>
      <c r="E95" s="39">
        <v>0</v>
      </c>
      <c r="F95" s="11"/>
      <c r="G95" s="11" t="str">
        <f t="shared" si="1"/>
        <v>CE</v>
      </c>
      <c r="H95" s="38">
        <f t="shared" si="1"/>
        <v>1</v>
      </c>
      <c r="I95" s="11"/>
      <c r="J95" s="105">
        <f>+H95*E95</f>
        <v>0</v>
      </c>
      <c r="K95" s="11"/>
      <c r="L95" s="14"/>
    </row>
    <row r="96" spans="1:12">
      <c r="A96" s="5">
        <v>12</v>
      </c>
      <c r="C96" s="6" t="s">
        <v>231</v>
      </c>
      <c r="D96" s="11"/>
      <c r="E96" s="11">
        <f>SUM(E91:E95)</f>
        <v>3701000</v>
      </c>
      <c r="F96" s="11"/>
      <c r="G96" s="11"/>
      <c r="H96" s="11"/>
      <c r="I96" s="11"/>
      <c r="J96" s="11">
        <f>SUM(J91:J95)</f>
        <v>3701000</v>
      </c>
      <c r="K96" s="11"/>
      <c r="L96" s="14"/>
    </row>
    <row r="97" spans="1:12">
      <c r="A97" s="5"/>
      <c r="D97" s="11" t="s">
        <v>2</v>
      </c>
      <c r="F97" s="11"/>
      <c r="G97" s="11"/>
      <c r="H97" s="40"/>
      <c r="I97" s="11"/>
      <c r="K97" s="11"/>
      <c r="L97" s="41"/>
    </row>
    <row r="98" spans="1:12">
      <c r="A98" s="5"/>
      <c r="C98" s="6" t="s">
        <v>53</v>
      </c>
      <c r="D98" s="11"/>
      <c r="E98" s="11"/>
      <c r="F98" s="11"/>
      <c r="G98" s="11"/>
      <c r="H98" s="11"/>
      <c r="I98" s="11"/>
      <c r="J98" s="11"/>
      <c r="K98" s="11"/>
      <c r="L98" s="14"/>
    </row>
    <row r="99" spans="1:12">
      <c r="A99" s="5">
        <v>13</v>
      </c>
      <c r="C99" s="6" t="str">
        <f>+C91</f>
        <v xml:space="preserve">  Production</v>
      </c>
      <c r="D99" s="11" t="s">
        <v>232</v>
      </c>
      <c r="E99" s="11">
        <f>E83-E91</f>
        <v>0</v>
      </c>
      <c r="F99" s="11"/>
      <c r="G99" s="11"/>
      <c r="H99" s="40"/>
      <c r="I99" s="11"/>
      <c r="J99" s="11" t="s">
        <v>2</v>
      </c>
      <c r="K99" s="11"/>
      <c r="L99" s="41"/>
    </row>
    <row r="100" spans="1:12">
      <c r="A100" s="5">
        <v>14</v>
      </c>
      <c r="C100" s="6" t="str">
        <f>+C92</f>
        <v xml:space="preserve">  Transmission (Note Z)</v>
      </c>
      <c r="D100" s="11" t="s">
        <v>233</v>
      </c>
      <c r="E100" s="11">
        <f>E84-E92</f>
        <v>68700000</v>
      </c>
      <c r="F100" s="11"/>
      <c r="G100" s="11"/>
      <c r="H100" s="38"/>
      <c r="I100" s="11"/>
      <c r="J100" s="11">
        <f>J84-J92</f>
        <v>68700000</v>
      </c>
      <c r="K100" s="11"/>
      <c r="L100" s="41"/>
    </row>
    <row r="101" spans="1:12">
      <c r="A101" s="5">
        <v>15</v>
      </c>
      <c r="C101" s="6" t="str">
        <f>+C93</f>
        <v xml:space="preserve">  Distribution</v>
      </c>
      <c r="D101" s="11" t="s">
        <v>234</v>
      </c>
      <c r="E101" s="11">
        <f>E85-E93</f>
        <v>0</v>
      </c>
      <c r="F101" s="11"/>
      <c r="G101" s="11"/>
      <c r="H101" s="40"/>
      <c r="I101" s="11"/>
      <c r="J101" s="11" t="s">
        <v>2</v>
      </c>
      <c r="K101" s="11"/>
      <c r="L101" s="41"/>
    </row>
    <row r="102" spans="1:12">
      <c r="A102" s="5">
        <v>16</v>
      </c>
      <c r="C102" s="6" t="str">
        <f>+C94</f>
        <v xml:space="preserve">  General &amp; Intangible</v>
      </c>
      <c r="D102" s="11" t="s">
        <v>235</v>
      </c>
      <c r="E102" s="11">
        <f>E86-E94</f>
        <v>0</v>
      </c>
      <c r="F102" s="11"/>
      <c r="G102" s="11"/>
      <c r="H102" s="40"/>
      <c r="I102" s="11"/>
      <c r="J102" s="11">
        <f>J86-J94</f>
        <v>0</v>
      </c>
      <c r="K102" s="11"/>
      <c r="L102" s="41"/>
    </row>
    <row r="103" spans="1:12" ht="16.5" thickBot="1">
      <c r="A103" s="5">
        <v>17</v>
      </c>
      <c r="C103" s="6" t="str">
        <f>+C95</f>
        <v xml:space="preserve">  Common</v>
      </c>
      <c r="D103" s="11" t="s">
        <v>236</v>
      </c>
      <c r="E103" s="105">
        <f>E87-E95</f>
        <v>0</v>
      </c>
      <c r="F103" s="11"/>
      <c r="G103" s="11"/>
      <c r="H103" s="40"/>
      <c r="I103" s="11"/>
      <c r="J103" s="105">
        <f>J87-J95</f>
        <v>0</v>
      </c>
      <c r="K103" s="11"/>
      <c r="L103" s="41"/>
    </row>
    <row r="104" spans="1:12">
      <c r="A104" s="5">
        <v>18</v>
      </c>
      <c r="C104" s="6" t="s">
        <v>237</v>
      </c>
      <c r="D104" s="11"/>
      <c r="E104" s="11">
        <f>SUM(E99:E103)</f>
        <v>68700000</v>
      </c>
      <c r="F104" s="11"/>
      <c r="G104" s="11" t="s">
        <v>54</v>
      </c>
      <c r="H104" s="40">
        <f>IF(J104&gt;0,J104/E104,0)</f>
        <v>1</v>
      </c>
      <c r="I104" s="11"/>
      <c r="J104" s="11">
        <f>SUM(J99:J103)</f>
        <v>68700000</v>
      </c>
      <c r="K104" s="11"/>
      <c r="L104" s="14"/>
    </row>
    <row r="105" spans="1:12">
      <c r="A105" s="5"/>
      <c r="C105" s="6"/>
      <c r="D105" s="11"/>
      <c r="E105" s="11"/>
      <c r="F105" s="11"/>
      <c r="G105" s="11"/>
      <c r="H105" s="40"/>
      <c r="I105" s="11"/>
      <c r="J105" s="11"/>
      <c r="K105" s="11"/>
      <c r="L105" s="14"/>
    </row>
    <row r="106" spans="1:12">
      <c r="A106" s="5" t="s">
        <v>340</v>
      </c>
      <c r="C106" s="6" t="s">
        <v>341</v>
      </c>
      <c r="D106" s="11"/>
      <c r="E106" s="11"/>
      <c r="F106" s="11"/>
      <c r="G106" s="11"/>
      <c r="H106" s="40"/>
      <c r="I106" s="11"/>
      <c r="J106" s="11"/>
      <c r="K106" s="11"/>
      <c r="L106" s="14"/>
    </row>
    <row r="107" spans="1:12">
      <c r="A107" s="5"/>
      <c r="C107" s="6" t="s">
        <v>342</v>
      </c>
      <c r="D107" s="11"/>
      <c r="E107" s="153">
        <f>ROUND('Projected Rate Base'!AE15,0)*1000</f>
        <v>166179000</v>
      </c>
      <c r="F107" s="11"/>
      <c r="G107" s="11" t="s">
        <v>11</v>
      </c>
      <c r="H107" s="40">
        <f>J233</f>
        <v>1</v>
      </c>
      <c r="I107" s="11"/>
      <c r="J107" s="11">
        <f>E107*H107</f>
        <v>166179000</v>
      </c>
      <c r="K107" s="11"/>
      <c r="L107" s="14"/>
    </row>
    <row r="108" spans="1:12">
      <c r="A108" s="5"/>
      <c r="D108" s="11"/>
      <c r="F108" s="11"/>
      <c r="I108" s="11"/>
      <c r="K108" s="11"/>
      <c r="L108" s="41"/>
    </row>
    <row r="109" spans="1:12">
      <c r="A109" s="5"/>
      <c r="C109" s="2" t="s">
        <v>238</v>
      </c>
      <c r="D109" s="11"/>
      <c r="E109" s="11"/>
      <c r="F109" s="11"/>
      <c r="G109" s="11"/>
      <c r="H109" s="11"/>
      <c r="I109" s="11"/>
      <c r="J109" s="11"/>
      <c r="K109" s="11"/>
      <c r="L109" s="14"/>
    </row>
    <row r="110" spans="1:12">
      <c r="A110" s="5">
        <v>19</v>
      </c>
      <c r="C110" s="46" t="s">
        <v>138</v>
      </c>
      <c r="D110" s="14" t="s">
        <v>344</v>
      </c>
      <c r="E110" s="108">
        <v>0</v>
      </c>
      <c r="F110" s="14"/>
      <c r="G110" s="14" t="str">
        <f>+G91</f>
        <v>NA</v>
      </c>
      <c r="H110" s="42" t="s">
        <v>182</v>
      </c>
      <c r="I110" s="11"/>
      <c r="J110" s="109">
        <v>0</v>
      </c>
      <c r="K110" s="11"/>
      <c r="L110" s="41"/>
    </row>
    <row r="111" spans="1:12">
      <c r="A111" s="5">
        <v>20</v>
      </c>
      <c r="C111" s="46" t="s">
        <v>139</v>
      </c>
      <c r="D111" s="14" t="s">
        <v>343</v>
      </c>
      <c r="E111" s="108">
        <f>ROUND('Projected Rate Base'!AE18,0)*1000</f>
        <v>-15292000</v>
      </c>
      <c r="F111" s="11"/>
      <c r="G111" s="11" t="s">
        <v>55</v>
      </c>
      <c r="H111" s="38">
        <f>+H104</f>
        <v>1</v>
      </c>
      <c r="I111" s="11"/>
      <c r="J111" s="109">
        <f>E111*H111</f>
        <v>-15292000</v>
      </c>
      <c r="K111" s="11"/>
      <c r="L111" s="41"/>
    </row>
    <row r="112" spans="1:12">
      <c r="A112" s="5">
        <v>21</v>
      </c>
      <c r="C112" s="46" t="s">
        <v>140</v>
      </c>
      <c r="D112" s="14" t="s">
        <v>345</v>
      </c>
      <c r="E112" s="108">
        <f>ROUND('Projected Rate Base'!AE19,0)*1000</f>
        <v>-1009000</v>
      </c>
      <c r="F112" s="11"/>
      <c r="G112" s="11" t="s">
        <v>55</v>
      </c>
      <c r="H112" s="38">
        <f>+H111</f>
        <v>1</v>
      </c>
      <c r="I112" s="11"/>
      <c r="J112" s="109">
        <f>E112*H112</f>
        <v>-1009000</v>
      </c>
      <c r="K112" s="11"/>
      <c r="L112" s="41"/>
    </row>
    <row r="113" spans="1:12">
      <c r="A113" s="5">
        <v>22</v>
      </c>
      <c r="C113" s="46" t="s">
        <v>142</v>
      </c>
      <c r="D113" s="14" t="s">
        <v>346</v>
      </c>
      <c r="E113" s="108">
        <f>ROUND('Projected Rate Base'!AE20,0)*1000</f>
        <v>2877000</v>
      </c>
      <c r="F113" s="11"/>
      <c r="G113" s="11" t="str">
        <f>+G112</f>
        <v>NP</v>
      </c>
      <c r="H113" s="38">
        <f>+H112</f>
        <v>1</v>
      </c>
      <c r="I113" s="11"/>
      <c r="J113" s="109">
        <f>E113*H113</f>
        <v>2877000</v>
      </c>
      <c r="K113" s="11"/>
      <c r="L113" s="41"/>
    </row>
    <row r="114" spans="1:12">
      <c r="A114" s="5">
        <v>23</v>
      </c>
      <c r="C114" s="8" t="s">
        <v>141</v>
      </c>
      <c r="D114" s="8" t="s">
        <v>347</v>
      </c>
      <c r="E114" s="110">
        <v>0</v>
      </c>
      <c r="F114" s="11"/>
      <c r="G114" s="11" t="s">
        <v>55</v>
      </c>
      <c r="H114" s="38">
        <f>+H112</f>
        <v>1</v>
      </c>
      <c r="I114" s="11"/>
      <c r="J114" s="141">
        <f>E114*H114</f>
        <v>0</v>
      </c>
      <c r="K114" s="11"/>
      <c r="L114" s="41"/>
    </row>
    <row r="115" spans="1:12" ht="16.5" thickBot="1">
      <c r="A115" s="5" t="s">
        <v>348</v>
      </c>
      <c r="C115" s="8" t="s">
        <v>382</v>
      </c>
      <c r="D115" s="8"/>
      <c r="E115" s="111">
        <v>0</v>
      </c>
      <c r="F115" s="11"/>
      <c r="G115" s="11" t="s">
        <v>11</v>
      </c>
      <c r="H115" s="38">
        <f>J233</f>
        <v>1</v>
      </c>
      <c r="I115" s="11"/>
      <c r="J115" s="112">
        <f>E115*H115</f>
        <v>0</v>
      </c>
      <c r="K115" s="11"/>
      <c r="L115" s="41"/>
    </row>
    <row r="116" spans="1:12">
      <c r="A116" s="5">
        <v>24</v>
      </c>
      <c r="C116" s="6" t="s">
        <v>349</v>
      </c>
      <c r="D116" s="11"/>
      <c r="E116" s="109">
        <f>SUM(E110:E115)</f>
        <v>-13424000</v>
      </c>
      <c r="F116" s="11"/>
      <c r="G116" s="11"/>
      <c r="H116" s="11"/>
      <c r="I116" s="11"/>
      <c r="J116" s="109">
        <f>SUM(J110:J115)</f>
        <v>-13424000</v>
      </c>
      <c r="K116" s="11"/>
      <c r="L116" s="14"/>
    </row>
    <row r="117" spans="1:12">
      <c r="A117" s="5"/>
      <c r="D117" s="11"/>
      <c r="F117" s="11"/>
      <c r="G117" s="11"/>
      <c r="H117" s="40"/>
      <c r="I117" s="11"/>
      <c r="K117" s="11"/>
      <c r="L117" s="41"/>
    </row>
    <row r="118" spans="1:12">
      <c r="A118" s="5">
        <v>25</v>
      </c>
      <c r="C118" s="2" t="s">
        <v>56</v>
      </c>
      <c r="D118" s="11" t="s">
        <v>350</v>
      </c>
      <c r="E118" s="17">
        <v>0</v>
      </c>
      <c r="F118" s="11"/>
      <c r="G118" s="11" t="str">
        <f>+G92</f>
        <v>TP</v>
      </c>
      <c r="H118" s="38">
        <f>+H92</f>
        <v>1</v>
      </c>
      <c r="I118" s="11"/>
      <c r="J118" s="11">
        <f>+H118*E118</f>
        <v>0</v>
      </c>
      <c r="K118" s="11"/>
      <c r="L118" s="14"/>
    </row>
    <row r="119" spans="1:12">
      <c r="A119" s="5"/>
      <c r="C119" s="6"/>
      <c r="D119" s="11"/>
      <c r="E119" s="11"/>
      <c r="F119" s="11"/>
      <c r="G119" s="11"/>
      <c r="H119" s="11"/>
      <c r="I119" s="11"/>
      <c r="J119" s="11"/>
      <c r="K119" s="11"/>
      <c r="L119" s="14"/>
    </row>
    <row r="120" spans="1:12">
      <c r="A120" s="5"/>
      <c r="C120" s="6" t="s">
        <v>173</v>
      </c>
      <c r="D120" s="11" t="s">
        <v>2</v>
      </c>
      <c r="E120" s="11"/>
      <c r="F120" s="11"/>
      <c r="G120" s="11"/>
      <c r="H120" s="11"/>
      <c r="I120" s="11"/>
      <c r="J120" s="11"/>
      <c r="K120" s="11"/>
      <c r="L120" s="14"/>
    </row>
    <row r="121" spans="1:12">
      <c r="A121" s="5">
        <v>26</v>
      </c>
      <c r="C121" s="6" t="s">
        <v>174</v>
      </c>
      <c r="D121" s="1" t="s">
        <v>170</v>
      </c>
      <c r="E121" s="11">
        <f>+E167/8</f>
        <v>395500</v>
      </c>
      <c r="F121" s="11"/>
      <c r="G121" s="11"/>
      <c r="H121" s="40"/>
      <c r="I121" s="11"/>
      <c r="J121" s="11">
        <f>+J167/8</f>
        <v>395500</v>
      </c>
      <c r="K121" s="7"/>
      <c r="L121" s="41"/>
    </row>
    <row r="122" spans="1:12">
      <c r="A122" s="5">
        <v>27</v>
      </c>
      <c r="C122" s="6" t="s">
        <v>352</v>
      </c>
      <c r="D122" s="11" t="s">
        <v>217</v>
      </c>
      <c r="E122" s="17">
        <f>ROUND('Projected Rate Base'!AE22,0)*1000</f>
        <v>0</v>
      </c>
      <c r="F122" s="11"/>
      <c r="G122" s="11" t="s">
        <v>57</v>
      </c>
      <c r="H122" s="38">
        <f>J243</f>
        <v>1</v>
      </c>
      <c r="I122" s="11"/>
      <c r="J122" s="11">
        <f>+H122*E122</f>
        <v>0</v>
      </c>
      <c r="K122" s="11" t="s">
        <v>2</v>
      </c>
      <c r="L122" s="41"/>
    </row>
    <row r="123" spans="1:12" ht="16.5" thickBot="1">
      <c r="A123" s="5">
        <v>28</v>
      </c>
      <c r="C123" s="6" t="s">
        <v>351</v>
      </c>
      <c r="D123" s="11" t="s">
        <v>200</v>
      </c>
      <c r="E123" s="17">
        <f>ROUND('Projected Rate Base'!AE23,0)*1000</f>
        <v>0</v>
      </c>
      <c r="F123" s="11"/>
      <c r="G123" s="11" t="s">
        <v>58</v>
      </c>
      <c r="H123" s="38">
        <f>+H88</f>
        <v>1</v>
      </c>
      <c r="I123" s="11"/>
      <c r="J123" s="105">
        <f>+H123*E123</f>
        <v>0</v>
      </c>
      <c r="K123" s="11"/>
      <c r="L123" s="41"/>
    </row>
    <row r="124" spans="1:12">
      <c r="A124" s="5">
        <v>29</v>
      </c>
      <c r="C124" s="6" t="s">
        <v>239</v>
      </c>
      <c r="D124" s="7"/>
      <c r="E124" s="11">
        <f>E121+E122+E123</f>
        <v>395500</v>
      </c>
      <c r="F124" s="7"/>
      <c r="G124" s="7"/>
      <c r="H124" s="7"/>
      <c r="I124" s="7"/>
      <c r="J124" s="11">
        <f>J121+J122+J123</f>
        <v>395500</v>
      </c>
      <c r="K124" s="7"/>
      <c r="L124" s="10"/>
    </row>
    <row r="125" spans="1:12" ht="16.5" thickBot="1">
      <c r="D125" s="11"/>
      <c r="E125" s="113"/>
      <c r="F125" s="11"/>
      <c r="G125" s="11"/>
      <c r="H125" s="11"/>
      <c r="I125" s="11"/>
      <c r="J125" s="113"/>
      <c r="K125" s="11"/>
      <c r="L125" s="14"/>
    </row>
    <row r="126" spans="1:12" ht="16.5" thickBot="1">
      <c r="A126" s="5">
        <v>30</v>
      </c>
      <c r="C126" s="6" t="s">
        <v>353</v>
      </c>
      <c r="D126" s="11"/>
      <c r="E126" s="114">
        <f>+E124+E118+E116+E104+E107</f>
        <v>221850500</v>
      </c>
      <c r="F126" s="11"/>
      <c r="G126" s="11"/>
      <c r="H126" s="40"/>
      <c r="I126" s="11"/>
      <c r="J126" s="114">
        <f>+J124+J118+J116+J104+J107</f>
        <v>221850500</v>
      </c>
      <c r="K126" s="11"/>
      <c r="L126" s="41"/>
    </row>
    <row r="127" spans="1:12" ht="16.5" thickTop="1">
      <c r="A127" s="5"/>
      <c r="C127" s="6"/>
      <c r="D127" s="11"/>
      <c r="E127" s="43"/>
      <c r="F127" s="11"/>
      <c r="G127" s="11"/>
      <c r="H127" s="40"/>
      <c r="I127" s="11"/>
      <c r="J127" s="43"/>
      <c r="K127" s="11"/>
      <c r="L127" s="41"/>
    </row>
    <row r="128" spans="1:12">
      <c r="A128" s="5" t="s">
        <v>301</v>
      </c>
      <c r="C128" s="6" t="s">
        <v>354</v>
      </c>
      <c r="D128" s="11"/>
      <c r="E128" s="43"/>
      <c r="F128" s="11"/>
      <c r="G128" s="11"/>
      <c r="H128" s="40"/>
      <c r="I128" s="11"/>
      <c r="J128" s="43"/>
      <c r="K128" s="11"/>
      <c r="L128" s="41"/>
    </row>
    <row r="129" spans="1:12" ht="16.5" thickBot="1">
      <c r="A129" s="5"/>
      <c r="C129" s="142" t="s">
        <v>355</v>
      </c>
      <c r="D129" s="11"/>
      <c r="E129" s="143">
        <f>E107</f>
        <v>166179000</v>
      </c>
      <c r="F129" s="11"/>
      <c r="G129" s="11"/>
      <c r="H129" s="40"/>
      <c r="I129" s="11"/>
      <c r="J129" s="143">
        <f>J107</f>
        <v>166179000</v>
      </c>
      <c r="K129" s="11"/>
      <c r="L129" s="41"/>
    </row>
    <row r="130" spans="1:12" ht="16.5" thickTop="1">
      <c r="A130" s="5"/>
      <c r="C130" s="6"/>
      <c r="D130" s="11"/>
      <c r="E130" s="43"/>
      <c r="F130" s="11"/>
      <c r="G130" s="11"/>
      <c r="H130" s="40"/>
      <c r="I130" s="11"/>
      <c r="J130" s="43"/>
      <c r="K130" s="11"/>
      <c r="L130" s="41"/>
    </row>
    <row r="131" spans="1:12">
      <c r="A131" s="5"/>
      <c r="C131" s="6"/>
      <c r="D131" s="11"/>
      <c r="E131" s="43"/>
      <c r="F131" s="11"/>
      <c r="G131" s="11"/>
      <c r="H131" s="40"/>
      <c r="I131" s="11"/>
      <c r="J131" s="43"/>
      <c r="K131" s="11"/>
      <c r="L131" s="41"/>
    </row>
    <row r="132" spans="1:12">
      <c r="A132" s="5"/>
      <c r="C132" s="6"/>
      <c r="D132" s="11"/>
      <c r="E132" s="43"/>
      <c r="F132" s="11"/>
      <c r="G132" s="11"/>
      <c r="H132" s="40"/>
      <c r="I132" s="11"/>
      <c r="J132" s="43"/>
      <c r="K132" s="11"/>
      <c r="L132" s="41"/>
    </row>
    <row r="133" spans="1:12">
      <c r="A133" s="5"/>
      <c r="C133" s="6"/>
      <c r="D133" s="11"/>
      <c r="E133" s="43"/>
      <c r="F133" s="11"/>
      <c r="G133" s="11"/>
      <c r="H133" s="40"/>
      <c r="I133" s="11"/>
      <c r="J133" s="43"/>
      <c r="K133" s="11"/>
      <c r="L133" s="41"/>
    </row>
    <row r="134" spans="1:12">
      <c r="A134" s="5"/>
      <c r="C134" s="6"/>
      <c r="D134" s="11"/>
      <c r="E134" s="43"/>
      <c r="F134" s="11"/>
      <c r="G134" s="11"/>
      <c r="H134" s="40"/>
      <c r="I134" s="11"/>
      <c r="J134" s="43"/>
      <c r="K134" s="11"/>
      <c r="L134" s="41"/>
    </row>
    <row r="135" spans="1:12">
      <c r="A135" s="5"/>
      <c r="C135" s="6"/>
      <c r="D135" s="11"/>
      <c r="E135" s="43"/>
      <c r="F135" s="11"/>
      <c r="G135" s="11"/>
      <c r="H135" s="40"/>
      <c r="I135" s="11"/>
      <c r="J135" s="43"/>
      <c r="K135" s="11"/>
      <c r="L135" s="41"/>
    </row>
    <row r="136" spans="1:12">
      <c r="A136" s="5"/>
      <c r="C136" s="6"/>
      <c r="D136" s="11"/>
      <c r="E136" s="43"/>
      <c r="F136" s="11"/>
      <c r="G136" s="11"/>
      <c r="H136" s="40"/>
      <c r="I136" s="11"/>
      <c r="J136" s="43"/>
      <c r="K136" s="11"/>
      <c r="L136" s="41"/>
    </row>
    <row r="137" spans="1:12">
      <c r="A137" s="5"/>
      <c r="C137" s="6"/>
      <c r="D137" s="11"/>
      <c r="E137" s="43"/>
      <c r="F137" s="11"/>
      <c r="G137" s="11"/>
      <c r="H137" s="40"/>
      <c r="I137" s="11"/>
      <c r="J137" s="43"/>
      <c r="K137" s="11"/>
      <c r="L137" s="41"/>
    </row>
    <row r="138" spans="1:12">
      <c r="A138" s="5"/>
      <c r="C138" s="6"/>
      <c r="D138" s="11"/>
      <c r="E138" s="43"/>
      <c r="F138" s="11"/>
      <c r="G138" s="11"/>
      <c r="H138" s="40"/>
      <c r="I138" s="11"/>
      <c r="J138" s="43"/>
      <c r="K138" s="11"/>
      <c r="L138" s="41"/>
    </row>
    <row r="139" spans="1:12">
      <c r="A139" s="5"/>
      <c r="C139" s="6"/>
      <c r="D139" s="11"/>
      <c r="E139" s="43"/>
      <c r="F139" s="11"/>
      <c r="G139" s="11"/>
      <c r="H139" s="40"/>
      <c r="I139" s="11"/>
      <c r="J139" s="43"/>
      <c r="K139" s="11"/>
      <c r="L139" s="41"/>
    </row>
    <row r="140" spans="1:12">
      <c r="A140" s="5"/>
      <c r="C140" s="6"/>
      <c r="D140" s="11"/>
      <c r="E140" s="43"/>
      <c r="F140" s="11"/>
      <c r="G140" s="11"/>
      <c r="H140" s="40"/>
      <c r="I140" s="11"/>
      <c r="J140" s="43"/>
      <c r="K140" s="11"/>
      <c r="L140" s="41"/>
    </row>
    <row r="141" spans="1:12">
      <c r="A141" s="5"/>
      <c r="C141" s="6"/>
      <c r="D141" s="11"/>
      <c r="E141" s="43"/>
      <c r="F141" s="11"/>
      <c r="G141" s="11"/>
      <c r="H141" s="40"/>
      <c r="I141" s="11"/>
      <c r="J141" s="43"/>
      <c r="K141" s="11"/>
      <c r="L141" s="41"/>
    </row>
    <row r="142" spans="1:12">
      <c r="A142" s="5"/>
      <c r="C142" s="6"/>
      <c r="D142" s="11"/>
      <c r="E142" s="43"/>
      <c r="F142" s="11"/>
      <c r="G142" s="11"/>
      <c r="H142" s="40"/>
      <c r="I142" s="11"/>
      <c r="J142" s="43"/>
      <c r="K142" s="11"/>
      <c r="L142" s="41"/>
    </row>
    <row r="143" spans="1:12">
      <c r="A143" s="5"/>
      <c r="C143" s="6"/>
      <c r="D143" s="11"/>
      <c r="E143" s="43"/>
      <c r="F143" s="11"/>
      <c r="G143" s="11"/>
      <c r="H143" s="40"/>
      <c r="I143" s="11"/>
      <c r="J143" s="43"/>
      <c r="K143" s="11"/>
      <c r="L143" s="41"/>
    </row>
    <row r="144" spans="1:12">
      <c r="A144" s="5"/>
      <c r="C144" s="6"/>
      <c r="D144" s="11"/>
      <c r="E144" s="43"/>
      <c r="F144" s="11"/>
      <c r="G144" s="11"/>
      <c r="H144" s="40"/>
      <c r="I144" s="11"/>
      <c r="J144" s="43"/>
      <c r="K144" s="11"/>
      <c r="L144" s="41"/>
    </row>
    <row r="145" spans="1:12">
      <c r="C145" s="2"/>
      <c r="D145" s="2"/>
      <c r="E145" s="3"/>
      <c r="F145" s="2"/>
      <c r="G145" s="2"/>
      <c r="H145" s="2"/>
      <c r="I145" s="4"/>
      <c r="J145" s="4"/>
      <c r="L145" s="101" t="s">
        <v>188</v>
      </c>
    </row>
    <row r="146" spans="1:12">
      <c r="C146" s="2"/>
      <c r="D146" s="2"/>
      <c r="E146" s="3"/>
      <c r="F146" s="2"/>
      <c r="G146" s="2"/>
      <c r="H146" s="2"/>
      <c r="I146" s="4"/>
      <c r="J146" s="4"/>
      <c r="K146" s="7"/>
      <c r="L146" s="29" t="s">
        <v>316</v>
      </c>
    </row>
    <row r="147" spans="1:12">
      <c r="C147" s="2"/>
      <c r="D147" s="2"/>
      <c r="E147" s="3"/>
      <c r="F147" s="2"/>
      <c r="G147" s="2"/>
      <c r="H147" s="2"/>
      <c r="I147" s="4"/>
      <c r="J147" s="4"/>
      <c r="K147" s="7"/>
      <c r="L147" s="29"/>
    </row>
    <row r="148" spans="1:12">
      <c r="C148" s="2" t="s">
        <v>0</v>
      </c>
      <c r="D148" s="2"/>
      <c r="E148" s="3" t="s">
        <v>1</v>
      </c>
      <c r="F148" s="2"/>
      <c r="G148" s="2"/>
      <c r="H148" s="2"/>
      <c r="I148" s="4"/>
      <c r="J148" s="2"/>
      <c r="K148" s="2"/>
      <c r="L148" s="268" t="str">
        <f>$L$4</f>
        <v>Projected For the 12 months ended 12/31/2014</v>
      </c>
    </row>
    <row r="149" spans="1:12">
      <c r="C149" s="2"/>
      <c r="D149" s="11" t="s">
        <v>2</v>
      </c>
      <c r="E149" s="11" t="s">
        <v>3</v>
      </c>
      <c r="F149" s="11"/>
      <c r="G149" s="11"/>
      <c r="H149" s="11"/>
      <c r="I149" s="4"/>
      <c r="J149" s="4"/>
      <c r="K149" s="7"/>
      <c r="L149" s="10"/>
    </row>
    <row r="150" spans="1:12">
      <c r="C150" s="2"/>
      <c r="D150" s="11"/>
      <c r="E150" s="11"/>
      <c r="F150" s="11"/>
      <c r="G150" s="11"/>
      <c r="H150" s="11"/>
      <c r="I150" s="4"/>
      <c r="J150" s="4"/>
      <c r="K150" s="7"/>
      <c r="L150" s="10"/>
    </row>
    <row r="151" spans="1:12">
      <c r="A151" s="5"/>
      <c r="D151" s="133"/>
      <c r="E151" s="132" t="str">
        <f>E7</f>
        <v>ATXI</v>
      </c>
      <c r="F151" s="134"/>
      <c r="G151" s="134"/>
      <c r="H151" s="134"/>
      <c r="K151" s="11"/>
      <c r="L151" s="14"/>
    </row>
    <row r="152" spans="1:12">
      <c r="A152" s="5"/>
      <c r="C152" s="30" t="s">
        <v>32</v>
      </c>
      <c r="D152" s="30" t="s">
        <v>33</v>
      </c>
      <c r="E152" s="30" t="s">
        <v>34</v>
      </c>
      <c r="F152" s="11" t="s">
        <v>2</v>
      </c>
      <c r="G152" s="11"/>
      <c r="H152" s="31" t="s">
        <v>35</v>
      </c>
      <c r="I152" s="11"/>
      <c r="J152" s="32" t="s">
        <v>36</v>
      </c>
      <c r="K152" s="11"/>
      <c r="L152" s="14"/>
    </row>
    <row r="153" spans="1:12">
      <c r="A153" s="5"/>
      <c r="C153" s="30"/>
      <c r="D153" s="4"/>
      <c r="E153" s="4"/>
      <c r="F153" s="4"/>
      <c r="G153" s="4"/>
      <c r="H153" s="4"/>
      <c r="I153" s="4"/>
      <c r="J153" s="4"/>
      <c r="K153" s="4"/>
      <c r="L153" s="45"/>
    </row>
    <row r="154" spans="1:12">
      <c r="A154" s="5" t="s">
        <v>4</v>
      </c>
      <c r="C154" s="6"/>
      <c r="D154" s="33" t="s">
        <v>37</v>
      </c>
      <c r="E154" s="11"/>
      <c r="F154" s="11"/>
      <c r="G154" s="11"/>
      <c r="H154" s="5"/>
      <c r="I154" s="11"/>
      <c r="J154" s="34" t="s">
        <v>38</v>
      </c>
      <c r="K154" s="11"/>
      <c r="L154" s="45"/>
    </row>
    <row r="155" spans="1:12" ht="16.5" thickBot="1">
      <c r="A155" s="102" t="s">
        <v>6</v>
      </c>
      <c r="C155" s="6"/>
      <c r="D155" s="35" t="s">
        <v>39</v>
      </c>
      <c r="E155" s="34" t="s">
        <v>40</v>
      </c>
      <c r="F155" s="36"/>
      <c r="G155" s="34" t="s">
        <v>41</v>
      </c>
      <c r="I155" s="36"/>
      <c r="J155" s="5" t="s">
        <v>42</v>
      </c>
      <c r="K155" s="11"/>
      <c r="L155" s="45"/>
    </row>
    <row r="156" spans="1:12">
      <c r="C156" s="6"/>
      <c r="D156" s="11"/>
      <c r="E156" s="115"/>
      <c r="F156" s="116"/>
      <c r="G156" s="117"/>
      <c r="I156" s="116"/>
      <c r="J156" s="115"/>
      <c r="K156" s="11"/>
      <c r="L156" s="14"/>
    </row>
    <row r="157" spans="1:12">
      <c r="A157" s="5"/>
      <c r="C157" s="6" t="s">
        <v>311</v>
      </c>
      <c r="D157" s="11"/>
      <c r="E157" s="11"/>
      <c r="F157" s="11"/>
      <c r="G157" s="11"/>
      <c r="H157" s="11"/>
      <c r="I157" s="11"/>
      <c r="J157" s="11"/>
      <c r="K157" s="11"/>
      <c r="L157" s="14"/>
    </row>
    <row r="158" spans="1:12">
      <c r="A158" s="5">
        <v>1</v>
      </c>
      <c r="C158" s="6" t="s">
        <v>59</v>
      </c>
      <c r="D158" s="11" t="s">
        <v>210</v>
      </c>
      <c r="E158" s="153">
        <f>ROUND('Projected Revenues &amp; Expenses'!AE17,0)*1000</f>
        <v>184000</v>
      </c>
      <c r="F158" s="11"/>
      <c r="G158" s="11" t="s">
        <v>57</v>
      </c>
      <c r="H158" s="38">
        <f>J243</f>
        <v>1</v>
      </c>
      <c r="I158" s="11"/>
      <c r="J158" s="11">
        <f t="shared" ref="J158:J166" si="2">+H158*E158</f>
        <v>184000</v>
      </c>
      <c r="K158" s="7"/>
      <c r="L158" s="424"/>
    </row>
    <row r="159" spans="1:12">
      <c r="A159" s="94" t="s">
        <v>203</v>
      </c>
      <c r="B159" s="8"/>
      <c r="C159" s="46" t="s">
        <v>240</v>
      </c>
      <c r="D159" s="14"/>
      <c r="E159" s="17">
        <v>0</v>
      </c>
      <c r="F159" s="11"/>
      <c r="G159" s="118"/>
      <c r="H159" s="38">
        <v>1</v>
      </c>
      <c r="I159" s="11"/>
      <c r="J159" s="11">
        <f t="shared" si="2"/>
        <v>0</v>
      </c>
      <c r="K159" s="7"/>
      <c r="L159" s="14"/>
    </row>
    <row r="160" spans="1:12">
      <c r="A160" s="5">
        <v>2</v>
      </c>
      <c r="C160" s="6" t="s">
        <v>60</v>
      </c>
      <c r="D160" s="11" t="s">
        <v>211</v>
      </c>
      <c r="E160" s="17">
        <v>0</v>
      </c>
      <c r="F160" s="11"/>
      <c r="G160" s="11" t="s">
        <v>57</v>
      </c>
      <c r="H160" s="38">
        <f>+H158</f>
        <v>1</v>
      </c>
      <c r="I160" s="11"/>
      <c r="J160" s="11">
        <f t="shared" si="2"/>
        <v>0</v>
      </c>
      <c r="K160" s="7"/>
      <c r="L160" s="14"/>
    </row>
    <row r="161" spans="1:12">
      <c r="A161" s="5">
        <v>3</v>
      </c>
      <c r="C161" s="6" t="s">
        <v>61</v>
      </c>
      <c r="D161" s="11" t="s">
        <v>212</v>
      </c>
      <c r="E161" s="17">
        <f>ROUND('Projected Revenues &amp; Expenses'!AE18,0)*1000</f>
        <v>2980000</v>
      </c>
      <c r="F161" s="11"/>
      <c r="G161" s="11" t="s">
        <v>49</v>
      </c>
      <c r="H161" s="38">
        <f>+H94</f>
        <v>1</v>
      </c>
      <c r="I161" s="11"/>
      <c r="J161" s="11">
        <f t="shared" si="2"/>
        <v>2980000</v>
      </c>
      <c r="K161" s="11"/>
      <c r="L161" s="14" t="s">
        <v>2</v>
      </c>
    </row>
    <row r="162" spans="1:12">
      <c r="A162" s="5">
        <v>4</v>
      </c>
      <c r="C162" s="6" t="s">
        <v>62</v>
      </c>
      <c r="D162" s="11"/>
      <c r="E162" s="428">
        <v>0</v>
      </c>
      <c r="F162" s="11"/>
      <c r="G162" s="11" t="str">
        <f>+G161</f>
        <v>W/S</v>
      </c>
      <c r="H162" s="38">
        <f>+H161</f>
        <v>1</v>
      </c>
      <c r="I162" s="11"/>
      <c r="J162" s="11">
        <f t="shared" si="2"/>
        <v>0</v>
      </c>
      <c r="K162" s="11"/>
      <c r="L162" s="14"/>
    </row>
    <row r="163" spans="1:12">
      <c r="A163" s="5">
        <v>5</v>
      </c>
      <c r="C163" s="46" t="s">
        <v>241</v>
      </c>
      <c r="D163" s="14"/>
      <c r="E163" s="452">
        <f>ROUND('Projected Revenues &amp; Expenses'!AE34*1000,0)</f>
        <v>68720</v>
      </c>
      <c r="F163" s="11"/>
      <c r="G163" s="11" t="str">
        <f>+G162</f>
        <v>W/S</v>
      </c>
      <c r="H163" s="38">
        <f>+H162</f>
        <v>1</v>
      </c>
      <c r="I163" s="11"/>
      <c r="J163" s="11">
        <f t="shared" si="2"/>
        <v>68720</v>
      </c>
      <c r="K163" s="11"/>
      <c r="L163" s="14"/>
    </row>
    <row r="164" spans="1:12">
      <c r="A164" s="5" t="s">
        <v>181</v>
      </c>
      <c r="C164" s="46" t="s">
        <v>242</v>
      </c>
      <c r="D164" s="14"/>
      <c r="E164" s="153">
        <f>E163</f>
        <v>68720</v>
      </c>
      <c r="F164" s="11"/>
      <c r="G164" s="47" t="str">
        <f>+G158</f>
        <v>TE</v>
      </c>
      <c r="H164" s="48">
        <f>+H158</f>
        <v>1</v>
      </c>
      <c r="I164" s="11"/>
      <c r="J164" s="11">
        <f t="shared" si="2"/>
        <v>68720</v>
      </c>
      <c r="K164" s="11"/>
      <c r="L164" s="14"/>
    </row>
    <row r="165" spans="1:12">
      <c r="A165" s="5">
        <v>6</v>
      </c>
      <c r="C165" s="46" t="s">
        <v>50</v>
      </c>
      <c r="D165" s="14" t="str">
        <f>+D95</f>
        <v>356.1</v>
      </c>
      <c r="E165" s="17">
        <v>0</v>
      </c>
      <c r="F165" s="11"/>
      <c r="G165" s="11" t="s">
        <v>93</v>
      </c>
      <c r="H165" s="38">
        <f>+H95</f>
        <v>1</v>
      </c>
      <c r="I165" s="11"/>
      <c r="J165" s="11">
        <f t="shared" si="2"/>
        <v>0</v>
      </c>
      <c r="K165" s="11"/>
      <c r="L165" s="14"/>
    </row>
    <row r="166" spans="1:12" ht="16.5" thickBot="1">
      <c r="A166" s="5">
        <v>7</v>
      </c>
      <c r="C166" s="6" t="s">
        <v>63</v>
      </c>
      <c r="D166" s="11"/>
      <c r="E166" s="39">
        <v>0</v>
      </c>
      <c r="F166" s="11"/>
      <c r="G166" s="11" t="s">
        <v>2</v>
      </c>
      <c r="H166" s="38">
        <v>1</v>
      </c>
      <c r="I166" s="11"/>
      <c r="J166" s="105">
        <f t="shared" si="2"/>
        <v>0</v>
      </c>
      <c r="K166" s="11"/>
      <c r="L166" s="14"/>
    </row>
    <row r="167" spans="1:12">
      <c r="A167" s="5">
        <v>8</v>
      </c>
      <c r="C167" s="6" t="s">
        <v>243</v>
      </c>
      <c r="D167" s="11"/>
      <c r="E167" s="11">
        <f>+E158-E159-E160+E161-E162-E163+E164+E165+E166</f>
        <v>3164000</v>
      </c>
      <c r="F167" s="11"/>
      <c r="G167" s="11"/>
      <c r="H167" s="11"/>
      <c r="I167" s="11"/>
      <c r="J167" s="11">
        <f>+J158-J159-J160+J161-J162-J163+J164+J165+J166</f>
        <v>3164000</v>
      </c>
      <c r="K167" s="11"/>
      <c r="L167" s="14"/>
    </row>
    <row r="168" spans="1:12">
      <c r="A168" s="5"/>
      <c r="D168" s="11"/>
      <c r="F168" s="11"/>
      <c r="G168" s="11"/>
      <c r="H168" s="11"/>
      <c r="I168" s="11"/>
      <c r="K168" s="11"/>
      <c r="L168" s="14"/>
    </row>
    <row r="169" spans="1:12">
      <c r="A169" s="5"/>
      <c r="C169" s="6" t="s">
        <v>312</v>
      </c>
      <c r="D169" s="11"/>
      <c r="E169" s="11"/>
      <c r="F169" s="11"/>
      <c r="G169" s="11"/>
      <c r="H169" s="11"/>
      <c r="I169" s="11"/>
      <c r="J169" s="11"/>
      <c r="K169" s="11"/>
      <c r="L169" s="14"/>
    </row>
    <row r="170" spans="1:12">
      <c r="A170" s="5">
        <v>9</v>
      </c>
      <c r="C170" s="6" t="str">
        <f>+C158</f>
        <v xml:space="preserve">  Transmission </v>
      </c>
      <c r="D170" s="11" t="s">
        <v>64</v>
      </c>
      <c r="E170" s="17">
        <f>ROUND('Projected Revenues &amp; Expenses'!AE21,0)*1000</f>
        <v>1064000</v>
      </c>
      <c r="F170" s="11"/>
      <c r="G170" s="11" t="s">
        <v>11</v>
      </c>
      <c r="H170" s="38">
        <f>+H118</f>
        <v>1</v>
      </c>
      <c r="I170" s="11"/>
      <c r="J170" s="11">
        <f>+H170*E170</f>
        <v>1064000</v>
      </c>
      <c r="K170" s="11"/>
      <c r="L170" s="41"/>
    </row>
    <row r="171" spans="1:12">
      <c r="A171" s="5" t="s">
        <v>356</v>
      </c>
      <c r="C171" s="25" t="s">
        <v>358</v>
      </c>
      <c r="D171" s="11" t="s">
        <v>357</v>
      </c>
      <c r="E171" s="17">
        <v>0</v>
      </c>
      <c r="F171" s="11"/>
      <c r="G171" s="11" t="s">
        <v>11</v>
      </c>
      <c r="H171" s="38">
        <f>J233</f>
        <v>1</v>
      </c>
      <c r="I171" s="11"/>
      <c r="J171" s="11">
        <f>+H171*E171</f>
        <v>0</v>
      </c>
      <c r="K171" s="11"/>
      <c r="L171" s="41"/>
    </row>
    <row r="172" spans="1:12">
      <c r="A172" s="5">
        <v>10</v>
      </c>
      <c r="C172" s="6" t="s">
        <v>48</v>
      </c>
      <c r="D172" s="11" t="s">
        <v>313</v>
      </c>
      <c r="E172" s="17">
        <v>0</v>
      </c>
      <c r="F172" s="11"/>
      <c r="G172" s="11" t="s">
        <v>49</v>
      </c>
      <c r="H172" s="38">
        <f>+H161</f>
        <v>1</v>
      </c>
      <c r="I172" s="11"/>
      <c r="J172" s="11">
        <f>+H172*E172</f>
        <v>0</v>
      </c>
      <c r="K172" s="11"/>
      <c r="L172" s="41"/>
    </row>
    <row r="173" spans="1:12" ht="16.5" thickBot="1">
      <c r="A173" s="5">
        <v>11</v>
      </c>
      <c r="C173" s="6" t="str">
        <f>+C165</f>
        <v xml:space="preserve">  Common</v>
      </c>
      <c r="D173" s="11" t="s">
        <v>213</v>
      </c>
      <c r="E173" s="39">
        <v>0</v>
      </c>
      <c r="F173" s="11"/>
      <c r="G173" s="11" t="s">
        <v>93</v>
      </c>
      <c r="H173" s="38">
        <f>+H165</f>
        <v>1</v>
      </c>
      <c r="I173" s="11"/>
      <c r="J173" s="105">
        <f>+H173*E173</f>
        <v>0</v>
      </c>
      <c r="K173" s="11"/>
      <c r="L173" s="41"/>
    </row>
    <row r="174" spans="1:12">
      <c r="A174" s="5">
        <v>12</v>
      </c>
      <c r="C174" s="6" t="s">
        <v>244</v>
      </c>
      <c r="D174" s="11"/>
      <c r="E174" s="11">
        <f>SUM(E170:E173)</f>
        <v>1064000</v>
      </c>
      <c r="F174" s="11"/>
      <c r="G174" s="11"/>
      <c r="H174" s="11"/>
      <c r="I174" s="11"/>
      <c r="J174" s="11">
        <f>SUM(J170:J173)</f>
        <v>1064000</v>
      </c>
      <c r="K174" s="11"/>
      <c r="L174" s="14"/>
    </row>
    <row r="175" spans="1:12">
      <c r="A175" s="5"/>
      <c r="C175" s="6"/>
      <c r="D175" s="11"/>
      <c r="E175" s="11"/>
      <c r="F175" s="11"/>
      <c r="G175" s="11"/>
      <c r="H175" s="11"/>
      <c r="I175" s="11"/>
      <c r="J175" s="11"/>
      <c r="K175" s="11"/>
      <c r="L175" s="14"/>
    </row>
    <row r="176" spans="1:12">
      <c r="A176" s="5" t="s">
        <v>2</v>
      </c>
      <c r="C176" s="6" t="s">
        <v>222</v>
      </c>
      <c r="E176" s="11"/>
      <c r="F176" s="11"/>
      <c r="G176" s="11"/>
      <c r="H176" s="11"/>
      <c r="I176" s="11"/>
      <c r="J176" s="11"/>
      <c r="K176" s="11"/>
      <c r="L176" s="14"/>
    </row>
    <row r="177" spans="1:12">
      <c r="A177" s="5"/>
      <c r="C177" s="6" t="s">
        <v>65</v>
      </c>
      <c r="F177" s="11"/>
      <c r="G177" s="11"/>
      <c r="I177" s="11"/>
      <c r="K177" s="11"/>
      <c r="L177" s="41"/>
    </row>
    <row r="178" spans="1:12">
      <c r="A178" s="5">
        <v>13</v>
      </c>
      <c r="C178" s="6" t="s">
        <v>66</v>
      </c>
      <c r="D178" s="11" t="s">
        <v>192</v>
      </c>
      <c r="E178" s="17">
        <v>0</v>
      </c>
      <c r="F178" s="11"/>
      <c r="G178" s="11" t="s">
        <v>49</v>
      </c>
      <c r="H178" s="15">
        <f>+H172</f>
        <v>1</v>
      </c>
      <c r="I178" s="11"/>
      <c r="J178" s="11">
        <f>+H178*E178</f>
        <v>0</v>
      </c>
      <c r="K178" s="11"/>
      <c r="L178" s="41"/>
    </row>
    <row r="179" spans="1:12">
      <c r="A179" s="5">
        <v>14</v>
      </c>
      <c r="C179" s="6" t="s">
        <v>67</v>
      </c>
      <c r="D179" s="11" t="str">
        <f>+D178</f>
        <v>263.i</v>
      </c>
      <c r="E179" s="17">
        <v>0</v>
      </c>
      <c r="F179" s="11"/>
      <c r="G179" s="11" t="str">
        <f>+G178</f>
        <v>W/S</v>
      </c>
      <c r="H179" s="15">
        <f>+H178</f>
        <v>1</v>
      </c>
      <c r="I179" s="11"/>
      <c r="J179" s="11">
        <f>+H179*E179</f>
        <v>0</v>
      </c>
      <c r="K179" s="11"/>
      <c r="L179" s="41"/>
    </row>
    <row r="180" spans="1:12">
      <c r="A180" s="5">
        <v>15</v>
      </c>
      <c r="C180" s="6" t="s">
        <v>68</v>
      </c>
      <c r="D180" s="11" t="s">
        <v>2</v>
      </c>
      <c r="F180" s="11"/>
      <c r="G180" s="11"/>
      <c r="I180" s="11"/>
      <c r="K180" s="11"/>
      <c r="L180" s="41"/>
    </row>
    <row r="181" spans="1:12">
      <c r="A181" s="5">
        <v>16</v>
      </c>
      <c r="C181" s="6" t="s">
        <v>69</v>
      </c>
      <c r="D181" s="11" t="s">
        <v>192</v>
      </c>
      <c r="E181" s="17">
        <v>0</v>
      </c>
      <c r="F181" s="11"/>
      <c r="G181" s="11" t="s">
        <v>58</v>
      </c>
      <c r="H181" s="15">
        <f>+H88</f>
        <v>1</v>
      </c>
      <c r="I181" s="11"/>
      <c r="J181" s="11">
        <f>+H181*E181</f>
        <v>0</v>
      </c>
      <c r="K181" s="11"/>
      <c r="L181" s="41"/>
    </row>
    <row r="182" spans="1:12">
      <c r="A182" s="5">
        <v>17</v>
      </c>
      <c r="C182" s="6" t="s">
        <v>70</v>
      </c>
      <c r="D182" s="11" t="s">
        <v>192</v>
      </c>
      <c r="E182" s="17">
        <v>0</v>
      </c>
      <c r="F182" s="11"/>
      <c r="G182" s="14" t="str">
        <f>+G110</f>
        <v>NA</v>
      </c>
      <c r="H182" s="49" t="s">
        <v>182</v>
      </c>
      <c r="I182" s="11"/>
      <c r="J182" s="11">
        <v>0</v>
      </c>
      <c r="K182" s="11"/>
      <c r="L182" s="41"/>
    </row>
    <row r="183" spans="1:12">
      <c r="A183" s="5">
        <v>18</v>
      </c>
      <c r="C183" s="6" t="s">
        <v>71</v>
      </c>
      <c r="D183" s="11" t="str">
        <f>+D182</f>
        <v>263.i</v>
      </c>
      <c r="E183" s="17">
        <f>ROUND('Projected Revenues &amp; Expenses'!AE22,0)*1000</f>
        <v>82000</v>
      </c>
      <c r="F183" s="11"/>
      <c r="G183" s="11" t="str">
        <f>+G181</f>
        <v>GP</v>
      </c>
      <c r="H183" s="15">
        <f>+H181</f>
        <v>1</v>
      </c>
      <c r="I183" s="11"/>
      <c r="J183" s="11">
        <f>+H183*E183</f>
        <v>82000</v>
      </c>
      <c r="K183" s="11"/>
      <c r="L183" s="41"/>
    </row>
    <row r="184" spans="1:12" ht="16.5" thickBot="1">
      <c r="A184" s="5">
        <v>19</v>
      </c>
      <c r="C184" s="6" t="s">
        <v>72</v>
      </c>
      <c r="D184" s="11"/>
      <c r="E184" s="39">
        <v>0</v>
      </c>
      <c r="F184" s="11"/>
      <c r="G184" s="11" t="s">
        <v>58</v>
      </c>
      <c r="H184" s="15">
        <f>+H181</f>
        <v>1</v>
      </c>
      <c r="I184" s="11"/>
      <c r="J184" s="105">
        <f>+H184*E184</f>
        <v>0</v>
      </c>
      <c r="K184" s="11"/>
      <c r="L184" s="41"/>
    </row>
    <row r="185" spans="1:12">
      <c r="A185" s="5">
        <v>20</v>
      </c>
      <c r="C185" s="6" t="s">
        <v>73</v>
      </c>
      <c r="D185" s="11"/>
      <c r="E185" s="11">
        <f>SUM(E178:E184)</f>
        <v>82000</v>
      </c>
      <c r="F185" s="11"/>
      <c r="G185" s="11"/>
      <c r="H185" s="15"/>
      <c r="I185" s="11"/>
      <c r="J185" s="11">
        <f>SUM(J178:J184)</f>
        <v>82000</v>
      </c>
      <c r="K185" s="11"/>
      <c r="L185" s="14"/>
    </row>
    <row r="186" spans="1:12">
      <c r="A186" s="5"/>
      <c r="C186" s="6"/>
      <c r="D186" s="11"/>
      <c r="E186" s="11"/>
      <c r="F186" s="11"/>
      <c r="G186" s="11"/>
      <c r="H186" s="15"/>
      <c r="I186" s="11"/>
      <c r="J186" s="11"/>
      <c r="K186" s="11"/>
      <c r="L186" s="14"/>
    </row>
    <row r="187" spans="1:12">
      <c r="A187" s="5" t="s">
        <v>245</v>
      </c>
      <c r="C187" s="6"/>
      <c r="D187" s="11"/>
      <c r="E187" s="11"/>
      <c r="F187" s="11"/>
      <c r="G187" s="11"/>
      <c r="H187" s="15"/>
      <c r="I187" s="11"/>
      <c r="J187" s="11"/>
      <c r="K187" s="11"/>
      <c r="L187" s="14"/>
    </row>
    <row r="188" spans="1:12">
      <c r="A188" s="5" t="s">
        <v>2</v>
      </c>
      <c r="C188" s="6" t="s">
        <v>74</v>
      </c>
      <c r="D188" s="11" t="s">
        <v>246</v>
      </c>
      <c r="E188" s="11"/>
      <c r="F188" s="11"/>
      <c r="H188" s="50"/>
      <c r="I188" s="11"/>
      <c r="K188" s="11"/>
    </row>
    <row r="189" spans="1:12">
      <c r="A189" s="5">
        <v>21</v>
      </c>
      <c r="C189" s="51" t="s">
        <v>163</v>
      </c>
      <c r="D189" s="11"/>
      <c r="E189" s="52">
        <f>IF(E334&gt;0,1-(((1-E335)*(1-E334))/(1-E335*E334*E336)),0)</f>
        <v>0.41174999999999995</v>
      </c>
      <c r="F189" s="11"/>
      <c r="H189" s="50"/>
      <c r="I189" s="11"/>
      <c r="K189" s="11"/>
    </row>
    <row r="190" spans="1:12">
      <c r="A190" s="5">
        <v>22</v>
      </c>
      <c r="C190" s="1" t="s">
        <v>164</v>
      </c>
      <c r="D190" s="11"/>
      <c r="E190" s="52">
        <f>IF(J285&gt;0,(E189/(1-E189))*(1-J284/J285),0)</f>
        <v>0.5635360852240402</v>
      </c>
      <c r="F190" s="11"/>
      <c r="H190" s="50"/>
      <c r="I190" s="11"/>
      <c r="K190" s="11"/>
    </row>
    <row r="191" spans="1:12">
      <c r="A191" s="5"/>
      <c r="C191" s="6" t="s">
        <v>359</v>
      </c>
      <c r="D191" s="11"/>
      <c r="E191" s="11"/>
      <c r="F191" s="11"/>
      <c r="H191" s="50"/>
      <c r="I191" s="11"/>
      <c r="K191" s="11"/>
    </row>
    <row r="192" spans="1:12">
      <c r="A192" s="5"/>
      <c r="C192" s="6" t="s">
        <v>167</v>
      </c>
      <c r="D192" s="11"/>
      <c r="E192" s="11"/>
      <c r="F192" s="11"/>
      <c r="H192" s="50"/>
      <c r="I192" s="11"/>
      <c r="K192" s="11"/>
    </row>
    <row r="193" spans="1:12">
      <c r="A193" s="5">
        <v>23</v>
      </c>
      <c r="C193" s="51" t="s">
        <v>166</v>
      </c>
      <c r="D193" s="11"/>
      <c r="E193" s="53">
        <f>IF(E189&gt;0,1/(1-E189),0)</f>
        <v>1.6999575010624732</v>
      </c>
      <c r="F193" s="11"/>
      <c r="H193" s="50"/>
      <c r="I193" s="11"/>
      <c r="K193" s="11"/>
    </row>
    <row r="194" spans="1:12">
      <c r="A194" s="5">
        <v>24</v>
      </c>
      <c r="C194" s="6" t="s">
        <v>165</v>
      </c>
      <c r="D194" s="11"/>
      <c r="E194" s="17">
        <v>0</v>
      </c>
      <c r="F194" s="11"/>
      <c r="H194" s="50"/>
      <c r="I194" s="11"/>
      <c r="K194" s="11"/>
    </row>
    <row r="195" spans="1:12">
      <c r="A195" s="5"/>
      <c r="C195" s="6"/>
      <c r="D195" s="11"/>
      <c r="E195" s="11"/>
      <c r="F195" s="11"/>
      <c r="H195" s="50"/>
      <c r="I195" s="11"/>
      <c r="K195" s="11"/>
    </row>
    <row r="196" spans="1:12">
      <c r="A196" s="5">
        <v>25</v>
      </c>
      <c r="C196" s="51" t="s">
        <v>401</v>
      </c>
      <c r="D196" s="54"/>
      <c r="E196" s="11">
        <f>E190*(E200+E203)</f>
        <v>10819900.633202227</v>
      </c>
      <c r="F196" s="11"/>
      <c r="G196" s="11" t="s">
        <v>45</v>
      </c>
      <c r="H196" s="15"/>
      <c r="I196" s="11"/>
      <c r="J196" s="11">
        <f>E190*(J200+J203)</f>
        <v>10819900.633202227</v>
      </c>
      <c r="K196" s="11"/>
      <c r="L196" s="55" t="s">
        <v>2</v>
      </c>
    </row>
    <row r="197" spans="1:12" ht="16.5" thickBot="1">
      <c r="A197" s="5">
        <v>26</v>
      </c>
      <c r="C197" s="1" t="s">
        <v>168</v>
      </c>
      <c r="D197" s="54"/>
      <c r="E197" s="112">
        <f>E193*E194</f>
        <v>0</v>
      </c>
      <c r="F197" s="11"/>
      <c r="G197" s="1" t="s">
        <v>55</v>
      </c>
      <c r="H197" s="15">
        <f>H104</f>
        <v>1</v>
      </c>
      <c r="I197" s="11"/>
      <c r="J197" s="112">
        <f>H197*E197</f>
        <v>0</v>
      </c>
      <c r="K197" s="11"/>
      <c r="L197" s="55"/>
    </row>
    <row r="198" spans="1:12">
      <c r="A198" s="5">
        <v>27</v>
      </c>
      <c r="C198" s="56" t="s">
        <v>151</v>
      </c>
      <c r="D198" s="1" t="s">
        <v>169</v>
      </c>
      <c r="E198" s="44">
        <f>+E196+E197</f>
        <v>10819900.633202227</v>
      </c>
      <c r="F198" s="11"/>
      <c r="G198" s="11" t="s">
        <v>2</v>
      </c>
      <c r="H198" s="15" t="s">
        <v>2</v>
      </c>
      <c r="I198" s="11"/>
      <c r="J198" s="44">
        <f>+J196+J197</f>
        <v>10819900.633202227</v>
      </c>
      <c r="K198" s="11"/>
      <c r="L198" s="14"/>
    </row>
    <row r="199" spans="1:12">
      <c r="A199" s="5" t="s">
        <v>2</v>
      </c>
      <c r="D199" s="57"/>
      <c r="E199" s="11"/>
      <c r="F199" s="11"/>
      <c r="G199" s="11"/>
      <c r="H199" s="15"/>
      <c r="I199" s="11"/>
      <c r="J199" s="11"/>
      <c r="K199" s="11"/>
      <c r="L199" s="14"/>
    </row>
    <row r="200" spans="1:12">
      <c r="A200" s="5">
        <v>28</v>
      </c>
      <c r="C200" s="6" t="s">
        <v>360</v>
      </c>
      <c r="D200" s="40"/>
      <c r="E200" s="11">
        <f>+$J275*E126</f>
        <v>19359228.929877929</v>
      </c>
      <c r="F200" s="11"/>
      <c r="G200" s="11" t="s">
        <v>45</v>
      </c>
      <c r="H200" s="50"/>
      <c r="I200" s="11"/>
      <c r="J200" s="11">
        <f>+$J275*J126</f>
        <v>19359228.929877929</v>
      </c>
      <c r="K200" s="11"/>
    </row>
    <row r="201" spans="1:12">
      <c r="A201" s="5"/>
      <c r="C201" s="56" t="s">
        <v>247</v>
      </c>
      <c r="E201" s="11"/>
      <c r="F201" s="11"/>
      <c r="G201" s="11"/>
      <c r="H201" s="50"/>
      <c r="I201" s="11"/>
      <c r="J201" s="11"/>
      <c r="K201" s="11"/>
      <c r="L201" s="41"/>
    </row>
    <row r="202" spans="1:12">
      <c r="A202" s="5"/>
      <c r="C202" s="56"/>
      <c r="E202" s="11"/>
      <c r="F202" s="11"/>
      <c r="G202" s="11"/>
      <c r="H202" s="50"/>
      <c r="I202" s="11"/>
      <c r="J202" s="11"/>
      <c r="K202" s="11"/>
      <c r="L202" s="41"/>
    </row>
    <row r="203" spans="1:12">
      <c r="A203" s="5" t="s">
        <v>361</v>
      </c>
      <c r="C203" s="56" t="s">
        <v>362</v>
      </c>
      <c r="E203" s="14">
        <f>E129*J283</f>
        <v>-159215.09420554087</v>
      </c>
      <c r="F203" s="11"/>
      <c r="G203" s="11" t="s">
        <v>45</v>
      </c>
      <c r="H203" s="50"/>
      <c r="I203" s="11"/>
      <c r="J203" s="14">
        <f>J129*J283</f>
        <v>-159215.09420554087</v>
      </c>
      <c r="K203" s="11"/>
      <c r="L203" s="41"/>
    </row>
    <row r="204" spans="1:12">
      <c r="A204" s="5"/>
      <c r="C204" s="144" t="s">
        <v>364</v>
      </c>
      <c r="E204" s="11"/>
      <c r="F204" s="11"/>
      <c r="G204" s="11"/>
      <c r="H204" s="50"/>
      <c r="I204" s="11"/>
      <c r="J204" s="11"/>
      <c r="K204" s="11"/>
      <c r="L204" s="41"/>
    </row>
    <row r="205" spans="1:12">
      <c r="A205" s="5"/>
      <c r="C205" s="6"/>
      <c r="E205" s="43"/>
      <c r="F205" s="11"/>
      <c r="G205" s="11"/>
      <c r="H205" s="50"/>
      <c r="I205" s="11"/>
      <c r="J205" s="43"/>
      <c r="K205" s="11"/>
      <c r="L205" s="41"/>
    </row>
    <row r="206" spans="1:12">
      <c r="A206" s="5">
        <v>29</v>
      </c>
      <c r="C206" s="6" t="s">
        <v>363</v>
      </c>
      <c r="D206" s="11"/>
      <c r="E206" s="43">
        <f>+E200+E198+E185+E174+E167+E203</f>
        <v>34329914.468874611</v>
      </c>
      <c r="F206" s="11"/>
      <c r="G206" s="11"/>
      <c r="H206" s="11"/>
      <c r="I206" s="11"/>
      <c r="J206" s="43">
        <f>+J200+J198+J185+J174+J167+J203</f>
        <v>34329914.468874611</v>
      </c>
      <c r="K206" s="7"/>
      <c r="L206" s="10"/>
    </row>
    <row r="207" spans="1:12">
      <c r="A207" s="5"/>
      <c r="C207" s="6"/>
      <c r="D207" s="11"/>
      <c r="E207" s="43"/>
      <c r="F207" s="11"/>
      <c r="G207" s="11"/>
      <c r="H207" s="11"/>
      <c r="I207" s="11"/>
      <c r="J207" s="43"/>
      <c r="K207" s="7"/>
      <c r="L207" s="10"/>
    </row>
    <row r="208" spans="1:12">
      <c r="A208" s="5">
        <v>30</v>
      </c>
      <c r="C208" s="46" t="s">
        <v>225</v>
      </c>
      <c r="D208" s="14"/>
      <c r="E208" s="96"/>
      <c r="F208" s="11"/>
      <c r="G208" s="11"/>
      <c r="H208" s="11"/>
      <c r="I208" s="11"/>
      <c r="J208" s="43"/>
      <c r="K208" s="7"/>
      <c r="L208" s="10"/>
    </row>
    <row r="209" spans="1:12">
      <c r="C209" s="456" t="s">
        <v>403</v>
      </c>
      <c r="D209" s="456"/>
      <c r="F209" s="11"/>
      <c r="G209" s="11"/>
      <c r="H209" s="11"/>
      <c r="I209" s="11"/>
      <c r="J209" s="43"/>
      <c r="K209" s="7"/>
      <c r="L209" s="10"/>
    </row>
    <row r="210" spans="1:12">
      <c r="A210" s="5"/>
      <c r="C210" s="46" t="s">
        <v>402</v>
      </c>
      <c r="D210" s="14"/>
      <c r="E210" s="99">
        <v>0</v>
      </c>
      <c r="F210" s="11"/>
      <c r="G210" s="11"/>
      <c r="H210" s="11"/>
      <c r="I210" s="11"/>
      <c r="J210" s="137">
        <f>+E210</f>
        <v>0</v>
      </c>
      <c r="K210" s="7"/>
      <c r="L210" s="10"/>
    </row>
    <row r="211" spans="1:12">
      <c r="A211" s="5"/>
      <c r="C211" s="6"/>
      <c r="D211" s="11"/>
      <c r="E211" s="43"/>
      <c r="F211" s="11"/>
      <c r="G211" s="11"/>
      <c r="H211" s="11"/>
      <c r="I211" s="11"/>
      <c r="J211" s="43"/>
      <c r="K211" s="7"/>
      <c r="L211" s="10"/>
    </row>
    <row r="212" spans="1:12">
      <c r="A212" s="5" t="s">
        <v>301</v>
      </c>
      <c r="C212" s="46" t="s">
        <v>365</v>
      </c>
      <c r="D212" s="14"/>
      <c r="E212" s="96"/>
      <c r="F212" s="11"/>
      <c r="G212" s="11"/>
      <c r="H212" s="11"/>
      <c r="I212" s="11"/>
      <c r="J212" s="43"/>
      <c r="K212" s="7"/>
      <c r="L212" s="10"/>
    </row>
    <row r="213" spans="1:12">
      <c r="C213" s="456" t="s">
        <v>403</v>
      </c>
      <c r="D213" s="456"/>
      <c r="F213" s="11"/>
      <c r="G213" s="11"/>
      <c r="H213" s="11"/>
      <c r="I213" s="11"/>
      <c r="J213" s="43"/>
      <c r="K213" s="7"/>
      <c r="L213" s="10"/>
    </row>
    <row r="214" spans="1:12" ht="16.5" thickBot="1">
      <c r="A214" s="5"/>
      <c r="C214" s="46" t="s">
        <v>404</v>
      </c>
      <c r="D214" s="14"/>
      <c r="E214" s="137">
        <f>'ATXI Attach MM'!Q102</f>
        <v>25755418.511833668</v>
      </c>
      <c r="F214" s="11"/>
      <c r="G214" s="11"/>
      <c r="H214" s="11"/>
      <c r="I214" s="11"/>
      <c r="J214" s="137">
        <f>+E214</f>
        <v>25755418.511833668</v>
      </c>
      <c r="K214" s="7"/>
      <c r="L214" s="10"/>
    </row>
    <row r="215" spans="1:12" ht="16.5" thickBot="1">
      <c r="A215" s="5">
        <v>31</v>
      </c>
      <c r="C215" s="6" t="s">
        <v>221</v>
      </c>
      <c r="D215" s="11"/>
      <c r="E215" s="119">
        <f>+E206-E210-E214</f>
        <v>8574495.9570409432</v>
      </c>
      <c r="F215" s="11"/>
      <c r="G215" s="11"/>
      <c r="H215" s="11"/>
      <c r="I215" s="11"/>
      <c r="J215" s="119">
        <f>+J206-J210-J214</f>
        <v>8574495.9570409432</v>
      </c>
      <c r="K215" s="7"/>
      <c r="L215" s="10"/>
    </row>
    <row r="216" spans="1:12" ht="16.5" thickTop="1">
      <c r="A216" s="5"/>
      <c r="C216" s="6" t="s">
        <v>302</v>
      </c>
      <c r="D216" s="11"/>
      <c r="E216" s="43"/>
      <c r="F216" s="11"/>
      <c r="G216" s="11"/>
      <c r="H216" s="11"/>
      <c r="I216" s="11"/>
      <c r="J216" s="43"/>
      <c r="K216" s="7"/>
      <c r="L216" s="10"/>
    </row>
    <row r="217" spans="1:12">
      <c r="A217" s="5"/>
      <c r="C217" s="6"/>
      <c r="D217" s="11"/>
      <c r="E217" s="43"/>
      <c r="F217" s="11"/>
      <c r="G217" s="11"/>
      <c r="H217" s="11"/>
      <c r="I217" s="11"/>
      <c r="J217" s="43"/>
      <c r="K217" s="7"/>
      <c r="L217" s="10"/>
    </row>
    <row r="218" spans="1:12">
      <c r="A218" s="5"/>
      <c r="C218" s="6"/>
      <c r="D218" s="11"/>
      <c r="E218" s="43"/>
      <c r="F218" s="11"/>
      <c r="G218" s="11"/>
      <c r="H218" s="11"/>
      <c r="I218" s="11"/>
      <c r="J218" s="43"/>
      <c r="K218" s="7"/>
      <c r="L218" s="10"/>
    </row>
    <row r="219" spans="1:12">
      <c r="C219" s="2"/>
      <c r="D219" s="2"/>
      <c r="E219" s="3"/>
      <c r="F219" s="2"/>
      <c r="G219" s="2"/>
      <c r="H219" s="2"/>
      <c r="I219" s="4"/>
      <c r="J219" s="4"/>
      <c r="K219" s="7"/>
      <c r="L219" s="29" t="s">
        <v>317</v>
      </c>
    </row>
    <row r="220" spans="1:12">
      <c r="C220" s="2" t="s">
        <v>0</v>
      </c>
      <c r="D220" s="2"/>
      <c r="E220" s="3" t="s">
        <v>1</v>
      </c>
      <c r="F220" s="2"/>
      <c r="G220" s="2"/>
      <c r="H220" s="2"/>
      <c r="I220" s="4"/>
      <c r="J220" s="2"/>
      <c r="K220" s="2"/>
      <c r="L220" s="268" t="str">
        <f>$L$4</f>
        <v>Projected For the 12 months ended 12/31/2014</v>
      </c>
    </row>
    <row r="221" spans="1:12">
      <c r="C221" s="2"/>
      <c r="D221" s="11" t="s">
        <v>2</v>
      </c>
      <c r="E221" s="11" t="s">
        <v>3</v>
      </c>
      <c r="F221" s="11"/>
      <c r="G221" s="11"/>
      <c r="H221" s="11"/>
      <c r="I221" s="4"/>
      <c r="J221" s="4"/>
      <c r="K221" s="7"/>
      <c r="L221" s="10"/>
    </row>
    <row r="222" spans="1:12">
      <c r="A222" s="5"/>
      <c r="K222" s="11"/>
      <c r="L222" s="14"/>
    </row>
    <row r="223" spans="1:12">
      <c r="A223" s="5"/>
      <c r="D223" s="133"/>
      <c r="E223" s="132" t="str">
        <f>E7</f>
        <v>ATXI</v>
      </c>
      <c r="F223" s="134"/>
      <c r="G223" s="134"/>
      <c r="H223" s="134"/>
      <c r="K223" s="11"/>
      <c r="L223" s="14"/>
    </row>
    <row r="224" spans="1:12">
      <c r="A224" s="5"/>
      <c r="D224" s="37" t="s">
        <v>75</v>
      </c>
      <c r="F224" s="7"/>
      <c r="G224" s="7"/>
      <c r="H224" s="7"/>
      <c r="I224" s="7"/>
      <c r="J224" s="7"/>
      <c r="K224" s="11"/>
      <c r="L224" s="14"/>
    </row>
    <row r="225" spans="1:12">
      <c r="A225" s="5" t="s">
        <v>4</v>
      </c>
      <c r="C225" s="37"/>
      <c r="D225" s="7"/>
      <c r="E225" s="7"/>
      <c r="F225" s="7"/>
      <c r="G225" s="7"/>
      <c r="H225" s="7"/>
      <c r="I225" s="7"/>
      <c r="J225" s="7"/>
      <c r="K225" s="11"/>
      <c r="L225" s="14"/>
    </row>
    <row r="226" spans="1:12" ht="16.5" thickBot="1">
      <c r="A226" s="102" t="s">
        <v>6</v>
      </c>
      <c r="C226" s="58" t="s">
        <v>78</v>
      </c>
      <c r="D226" s="10"/>
      <c r="E226" s="10"/>
      <c r="F226" s="10"/>
      <c r="G226" s="10"/>
      <c r="H226" s="10"/>
      <c r="I226" s="8"/>
      <c r="J226" s="8"/>
      <c r="K226" s="14"/>
      <c r="L226" s="14"/>
    </row>
    <row r="227" spans="1:12">
      <c r="A227" s="5"/>
      <c r="C227" s="58"/>
      <c r="D227" s="10"/>
      <c r="E227" s="10"/>
      <c r="F227" s="10"/>
      <c r="G227" s="10"/>
      <c r="H227" s="10"/>
      <c r="I227" s="10"/>
      <c r="J227" s="10"/>
      <c r="K227" s="14"/>
      <c r="L227" s="14"/>
    </row>
    <row r="228" spans="1:12">
      <c r="A228" s="5">
        <v>1</v>
      </c>
      <c r="C228" s="19" t="s">
        <v>366</v>
      </c>
      <c r="D228" s="10"/>
      <c r="E228" s="14"/>
      <c r="F228" s="14"/>
      <c r="G228" s="14"/>
      <c r="H228" s="14"/>
      <c r="I228" s="14"/>
      <c r="J228" s="14">
        <f>E84+E107</f>
        <v>238580000</v>
      </c>
      <c r="K228" s="14"/>
      <c r="L228" s="14"/>
    </row>
    <row r="229" spans="1:12">
      <c r="A229" s="5">
        <v>2</v>
      </c>
      <c r="C229" s="19" t="s">
        <v>248</v>
      </c>
      <c r="D229" s="8"/>
      <c r="E229" s="8"/>
      <c r="F229" s="8"/>
      <c r="G229" s="8"/>
      <c r="H229" s="8"/>
      <c r="I229" s="8"/>
      <c r="J229" s="17">
        <v>0</v>
      </c>
      <c r="K229" s="14"/>
      <c r="L229" s="14"/>
    </row>
    <row r="230" spans="1:12" ht="16.5" thickBot="1">
      <c r="A230" s="5">
        <v>3</v>
      </c>
      <c r="C230" s="120" t="s">
        <v>249</v>
      </c>
      <c r="D230" s="121"/>
      <c r="E230" s="122"/>
      <c r="F230" s="14"/>
      <c r="G230" s="14"/>
      <c r="H230" s="59"/>
      <c r="I230" s="14"/>
      <c r="J230" s="39">
        <v>0</v>
      </c>
      <c r="K230" s="14"/>
      <c r="L230" s="14"/>
    </row>
    <row r="231" spans="1:12">
      <c r="A231" s="5">
        <v>4</v>
      </c>
      <c r="C231" s="19" t="s">
        <v>187</v>
      </c>
      <c r="D231" s="10"/>
      <c r="E231" s="14"/>
      <c r="F231" s="14"/>
      <c r="G231" s="14"/>
      <c r="H231" s="59"/>
      <c r="I231" s="14"/>
      <c r="J231" s="14">
        <f>J228-J229-J230</f>
        <v>238580000</v>
      </c>
      <c r="K231" s="14"/>
      <c r="L231" s="14"/>
    </row>
    <row r="232" spans="1:12">
      <c r="A232" s="5"/>
      <c r="C232" s="8"/>
      <c r="D232" s="10"/>
      <c r="E232" s="14"/>
      <c r="F232" s="14"/>
      <c r="G232" s="14"/>
      <c r="H232" s="59"/>
      <c r="I232" s="14"/>
      <c r="J232" s="8"/>
      <c r="K232" s="14"/>
      <c r="L232" s="14"/>
    </row>
    <row r="233" spans="1:12">
      <c r="A233" s="5">
        <v>5</v>
      </c>
      <c r="C233" s="19" t="s">
        <v>250</v>
      </c>
      <c r="D233" s="60"/>
      <c r="E233" s="61"/>
      <c r="F233" s="61"/>
      <c r="G233" s="61"/>
      <c r="H233" s="62"/>
      <c r="I233" s="14" t="s">
        <v>79</v>
      </c>
      <c r="J233" s="42">
        <f>IF(J228&gt;0,J231/J228,0)</f>
        <v>1</v>
      </c>
      <c r="K233" s="14"/>
      <c r="L233" s="14"/>
    </row>
    <row r="234" spans="1:12">
      <c r="A234" s="5"/>
      <c r="C234" s="8"/>
      <c r="D234" s="8"/>
      <c r="E234" s="8"/>
      <c r="F234" s="8"/>
      <c r="G234" s="8"/>
      <c r="H234" s="8"/>
      <c r="I234" s="8"/>
      <c r="J234" s="8"/>
      <c r="K234" s="14"/>
      <c r="L234" s="14"/>
    </row>
    <row r="235" spans="1:12">
      <c r="A235" s="5"/>
      <c r="C235" s="46" t="s">
        <v>76</v>
      </c>
      <c r="D235" s="8"/>
      <c r="E235" s="8"/>
      <c r="F235" s="8"/>
      <c r="G235" s="8"/>
      <c r="H235" s="8"/>
      <c r="I235" s="8"/>
      <c r="J235" s="8"/>
      <c r="K235" s="14"/>
      <c r="L235" s="14"/>
    </row>
    <row r="236" spans="1:12">
      <c r="A236" s="5"/>
      <c r="C236" s="8"/>
      <c r="D236" s="8"/>
      <c r="E236" s="8"/>
      <c r="F236" s="8"/>
      <c r="G236" s="8"/>
      <c r="H236" s="8"/>
      <c r="I236" s="8"/>
      <c r="J236" s="8"/>
      <c r="K236" s="14"/>
      <c r="L236" s="14"/>
    </row>
    <row r="237" spans="1:12">
      <c r="A237" s="5">
        <v>6</v>
      </c>
      <c r="C237" s="8" t="s">
        <v>251</v>
      </c>
      <c r="D237" s="8"/>
      <c r="E237" s="10"/>
      <c r="F237" s="10"/>
      <c r="G237" s="10"/>
      <c r="H237" s="9"/>
      <c r="I237" s="10"/>
      <c r="J237" s="14">
        <f>E158</f>
        <v>184000</v>
      </c>
      <c r="K237" s="14"/>
      <c r="L237" s="14"/>
    </row>
    <row r="238" spans="1:12" ht="16.5" thickBot="1">
      <c r="A238" s="5">
        <v>7</v>
      </c>
      <c r="C238" s="120" t="s">
        <v>252</v>
      </c>
      <c r="D238" s="121"/>
      <c r="E238" s="122"/>
      <c r="F238" s="122"/>
      <c r="G238" s="14"/>
      <c r="H238" s="14"/>
      <c r="I238" s="14"/>
      <c r="J238" s="39">
        <v>0</v>
      </c>
      <c r="K238" s="14"/>
      <c r="L238" s="14"/>
    </row>
    <row r="239" spans="1:12">
      <c r="A239" s="5">
        <v>8</v>
      </c>
      <c r="C239" s="19" t="s">
        <v>253</v>
      </c>
      <c r="D239" s="60"/>
      <c r="E239" s="61"/>
      <c r="F239" s="61"/>
      <c r="G239" s="61"/>
      <c r="H239" s="62"/>
      <c r="I239" s="61"/>
      <c r="J239" s="14">
        <f>+J237-J238</f>
        <v>184000</v>
      </c>
      <c r="K239" s="8"/>
    </row>
    <row r="240" spans="1:12">
      <c r="A240" s="5"/>
      <c r="C240" s="19"/>
      <c r="D240" s="10"/>
      <c r="E240" s="14"/>
      <c r="F240" s="14"/>
      <c r="G240" s="14"/>
      <c r="H240" s="14"/>
      <c r="I240" s="8"/>
      <c r="J240" s="8"/>
      <c r="K240" s="8"/>
    </row>
    <row r="241" spans="1:12">
      <c r="A241" s="5">
        <v>9</v>
      </c>
      <c r="C241" s="19" t="s">
        <v>254</v>
      </c>
      <c r="D241" s="10"/>
      <c r="E241" s="14"/>
      <c r="F241" s="14"/>
      <c r="G241" s="14"/>
      <c r="H241" s="14"/>
      <c r="I241" s="14"/>
      <c r="J241" s="48">
        <f>IF(J237&gt;0,J239/J237,0)</f>
        <v>1</v>
      </c>
      <c r="K241" s="8"/>
    </row>
    <row r="242" spans="1:12">
      <c r="A242" s="5">
        <v>10</v>
      </c>
      <c r="C242" s="19" t="s">
        <v>255</v>
      </c>
      <c r="D242" s="10"/>
      <c r="E242" s="14"/>
      <c r="F242" s="14"/>
      <c r="G242" s="14"/>
      <c r="H242" s="14"/>
      <c r="I242" s="10" t="s">
        <v>11</v>
      </c>
      <c r="J242" s="63">
        <f>J233</f>
        <v>1</v>
      </c>
      <c r="K242" s="8"/>
    </row>
    <row r="243" spans="1:12">
      <c r="A243" s="5">
        <v>11</v>
      </c>
      <c r="C243" s="19" t="s">
        <v>256</v>
      </c>
      <c r="D243" s="10"/>
      <c r="E243" s="10"/>
      <c r="F243" s="10"/>
      <c r="G243" s="10"/>
      <c r="H243" s="10"/>
      <c r="I243" s="10" t="s">
        <v>77</v>
      </c>
      <c r="J243" s="64">
        <f>+J242*J241</f>
        <v>1</v>
      </c>
      <c r="K243" s="8"/>
    </row>
    <row r="244" spans="1:12">
      <c r="A244" s="5"/>
      <c r="D244" s="7"/>
      <c r="E244" s="11"/>
      <c r="F244" s="11"/>
      <c r="G244" s="11"/>
      <c r="H244" s="65"/>
      <c r="I244" s="11"/>
    </row>
    <row r="245" spans="1:12">
      <c r="A245" s="5" t="s">
        <v>2</v>
      </c>
      <c r="C245" s="6" t="s">
        <v>80</v>
      </c>
      <c r="D245" s="11"/>
      <c r="E245" s="11"/>
      <c r="F245" s="11"/>
      <c r="G245" s="11"/>
      <c r="H245" s="11"/>
      <c r="I245" s="11"/>
      <c r="J245" s="11"/>
      <c r="K245" s="11"/>
      <c r="L245" s="14"/>
    </row>
    <row r="246" spans="1:12" ht="16.5" thickBot="1">
      <c r="A246" s="5" t="s">
        <v>2</v>
      </c>
      <c r="C246" s="6"/>
      <c r="D246" s="105" t="s">
        <v>81</v>
      </c>
      <c r="E246" s="123" t="s">
        <v>82</v>
      </c>
      <c r="F246" s="123" t="s">
        <v>11</v>
      </c>
      <c r="G246" s="11"/>
      <c r="H246" s="123" t="s">
        <v>83</v>
      </c>
      <c r="I246" s="11"/>
      <c r="J246" s="11"/>
      <c r="K246" s="11"/>
      <c r="L246" s="14"/>
    </row>
    <row r="247" spans="1:12">
      <c r="A247" s="5">
        <v>12</v>
      </c>
      <c r="C247" s="6" t="s">
        <v>44</v>
      </c>
      <c r="D247" s="11" t="s">
        <v>214</v>
      </c>
      <c r="E247" s="17">
        <v>0</v>
      </c>
      <c r="F247" s="66">
        <v>0</v>
      </c>
      <c r="G247" s="66"/>
      <c r="H247" s="11">
        <f>E247*F247</f>
        <v>0</v>
      </c>
      <c r="I247" s="11"/>
      <c r="J247" s="11"/>
      <c r="K247" s="11"/>
      <c r="L247" s="14"/>
    </row>
    <row r="248" spans="1:12">
      <c r="A248" s="5">
        <v>13</v>
      </c>
      <c r="C248" s="6" t="s">
        <v>46</v>
      </c>
      <c r="D248" s="11" t="s">
        <v>215</v>
      </c>
      <c r="E248" s="17">
        <f>ROUND('Projected Revenues &amp; Expenses'!AE29,0)*1000</f>
        <v>517000</v>
      </c>
      <c r="F248" s="66">
        <f>+J233</f>
        <v>1</v>
      </c>
      <c r="G248" s="66"/>
      <c r="H248" s="11">
        <f>E248*F248</f>
        <v>517000</v>
      </c>
      <c r="I248" s="11"/>
      <c r="J248" s="11"/>
      <c r="K248" s="11"/>
      <c r="L248" s="14"/>
    </row>
    <row r="249" spans="1:12">
      <c r="A249" s="5">
        <v>14</v>
      </c>
      <c r="C249" s="6" t="s">
        <v>47</v>
      </c>
      <c r="D249" s="11" t="s">
        <v>216</v>
      </c>
      <c r="E249" s="17">
        <v>0</v>
      </c>
      <c r="F249" s="66">
        <v>0</v>
      </c>
      <c r="G249" s="66"/>
      <c r="H249" s="11">
        <f>E249*F249</f>
        <v>0</v>
      </c>
      <c r="I249" s="11"/>
      <c r="J249" s="67" t="s">
        <v>84</v>
      </c>
      <c r="K249" s="11"/>
      <c r="L249" s="14"/>
    </row>
    <row r="250" spans="1:12" ht="16.5" thickBot="1">
      <c r="A250" s="5">
        <v>15</v>
      </c>
      <c r="C250" s="6" t="s">
        <v>85</v>
      </c>
      <c r="D250" s="11" t="s">
        <v>257</v>
      </c>
      <c r="E250" s="39">
        <v>0</v>
      </c>
      <c r="F250" s="66">
        <v>0</v>
      </c>
      <c r="G250" s="66"/>
      <c r="H250" s="105">
        <f>E250*F250</f>
        <v>0</v>
      </c>
      <c r="I250" s="11"/>
      <c r="J250" s="102" t="s">
        <v>86</v>
      </c>
      <c r="K250" s="11"/>
      <c r="L250" s="14"/>
    </row>
    <row r="251" spans="1:12">
      <c r="A251" s="5">
        <v>16</v>
      </c>
      <c r="C251" s="6" t="s">
        <v>179</v>
      </c>
      <c r="D251" s="11"/>
      <c r="E251" s="11">
        <f>SUM(E247:E250)</f>
        <v>517000</v>
      </c>
      <c r="F251" s="11"/>
      <c r="G251" s="11"/>
      <c r="H251" s="11">
        <f>SUM(H247:H250)</f>
        <v>517000</v>
      </c>
      <c r="I251" s="30" t="s">
        <v>87</v>
      </c>
      <c r="J251" s="38">
        <f>IF(H251&gt;0,H251/E251,0)</f>
        <v>1</v>
      </c>
      <c r="K251" s="65" t="s">
        <v>87</v>
      </c>
      <c r="L251" s="14" t="s">
        <v>171</v>
      </c>
    </row>
    <row r="252" spans="1:12">
      <c r="A252" s="5"/>
      <c r="C252" s="6"/>
      <c r="D252" s="11"/>
      <c r="E252" s="11"/>
      <c r="F252" s="11"/>
      <c r="G252" s="11"/>
      <c r="H252" s="11"/>
      <c r="I252" s="11"/>
      <c r="J252" s="11"/>
      <c r="K252" s="11"/>
      <c r="L252" s="14"/>
    </row>
    <row r="253" spans="1:12">
      <c r="A253" s="5"/>
      <c r="C253" s="6" t="s">
        <v>258</v>
      </c>
      <c r="D253" s="11"/>
      <c r="E253" s="11"/>
      <c r="F253" s="11"/>
      <c r="G253" s="11"/>
      <c r="H253" s="11"/>
      <c r="I253" s="11"/>
      <c r="J253" s="11"/>
      <c r="K253" s="11"/>
      <c r="L253" s="14"/>
    </row>
    <row r="254" spans="1:12">
      <c r="A254" s="5"/>
      <c r="C254" s="6"/>
      <c r="D254" s="11"/>
      <c r="E254" s="33" t="s">
        <v>82</v>
      </c>
      <c r="F254" s="11"/>
      <c r="G254" s="11"/>
      <c r="H254" s="65" t="s">
        <v>88</v>
      </c>
      <c r="I254" s="50" t="s">
        <v>2</v>
      </c>
      <c r="J254" s="40" t="str">
        <f>+J249</f>
        <v>W&amp;S Allocator</v>
      </c>
    </row>
    <row r="255" spans="1:12">
      <c r="A255" s="5">
        <v>17</v>
      </c>
      <c r="C255" s="6" t="s">
        <v>89</v>
      </c>
      <c r="D255" s="11" t="s">
        <v>90</v>
      </c>
      <c r="E255" s="17">
        <f>ROUND('Projected Rate Base'!AE11,0)*1000</f>
        <v>72401000</v>
      </c>
      <c r="F255" s="11"/>
      <c r="H255" s="5" t="s">
        <v>91</v>
      </c>
      <c r="I255" s="68"/>
      <c r="J255" s="5" t="s">
        <v>92</v>
      </c>
      <c r="K255" s="11"/>
      <c r="L255" s="9" t="s">
        <v>93</v>
      </c>
    </row>
    <row r="256" spans="1:12">
      <c r="A256" s="5">
        <v>18</v>
      </c>
      <c r="C256" s="6" t="s">
        <v>94</v>
      </c>
      <c r="D256" s="11" t="s">
        <v>193</v>
      </c>
      <c r="E256" s="17">
        <v>0</v>
      </c>
      <c r="F256" s="11"/>
      <c r="H256" s="15">
        <f>IF(E258&gt;0,E255/E258,0)</f>
        <v>1</v>
      </c>
      <c r="I256" s="65" t="s">
        <v>95</v>
      </c>
      <c r="J256" s="15">
        <f>J251</f>
        <v>1</v>
      </c>
      <c r="K256" s="50" t="s">
        <v>87</v>
      </c>
      <c r="L256" s="69">
        <f>J256*H256</f>
        <v>1</v>
      </c>
    </row>
    <row r="257" spans="1:12" ht="16.5" thickBot="1">
      <c r="A257" s="5">
        <v>19</v>
      </c>
      <c r="C257" s="124" t="s">
        <v>96</v>
      </c>
      <c r="D257" s="105" t="s">
        <v>194</v>
      </c>
      <c r="E257" s="39">
        <v>0</v>
      </c>
      <c r="F257" s="11"/>
      <c r="G257" s="11"/>
      <c r="H257" s="11" t="s">
        <v>2</v>
      </c>
      <c r="I257" s="11"/>
      <c r="J257" s="11"/>
      <c r="K257" s="11"/>
      <c r="L257" s="14"/>
    </row>
    <row r="258" spans="1:12">
      <c r="A258" s="5">
        <v>20</v>
      </c>
      <c r="C258" s="6" t="s">
        <v>152</v>
      </c>
      <c r="D258" s="11"/>
      <c r="E258" s="11">
        <f>E255+E256+E257</f>
        <v>72401000</v>
      </c>
      <c r="F258" s="11"/>
      <c r="G258" s="11"/>
      <c r="H258" s="11"/>
      <c r="I258" s="11"/>
      <c r="J258" s="11"/>
      <c r="K258" s="11"/>
      <c r="L258" s="14"/>
    </row>
    <row r="259" spans="1:12">
      <c r="A259" s="5"/>
      <c r="C259" s="6"/>
      <c r="D259" s="11"/>
      <c r="F259" s="11"/>
      <c r="G259" s="11"/>
      <c r="H259" s="11"/>
      <c r="I259" s="11"/>
      <c r="J259" s="11"/>
      <c r="K259" s="11"/>
      <c r="L259" s="14"/>
    </row>
    <row r="260" spans="1:12" ht="16.5" thickBot="1">
      <c r="A260" s="5"/>
      <c r="B260" s="4"/>
      <c r="C260" s="2" t="s">
        <v>97</v>
      </c>
      <c r="D260" s="11"/>
      <c r="E260" s="11"/>
      <c r="F260" s="11"/>
      <c r="G260" s="11"/>
      <c r="H260" s="11"/>
      <c r="I260" s="11"/>
      <c r="J260" s="123" t="s">
        <v>82</v>
      </c>
      <c r="K260" s="11"/>
      <c r="L260" s="14"/>
    </row>
    <row r="261" spans="1:12">
      <c r="A261" s="5">
        <v>21</v>
      </c>
      <c r="B261" s="4"/>
      <c r="C261" s="4"/>
      <c r="D261" s="11" t="s">
        <v>197</v>
      </c>
      <c r="E261" s="11"/>
      <c r="F261" s="11"/>
      <c r="G261" s="11"/>
      <c r="H261" s="11"/>
      <c r="I261" s="11"/>
      <c r="J261" s="353">
        <f>ROUND('Projected Capitalization'!AE16,0)*1000</f>
        <v>3514000</v>
      </c>
      <c r="K261" s="11"/>
      <c r="L261" s="14"/>
    </row>
    <row r="262" spans="1:12">
      <c r="A262" s="5"/>
      <c r="C262" s="6"/>
      <c r="D262" s="11"/>
      <c r="E262" s="11"/>
      <c r="F262" s="11"/>
      <c r="G262" s="11"/>
      <c r="H262" s="11"/>
      <c r="I262" s="11"/>
      <c r="J262" s="11"/>
      <c r="K262" s="11"/>
      <c r="L262" s="14"/>
    </row>
    <row r="263" spans="1:12">
      <c r="A263" s="5">
        <v>22</v>
      </c>
      <c r="B263" s="4"/>
      <c r="C263" s="2"/>
      <c r="D263" s="11" t="s">
        <v>98</v>
      </c>
      <c r="E263" s="11"/>
      <c r="F263" s="11"/>
      <c r="G263" s="11"/>
      <c r="H263" s="11"/>
      <c r="I263" s="14"/>
      <c r="J263" s="70">
        <v>0</v>
      </c>
      <c r="K263" s="11"/>
      <c r="L263" s="14"/>
    </row>
    <row r="264" spans="1:12">
      <c r="A264" s="5"/>
      <c r="B264" s="4"/>
      <c r="C264" s="2"/>
      <c r="D264" s="11"/>
      <c r="E264" s="11"/>
      <c r="F264" s="11"/>
      <c r="G264" s="11"/>
      <c r="H264" s="11"/>
      <c r="I264" s="11"/>
      <c r="J264" s="11"/>
      <c r="K264" s="11"/>
      <c r="L264" s="14"/>
    </row>
    <row r="265" spans="1:12">
      <c r="A265" s="5"/>
      <c r="B265" s="4"/>
      <c r="C265" s="2" t="s">
        <v>367</v>
      </c>
      <c r="D265" s="11"/>
      <c r="E265" s="11"/>
      <c r="F265" s="11"/>
      <c r="G265" s="11"/>
      <c r="H265" s="11"/>
      <c r="I265" s="11"/>
      <c r="J265" s="11"/>
      <c r="K265" s="11"/>
      <c r="L265" s="14"/>
    </row>
    <row r="266" spans="1:12">
      <c r="A266" s="5">
        <v>23</v>
      </c>
      <c r="B266" s="4"/>
      <c r="C266" s="2"/>
      <c r="D266" s="11" t="s">
        <v>198</v>
      </c>
      <c r="E266" s="4"/>
      <c r="F266" s="11"/>
      <c r="G266" s="11"/>
      <c r="H266" s="11"/>
      <c r="I266" s="11"/>
      <c r="J266" s="17">
        <f>ROUND('Projected Capitalization'!AE10,0)*1000</f>
        <v>121344000</v>
      </c>
      <c r="K266" s="11"/>
      <c r="L266" s="14"/>
    </row>
    <row r="267" spans="1:12">
      <c r="A267" s="5">
        <v>24</v>
      </c>
      <c r="B267" s="4"/>
      <c r="C267" s="2"/>
      <c r="D267" s="11" t="s">
        <v>180</v>
      </c>
      <c r="E267" s="11"/>
      <c r="F267" s="11"/>
      <c r="G267" s="11"/>
      <c r="H267" s="11"/>
      <c r="I267" s="11"/>
      <c r="J267" s="71">
        <f>-E273</f>
        <v>0</v>
      </c>
      <c r="K267" s="11"/>
      <c r="L267" s="14"/>
    </row>
    <row r="268" spans="1:12" ht="16.5" thickBot="1">
      <c r="A268" s="5">
        <v>25</v>
      </c>
      <c r="B268" s="4"/>
      <c r="C268" s="2"/>
      <c r="D268" s="11" t="s">
        <v>199</v>
      </c>
      <c r="E268" s="11"/>
      <c r="F268" s="11"/>
      <c r="G268" s="11"/>
      <c r="H268" s="11"/>
      <c r="I268" s="11"/>
      <c r="J268" s="39">
        <v>0</v>
      </c>
      <c r="K268" s="11"/>
      <c r="L268" s="14"/>
    </row>
    <row r="269" spans="1:12">
      <c r="A269" s="5">
        <v>26</v>
      </c>
      <c r="B269" s="4"/>
      <c r="C269" s="4"/>
      <c r="D269" s="11" t="s">
        <v>99</v>
      </c>
      <c r="E269" s="4" t="s">
        <v>100</v>
      </c>
      <c r="F269" s="4"/>
      <c r="G269" s="4"/>
      <c r="H269" s="4"/>
      <c r="I269" s="4"/>
      <c r="J269" s="11">
        <f>+J266+J267+J268</f>
        <v>121344000</v>
      </c>
      <c r="K269" s="11"/>
      <c r="L269" s="14"/>
    </row>
    <row r="270" spans="1:12">
      <c r="A270" s="5"/>
      <c r="C270" s="6"/>
      <c r="D270" s="11"/>
      <c r="E270" s="11"/>
      <c r="F270" s="11"/>
      <c r="G270" s="11"/>
      <c r="H270" s="65" t="s">
        <v>101</v>
      </c>
      <c r="I270" s="11"/>
      <c r="J270" s="11"/>
      <c r="K270" s="11"/>
      <c r="L270" s="14"/>
    </row>
    <row r="271" spans="1:12" ht="16.5" thickBot="1">
      <c r="A271" s="5"/>
      <c r="C271" s="6" t="s">
        <v>368</v>
      </c>
      <c r="D271" s="11"/>
      <c r="E271" s="102" t="s">
        <v>82</v>
      </c>
      <c r="F271" s="102" t="s">
        <v>102</v>
      </c>
      <c r="G271" s="11"/>
      <c r="H271" s="102" t="s">
        <v>103</v>
      </c>
      <c r="I271" s="11"/>
      <c r="J271" s="102" t="s">
        <v>104</v>
      </c>
      <c r="K271" s="11"/>
      <c r="L271" s="14"/>
    </row>
    <row r="272" spans="1:12">
      <c r="A272" s="5">
        <v>27</v>
      </c>
      <c r="C272" s="149" t="s">
        <v>383</v>
      </c>
      <c r="E272" s="17">
        <f>ROUND('Projected Capitalization'!AE11,3)*1000</f>
        <v>91077000</v>
      </c>
      <c r="F272" s="135">
        <f>IF($E$275&gt;0,E272/$E$275,0)</f>
        <v>0.42875704379510499</v>
      </c>
      <c r="G272" s="73"/>
      <c r="H272" s="73">
        <f>IF(E272&gt;0,J261/E272,0)</f>
        <v>3.8582737683498576E-2</v>
      </c>
      <c r="J272" s="73">
        <f>H272*F272</f>
        <v>1.6542620550698845E-2</v>
      </c>
      <c r="K272" s="74" t="s">
        <v>105</v>
      </c>
    </row>
    <row r="273" spans="1:12">
      <c r="A273" s="5">
        <v>28</v>
      </c>
      <c r="C273" s="149" t="s">
        <v>384</v>
      </c>
      <c r="E273" s="17">
        <v>0</v>
      </c>
      <c r="F273" s="72">
        <f>IF($E$275&gt;0,E273/$E$275,0)</f>
        <v>0</v>
      </c>
      <c r="G273" s="73"/>
      <c r="H273" s="73">
        <f>IF(E273&gt;0,J263/E273,0)</f>
        <v>0</v>
      </c>
      <c r="J273" s="73">
        <f>H273*F273</f>
        <v>0</v>
      </c>
      <c r="K273" s="11"/>
    </row>
    <row r="274" spans="1:12" ht="16.5" thickBot="1">
      <c r="A274" s="5">
        <v>29</v>
      </c>
      <c r="C274" s="149" t="s">
        <v>385</v>
      </c>
      <c r="E274" s="105">
        <f>J269</f>
        <v>121344000</v>
      </c>
      <c r="F274" s="135">
        <f>IF($E$275&gt;0,E274/$E$275,0)</f>
        <v>0.57124295620489496</v>
      </c>
      <c r="G274" s="73"/>
      <c r="H274" s="75">
        <v>0.12379999999999999</v>
      </c>
      <c r="J274" s="125">
        <f>H274*F274</f>
        <v>7.0719877978165993E-2</v>
      </c>
      <c r="K274" s="11"/>
    </row>
    <row r="275" spans="1:12">
      <c r="A275" s="5">
        <v>30</v>
      </c>
      <c r="C275" s="6" t="s">
        <v>175</v>
      </c>
      <c r="E275" s="11">
        <f>E274+E273+E272</f>
        <v>212421000</v>
      </c>
      <c r="F275" s="11" t="s">
        <v>2</v>
      </c>
      <c r="G275" s="11"/>
      <c r="H275" s="11"/>
      <c r="I275" s="11"/>
      <c r="J275" s="73">
        <f>SUM(J272:J274)</f>
        <v>8.7262498528864835E-2</v>
      </c>
      <c r="K275" s="74" t="s">
        <v>106</v>
      </c>
    </row>
    <row r="276" spans="1:12">
      <c r="A276" s="5"/>
      <c r="C276" s="6"/>
      <c r="E276" s="11"/>
      <c r="F276" s="11"/>
      <c r="G276" s="11"/>
      <c r="H276" s="65" t="s">
        <v>101</v>
      </c>
      <c r="I276" s="11"/>
      <c r="J276" s="11"/>
      <c r="K276" s="74"/>
    </row>
    <row r="277" spans="1:12" ht="16.5" thickBot="1">
      <c r="C277" s="1" t="s">
        <v>369</v>
      </c>
      <c r="E277" s="102" t="s">
        <v>82</v>
      </c>
      <c r="F277" s="102" t="s">
        <v>102</v>
      </c>
      <c r="G277" s="11"/>
      <c r="H277" s="102" t="s">
        <v>103</v>
      </c>
      <c r="I277" s="11"/>
      <c r="J277" s="102" t="s">
        <v>104</v>
      </c>
    </row>
    <row r="278" spans="1:12">
      <c r="A278" s="24" t="s">
        <v>301</v>
      </c>
      <c r="C278" s="148" t="s">
        <v>373</v>
      </c>
      <c r="E278" s="14"/>
      <c r="F278" s="152">
        <v>0.44</v>
      </c>
      <c r="G278" s="11"/>
      <c r="H278" s="145">
        <f>H272</f>
        <v>3.8582737683498576E-2</v>
      </c>
      <c r="I278" s="11"/>
      <c r="J278" s="73">
        <f>H278*F278</f>
        <v>1.6976404580739374E-2</v>
      </c>
    </row>
    <row r="279" spans="1:12">
      <c r="A279" s="24" t="s">
        <v>370</v>
      </c>
      <c r="C279" s="149" t="s">
        <v>405</v>
      </c>
      <c r="E279" s="14"/>
      <c r="F279" s="152">
        <v>0</v>
      </c>
      <c r="G279" s="11"/>
      <c r="H279" s="57">
        <v>0</v>
      </c>
      <c r="I279" s="11"/>
      <c r="J279" s="73">
        <f>H279*F279</f>
        <v>0</v>
      </c>
    </row>
    <row r="280" spans="1:12" ht="16.5" thickBot="1">
      <c r="A280" s="24" t="s">
        <v>371</v>
      </c>
      <c r="C280" s="148" t="s">
        <v>99</v>
      </c>
      <c r="E280" s="96"/>
      <c r="F280" s="152">
        <v>0.56000000000000005</v>
      </c>
      <c r="G280" s="11"/>
      <c r="H280" s="146">
        <v>0.12379999999999999</v>
      </c>
      <c r="I280" s="11"/>
      <c r="J280" s="125">
        <f>H280*F280</f>
        <v>6.9328000000000001E-2</v>
      </c>
    </row>
    <row r="281" spans="1:12">
      <c r="A281" s="24" t="s">
        <v>372</v>
      </c>
      <c r="C281" s="1" t="s">
        <v>374</v>
      </c>
      <c r="F281" s="11"/>
      <c r="G281" s="11"/>
      <c r="H281" s="11"/>
      <c r="I281" s="11"/>
      <c r="J281" s="73">
        <f>SUM(J278:J280)</f>
        <v>8.6304404580739374E-2</v>
      </c>
      <c r="K281" s="147" t="s">
        <v>106</v>
      </c>
    </row>
    <row r="282" spans="1:12">
      <c r="F282" s="11"/>
      <c r="G282" s="11"/>
      <c r="H282" s="11"/>
      <c r="I282" s="11"/>
    </row>
    <row r="283" spans="1:12">
      <c r="A283" s="24" t="s">
        <v>375</v>
      </c>
      <c r="C283" s="1" t="s">
        <v>379</v>
      </c>
      <c r="F283" s="11"/>
      <c r="G283" s="11"/>
      <c r="H283" s="11"/>
      <c r="I283" s="11"/>
      <c r="J283" s="57">
        <f>J281-J275</f>
        <v>-9.5809394812546023E-4</v>
      </c>
    </row>
    <row r="284" spans="1:12">
      <c r="A284" s="24" t="s">
        <v>376</v>
      </c>
      <c r="C284" s="1" t="s">
        <v>378</v>
      </c>
      <c r="D284" s="1" t="s">
        <v>380</v>
      </c>
      <c r="F284" s="11"/>
      <c r="G284" s="11"/>
      <c r="H284" s="11"/>
      <c r="I284" s="11"/>
      <c r="J284" s="157">
        <f>((E126-E129)/E126)*J272+(E129/E126)*J278</f>
        <v>1.6867550160179576E-2</v>
      </c>
    </row>
    <row r="285" spans="1:12">
      <c r="A285" s="24" t="s">
        <v>377</v>
      </c>
      <c r="C285" s="1" t="s">
        <v>398</v>
      </c>
      <c r="D285" s="1" t="s">
        <v>381</v>
      </c>
      <c r="F285" s="11"/>
      <c r="G285" s="11"/>
      <c r="H285" s="11"/>
      <c r="I285" s="11"/>
      <c r="J285" s="157">
        <f>((E126-E129)/E126)*J275+(E129/E126)*J281</f>
        <v>8.6544830125117531E-2</v>
      </c>
    </row>
    <row r="286" spans="1:12">
      <c r="A286" s="5"/>
      <c r="L286" s="14"/>
    </row>
    <row r="287" spans="1:12">
      <c r="A287" s="5"/>
      <c r="C287" s="2" t="s">
        <v>107</v>
      </c>
      <c r="D287" s="4"/>
      <c r="E287" s="4"/>
      <c r="F287" s="4"/>
      <c r="G287" s="4"/>
      <c r="H287" s="4"/>
      <c r="I287" s="4"/>
      <c r="J287" s="4"/>
      <c r="K287" s="4"/>
      <c r="L287" s="19"/>
    </row>
    <row r="288" spans="1:12" ht="16.5" thickBot="1">
      <c r="A288" s="5"/>
      <c r="C288" s="2"/>
      <c r="D288" s="2"/>
      <c r="E288" s="2"/>
      <c r="F288" s="2"/>
      <c r="G288" s="2"/>
      <c r="H288" s="2"/>
      <c r="I288" s="2"/>
      <c r="J288" s="102" t="s">
        <v>153</v>
      </c>
      <c r="K288" s="76"/>
    </row>
    <row r="289" spans="1:12">
      <c r="A289" s="5"/>
      <c r="C289" s="2" t="s">
        <v>108</v>
      </c>
      <c r="D289" s="4"/>
      <c r="E289" s="4" t="s">
        <v>109</v>
      </c>
      <c r="F289" s="4" t="s">
        <v>110</v>
      </c>
      <c r="G289" s="4"/>
      <c r="H289" s="77" t="s">
        <v>2</v>
      </c>
      <c r="I289" s="78"/>
      <c r="J289" s="79"/>
      <c r="K289" s="79"/>
    </row>
    <row r="290" spans="1:12">
      <c r="A290" s="5">
        <v>31</v>
      </c>
      <c r="C290" s="1" t="s">
        <v>143</v>
      </c>
      <c r="D290" s="4"/>
      <c r="E290" s="4"/>
      <c r="G290" s="4"/>
      <c r="I290" s="78"/>
      <c r="J290" s="80">
        <v>0</v>
      </c>
      <c r="K290" s="81"/>
    </row>
    <row r="291" spans="1:12" ht="16.5" thickBot="1">
      <c r="A291" s="5">
        <v>32</v>
      </c>
      <c r="C291" s="113" t="s">
        <v>177</v>
      </c>
      <c r="D291" s="126"/>
      <c r="E291" s="113"/>
      <c r="F291" s="127"/>
      <c r="G291" s="127"/>
      <c r="H291" s="127"/>
      <c r="I291" s="4"/>
      <c r="J291" s="128">
        <v>0</v>
      </c>
      <c r="K291" s="82"/>
    </row>
    <row r="292" spans="1:12">
      <c r="A292" s="5">
        <v>33</v>
      </c>
      <c r="C292" s="1" t="s">
        <v>111</v>
      </c>
      <c r="D292" s="7"/>
      <c r="F292" s="4"/>
      <c r="G292" s="4"/>
      <c r="H292" s="4"/>
      <c r="I292" s="4"/>
      <c r="J292" s="83">
        <f>+J290-J291</f>
        <v>0</v>
      </c>
      <c r="K292" s="81"/>
    </row>
    <row r="293" spans="1:12">
      <c r="A293" s="5"/>
      <c r="C293" s="1" t="s">
        <v>2</v>
      </c>
      <c r="D293" s="7"/>
      <c r="F293" s="4"/>
      <c r="G293" s="4"/>
      <c r="H293" s="28"/>
      <c r="I293" s="4"/>
      <c r="J293" s="84" t="s">
        <v>2</v>
      </c>
      <c r="K293" s="79"/>
      <c r="L293" s="85"/>
    </row>
    <row r="294" spans="1:12">
      <c r="A294" s="5">
        <v>34</v>
      </c>
      <c r="C294" s="2" t="s">
        <v>259</v>
      </c>
      <c r="D294" s="7"/>
      <c r="F294" s="4"/>
      <c r="G294" s="4"/>
      <c r="H294" s="86"/>
      <c r="I294" s="4"/>
      <c r="J294" s="100">
        <v>0</v>
      </c>
      <c r="K294" s="79"/>
      <c r="L294" s="85"/>
    </row>
    <row r="295" spans="1:12">
      <c r="A295" s="5"/>
      <c r="D295" s="4"/>
      <c r="E295" s="4"/>
      <c r="F295" s="4"/>
      <c r="G295" s="4"/>
      <c r="H295" s="4"/>
      <c r="I295" s="4"/>
      <c r="J295" s="84"/>
      <c r="K295" s="79"/>
      <c r="L295" s="85"/>
    </row>
    <row r="296" spans="1:12">
      <c r="C296" s="2" t="s">
        <v>260</v>
      </c>
      <c r="D296" s="4"/>
      <c r="E296" s="4" t="s">
        <v>195</v>
      </c>
      <c r="F296" s="4"/>
      <c r="G296" s="4"/>
      <c r="H296" s="4"/>
      <c r="I296" s="4"/>
      <c r="L296" s="87"/>
    </row>
    <row r="297" spans="1:12">
      <c r="A297" s="5">
        <v>35</v>
      </c>
      <c r="C297" s="2" t="s">
        <v>112</v>
      </c>
      <c r="D297" s="11"/>
      <c r="E297" s="11"/>
      <c r="F297" s="11"/>
      <c r="G297" s="11"/>
      <c r="H297" s="11"/>
      <c r="I297" s="11"/>
      <c r="J297" s="409">
        <f>ROUND('Projected Revenues &amp; Expenses'!AE14,0)*1000</f>
        <v>36704000</v>
      </c>
      <c r="K297" s="88"/>
      <c r="L297" s="87"/>
    </row>
    <row r="298" spans="1:12">
      <c r="A298" s="5">
        <v>36</v>
      </c>
      <c r="C298" s="98" t="s">
        <v>176</v>
      </c>
      <c r="D298" s="97"/>
      <c r="E298" s="97"/>
      <c r="F298" s="97"/>
      <c r="G298" s="97"/>
      <c r="H298" s="4"/>
      <c r="I298" s="4"/>
      <c r="J298" s="409">
        <f>ROUND('Projected Revenues &amp; Expenses'!AE11,0)*1000</f>
        <v>10761000</v>
      </c>
      <c r="L298" s="89"/>
    </row>
    <row r="299" spans="1:12">
      <c r="A299" s="5" t="s">
        <v>218</v>
      </c>
      <c r="C299" s="158" t="s">
        <v>410</v>
      </c>
      <c r="D299" s="159"/>
      <c r="E299" s="97"/>
      <c r="F299" s="97"/>
      <c r="G299" s="97"/>
      <c r="H299" s="4"/>
      <c r="I299" s="4"/>
      <c r="J299" s="409">
        <v>0</v>
      </c>
      <c r="L299" s="89"/>
    </row>
    <row r="300" spans="1:12" ht="16.5" thickBot="1">
      <c r="A300" s="5" t="s">
        <v>303</v>
      </c>
      <c r="C300" s="160" t="s">
        <v>411</v>
      </c>
      <c r="D300" s="120"/>
      <c r="E300" s="127"/>
      <c r="F300" s="127"/>
      <c r="G300" s="127"/>
      <c r="H300" s="4"/>
      <c r="I300" s="4"/>
      <c r="J300" s="427">
        <f>ROUND('Projected Revenues &amp; Expenses'!AE13,0)*1000</f>
        <v>25441000</v>
      </c>
      <c r="L300" s="89"/>
    </row>
    <row r="301" spans="1:12">
      <c r="A301" s="5">
        <v>37</v>
      </c>
      <c r="C301" s="90" t="s">
        <v>304</v>
      </c>
      <c r="D301" s="5"/>
      <c r="E301" s="11"/>
      <c r="F301" s="11"/>
      <c r="G301" s="11"/>
      <c r="H301" s="11"/>
      <c r="I301" s="4"/>
      <c r="J301" s="91">
        <f>+J297-J298-J299-J300</f>
        <v>502000</v>
      </c>
      <c r="K301" s="88"/>
      <c r="L301" s="92"/>
    </row>
    <row r="302" spans="1:12">
      <c r="A302" s="5"/>
      <c r="C302" s="90"/>
      <c r="D302" s="5"/>
      <c r="E302" s="11"/>
      <c r="F302" s="11"/>
      <c r="G302" s="11"/>
      <c r="H302" s="11"/>
      <c r="I302" s="4"/>
      <c r="J302" s="91"/>
      <c r="K302" s="88"/>
      <c r="L302" s="92"/>
    </row>
    <row r="303" spans="1:12">
      <c r="C303" s="2" t="s">
        <v>0</v>
      </c>
      <c r="D303" s="2"/>
      <c r="E303" s="3" t="s">
        <v>1</v>
      </c>
      <c r="F303" s="2"/>
      <c r="G303" s="2"/>
      <c r="H303" s="2"/>
      <c r="I303" s="4"/>
      <c r="J303" s="4"/>
      <c r="L303" s="101" t="s">
        <v>188</v>
      </c>
    </row>
    <row r="304" spans="1:12">
      <c r="C304" s="2"/>
      <c r="D304" s="11" t="s">
        <v>2</v>
      </c>
      <c r="E304" s="11" t="s">
        <v>3</v>
      </c>
      <c r="F304" s="11"/>
      <c r="G304" s="2"/>
      <c r="H304" s="2"/>
      <c r="I304" s="4"/>
      <c r="J304" s="4"/>
      <c r="K304" s="7"/>
      <c r="L304" s="29" t="s">
        <v>318</v>
      </c>
    </row>
    <row r="305" spans="1:12">
      <c r="G305" s="11"/>
      <c r="H305" s="11"/>
      <c r="I305" s="4"/>
      <c r="J305" s="4"/>
      <c r="K305" s="7"/>
      <c r="L305" s="29"/>
    </row>
    <row r="306" spans="1:12">
      <c r="C306" s="90"/>
      <c r="D306" s="133"/>
      <c r="E306" s="132" t="str">
        <f>E7</f>
        <v>ATXI</v>
      </c>
      <c r="F306" s="134"/>
      <c r="G306" s="134"/>
      <c r="H306" s="134"/>
      <c r="I306" s="4"/>
      <c r="J306" s="4"/>
      <c r="K306" s="7"/>
      <c r="L306" s="268" t="str">
        <f>$L$4</f>
        <v>Projected For the 12 months ended 12/31/2014</v>
      </c>
    </row>
    <row r="307" spans="1:12">
      <c r="A307" s="5"/>
      <c r="B307" s="4"/>
      <c r="I307" s="4"/>
      <c r="J307" s="93"/>
      <c r="K307" s="79"/>
      <c r="L307" s="92"/>
    </row>
    <row r="308" spans="1:12">
      <c r="A308" s="5"/>
      <c r="B308" s="4"/>
      <c r="C308" s="2" t="s">
        <v>261</v>
      </c>
      <c r="D308" s="5"/>
      <c r="E308" s="11"/>
      <c r="F308" s="11"/>
      <c r="G308" s="11"/>
      <c r="H308" s="11"/>
      <c r="I308" s="4"/>
      <c r="J308" s="11"/>
      <c r="K308" s="4"/>
      <c r="L308" s="14"/>
    </row>
    <row r="309" spans="1:12">
      <c r="A309" s="5" t="s">
        <v>113</v>
      </c>
      <c r="B309" s="4"/>
      <c r="C309" s="2" t="s">
        <v>262</v>
      </c>
      <c r="D309" s="5"/>
      <c r="E309" s="11"/>
      <c r="F309" s="11"/>
      <c r="G309" s="11"/>
      <c r="H309" s="11"/>
      <c r="I309" s="4"/>
      <c r="J309" s="11"/>
      <c r="K309" s="4"/>
      <c r="L309" s="14"/>
    </row>
    <row r="310" spans="1:12" ht="16.5" thickBot="1">
      <c r="A310" s="102" t="s">
        <v>114</v>
      </c>
      <c r="B310" s="4"/>
      <c r="C310" s="2"/>
      <c r="D310" s="4"/>
      <c r="E310" s="11"/>
      <c r="F310" s="11"/>
      <c r="G310" s="11"/>
      <c r="H310" s="11"/>
      <c r="I310" s="4"/>
      <c r="J310" s="11"/>
      <c r="K310" s="4"/>
      <c r="L310" s="14"/>
    </row>
    <row r="311" spans="1:12">
      <c r="A311" s="5" t="s">
        <v>115</v>
      </c>
      <c r="B311" s="4"/>
      <c r="C311" s="58" t="s">
        <v>305</v>
      </c>
      <c r="D311" s="19"/>
      <c r="E311" s="14"/>
      <c r="F311" s="14"/>
      <c r="G311" s="14"/>
      <c r="H311" s="14"/>
      <c r="I311" s="19"/>
      <c r="J311" s="14"/>
      <c r="K311" s="19"/>
      <c r="L311" s="14"/>
    </row>
    <row r="312" spans="1:12">
      <c r="A312" s="5" t="s">
        <v>116</v>
      </c>
      <c r="B312" s="4"/>
      <c r="C312" s="58" t="s">
        <v>306</v>
      </c>
      <c r="D312" s="19"/>
      <c r="E312" s="14"/>
      <c r="F312" s="14"/>
      <c r="G312" s="14"/>
      <c r="H312" s="14"/>
      <c r="I312" s="19"/>
      <c r="J312" s="14"/>
      <c r="K312" s="19"/>
      <c r="L312" s="14"/>
    </row>
    <row r="313" spans="1:12">
      <c r="A313" s="5" t="s">
        <v>117</v>
      </c>
      <c r="B313" s="4"/>
      <c r="C313" s="58" t="s">
        <v>307</v>
      </c>
      <c r="D313" s="19"/>
      <c r="E313" s="19"/>
      <c r="F313" s="19"/>
      <c r="G313" s="19"/>
      <c r="H313" s="19"/>
      <c r="I313" s="19"/>
      <c r="J313" s="14"/>
      <c r="K313" s="19"/>
      <c r="L313" s="19"/>
    </row>
    <row r="314" spans="1:12">
      <c r="A314" s="5" t="s">
        <v>118</v>
      </c>
      <c r="B314" s="4"/>
      <c r="C314" s="58" t="s">
        <v>307</v>
      </c>
      <c r="D314" s="19"/>
      <c r="E314" s="19"/>
      <c r="F314" s="19"/>
      <c r="G314" s="19"/>
      <c r="H314" s="19"/>
      <c r="I314" s="19"/>
      <c r="J314" s="14"/>
      <c r="K314" s="19"/>
      <c r="L314" s="19"/>
    </row>
    <row r="315" spans="1:12">
      <c r="A315" s="5" t="s">
        <v>119</v>
      </c>
      <c r="B315" s="4"/>
      <c r="C315" s="19" t="s">
        <v>183</v>
      </c>
      <c r="D315" s="19"/>
      <c r="E315" s="19"/>
      <c r="F315" s="19"/>
      <c r="G315" s="19"/>
      <c r="H315" s="19"/>
      <c r="I315" s="19"/>
      <c r="J315" s="19"/>
      <c r="K315" s="19"/>
      <c r="L315" s="19"/>
    </row>
    <row r="316" spans="1:12">
      <c r="A316" s="5" t="s">
        <v>120</v>
      </c>
      <c r="B316" s="4"/>
      <c r="C316" s="19" t="s">
        <v>263</v>
      </c>
      <c r="D316" s="19"/>
      <c r="E316" s="19"/>
      <c r="F316" s="19"/>
      <c r="G316" s="19"/>
      <c r="H316" s="19"/>
      <c r="I316" s="19"/>
      <c r="J316" s="19"/>
      <c r="K316" s="19"/>
      <c r="L316" s="19"/>
    </row>
    <row r="317" spans="1:12">
      <c r="A317" s="5"/>
      <c r="B317" s="4"/>
      <c r="C317" s="19" t="s">
        <v>264</v>
      </c>
      <c r="D317" s="19"/>
      <c r="E317" s="19"/>
      <c r="F317" s="19"/>
      <c r="G317" s="19"/>
      <c r="H317" s="19"/>
      <c r="I317" s="19"/>
      <c r="J317" s="19"/>
      <c r="K317" s="19"/>
      <c r="L317" s="19"/>
    </row>
    <row r="318" spans="1:12">
      <c r="A318" s="5"/>
      <c r="B318" s="4"/>
      <c r="C318" s="19" t="s">
        <v>265</v>
      </c>
      <c r="D318" s="19"/>
      <c r="E318" s="19"/>
      <c r="F318" s="19"/>
      <c r="G318" s="19"/>
      <c r="H318" s="19"/>
      <c r="I318" s="19"/>
      <c r="J318" s="19"/>
      <c r="K318" s="19"/>
      <c r="L318" s="19"/>
    </row>
    <row r="319" spans="1:12">
      <c r="A319" s="5" t="s">
        <v>121</v>
      </c>
      <c r="B319" s="4"/>
      <c r="C319" s="19" t="s">
        <v>122</v>
      </c>
      <c r="D319" s="19"/>
      <c r="E319" s="19"/>
      <c r="F319" s="19"/>
      <c r="G319" s="19"/>
      <c r="H319" s="19"/>
      <c r="I319" s="19"/>
      <c r="J319" s="19"/>
      <c r="K319" s="19"/>
      <c r="L319" s="19"/>
    </row>
    <row r="320" spans="1:12">
      <c r="A320" s="5" t="s">
        <v>123</v>
      </c>
      <c r="B320" s="4"/>
      <c r="C320" s="19" t="s">
        <v>266</v>
      </c>
      <c r="D320" s="19"/>
      <c r="E320" s="19"/>
      <c r="F320" s="19"/>
      <c r="G320" s="19"/>
      <c r="H320" s="19"/>
      <c r="I320" s="19"/>
      <c r="J320" s="19"/>
      <c r="K320" s="19"/>
      <c r="L320" s="19"/>
    </row>
    <row r="321" spans="1:12">
      <c r="A321" s="5"/>
      <c r="B321" s="4"/>
      <c r="C321" s="19" t="s">
        <v>267</v>
      </c>
      <c r="D321" s="19"/>
      <c r="E321" s="19"/>
      <c r="F321" s="19"/>
      <c r="G321" s="19"/>
      <c r="H321" s="19"/>
      <c r="I321" s="19"/>
      <c r="J321" s="19"/>
      <c r="K321" s="19"/>
      <c r="L321" s="19"/>
    </row>
    <row r="322" spans="1:12">
      <c r="A322" s="5" t="s">
        <v>124</v>
      </c>
      <c r="B322" s="4"/>
      <c r="C322" s="19" t="s">
        <v>268</v>
      </c>
      <c r="D322" s="19"/>
      <c r="E322" s="19"/>
      <c r="F322" s="19"/>
      <c r="G322" s="19"/>
      <c r="H322" s="19"/>
      <c r="I322" s="19"/>
      <c r="J322" s="19"/>
      <c r="K322" s="19"/>
      <c r="L322" s="19"/>
    </row>
    <row r="323" spans="1:12">
      <c r="A323" s="5"/>
      <c r="B323" s="4"/>
      <c r="C323" s="8" t="s">
        <v>269</v>
      </c>
      <c r="D323" s="19"/>
      <c r="E323" s="19"/>
      <c r="F323" s="19"/>
      <c r="G323" s="19"/>
      <c r="H323" s="19"/>
      <c r="I323" s="19"/>
      <c r="J323" s="19"/>
      <c r="K323" s="19"/>
      <c r="L323" s="19"/>
    </row>
    <row r="324" spans="1:12">
      <c r="A324" s="5"/>
      <c r="B324" s="4"/>
      <c r="C324" s="19" t="s">
        <v>270</v>
      </c>
      <c r="D324" s="19"/>
      <c r="E324" s="19"/>
      <c r="F324" s="19"/>
      <c r="G324" s="19"/>
      <c r="H324" s="19"/>
      <c r="I324" s="19"/>
      <c r="J324" s="19"/>
      <c r="K324" s="19"/>
      <c r="L324" s="19"/>
    </row>
    <row r="325" spans="1:12">
      <c r="A325" s="5" t="s">
        <v>125</v>
      </c>
      <c r="B325" s="4"/>
      <c r="C325" s="19" t="s">
        <v>271</v>
      </c>
      <c r="D325" s="19"/>
      <c r="E325" s="19"/>
      <c r="F325" s="19"/>
      <c r="G325" s="19"/>
      <c r="H325" s="19"/>
      <c r="I325" s="19"/>
      <c r="J325" s="19"/>
      <c r="K325" s="19"/>
      <c r="L325" s="19"/>
    </row>
    <row r="326" spans="1:12">
      <c r="A326" s="5"/>
      <c r="B326" s="4"/>
      <c r="C326" s="19" t="s">
        <v>272</v>
      </c>
      <c r="D326" s="19"/>
      <c r="E326" s="19"/>
      <c r="F326" s="19"/>
      <c r="G326" s="19"/>
      <c r="H326" s="19"/>
      <c r="I326" s="19"/>
      <c r="J326" s="19"/>
      <c r="K326" s="19"/>
      <c r="L326" s="19"/>
    </row>
    <row r="327" spans="1:12">
      <c r="A327" s="5"/>
      <c r="B327" s="4"/>
      <c r="C327" s="19" t="s">
        <v>273</v>
      </c>
      <c r="D327" s="19"/>
      <c r="E327" s="19"/>
      <c r="F327" s="19"/>
      <c r="G327" s="19"/>
      <c r="H327" s="19"/>
      <c r="I327" s="19"/>
      <c r="J327" s="19"/>
      <c r="K327" s="19"/>
      <c r="L327" s="19"/>
    </row>
    <row r="328" spans="1:12">
      <c r="A328" s="5" t="s">
        <v>126</v>
      </c>
      <c r="B328" s="4"/>
      <c r="C328" s="19" t="s">
        <v>274</v>
      </c>
      <c r="D328" s="19"/>
      <c r="E328" s="19"/>
      <c r="F328" s="19"/>
      <c r="G328" s="19"/>
      <c r="H328" s="19"/>
      <c r="I328" s="19"/>
      <c r="J328" s="19"/>
      <c r="K328" s="19"/>
      <c r="L328" s="19"/>
    </row>
    <row r="329" spans="1:12">
      <c r="A329" s="5"/>
      <c r="B329" s="4"/>
      <c r="C329" s="19" t="s">
        <v>275</v>
      </c>
      <c r="D329" s="19"/>
      <c r="E329" s="19"/>
      <c r="F329" s="19"/>
      <c r="G329" s="19"/>
      <c r="H329" s="19"/>
      <c r="I329" s="19"/>
      <c r="J329" s="19"/>
      <c r="K329" s="19"/>
      <c r="L329" s="19"/>
    </row>
    <row r="330" spans="1:12">
      <c r="A330" s="5"/>
      <c r="B330" s="4"/>
      <c r="C330" s="19" t="s">
        <v>276</v>
      </c>
      <c r="D330" s="19"/>
      <c r="E330" s="19"/>
      <c r="F330" s="19"/>
      <c r="G330" s="19"/>
      <c r="H330" s="19"/>
      <c r="I330" s="19"/>
      <c r="J330" s="19"/>
      <c r="K330" s="19"/>
      <c r="L330" s="19"/>
    </row>
    <row r="331" spans="1:12">
      <c r="A331" s="5"/>
      <c r="B331" s="4"/>
      <c r="C331" s="19" t="s">
        <v>277</v>
      </c>
      <c r="D331" s="19"/>
      <c r="E331" s="19"/>
      <c r="F331" s="19"/>
      <c r="G331" s="19"/>
      <c r="H331" s="19"/>
      <c r="I331" s="19"/>
      <c r="J331" s="19"/>
      <c r="K331" s="19"/>
      <c r="L331" s="19"/>
    </row>
    <row r="332" spans="1:12">
      <c r="A332" s="5"/>
      <c r="B332" s="4"/>
      <c r="C332" s="19" t="s">
        <v>278</v>
      </c>
      <c r="D332" s="19"/>
      <c r="E332" s="19"/>
      <c r="F332" s="19"/>
      <c r="G332" s="19"/>
      <c r="H332" s="19"/>
      <c r="I332" s="19"/>
      <c r="J332" s="19"/>
      <c r="K332" s="19"/>
      <c r="L332" s="19"/>
    </row>
    <row r="333" spans="1:12">
      <c r="A333" s="5"/>
      <c r="B333" s="4"/>
      <c r="C333" s="19" t="s">
        <v>279</v>
      </c>
      <c r="D333" s="19"/>
      <c r="E333" s="19"/>
      <c r="F333" s="19"/>
      <c r="G333" s="19"/>
      <c r="H333" s="19"/>
      <c r="I333" s="19"/>
      <c r="J333" s="19"/>
      <c r="K333" s="19"/>
      <c r="L333" s="19"/>
    </row>
    <row r="334" spans="1:12">
      <c r="A334" s="5" t="s">
        <v>2</v>
      </c>
      <c r="B334" s="4"/>
      <c r="C334" s="19" t="s">
        <v>280</v>
      </c>
      <c r="D334" s="19" t="s">
        <v>158</v>
      </c>
      <c r="E334" s="404">
        <v>0.35</v>
      </c>
      <c r="F334" s="19"/>
      <c r="G334" s="19"/>
      <c r="H334" s="19"/>
      <c r="I334" s="19"/>
      <c r="J334" s="19"/>
      <c r="K334" s="19"/>
      <c r="L334" s="19"/>
    </row>
    <row r="335" spans="1:12">
      <c r="A335" s="5"/>
      <c r="B335" s="4"/>
      <c r="C335" s="19"/>
      <c r="D335" s="19" t="s">
        <v>159</v>
      </c>
      <c r="E335" s="404">
        <v>9.5000000000000001E-2</v>
      </c>
      <c r="F335" s="19" t="s">
        <v>160</v>
      </c>
      <c r="G335" s="19"/>
      <c r="H335" s="19"/>
      <c r="I335" s="19"/>
      <c r="J335" s="19"/>
      <c r="K335" s="19"/>
      <c r="L335" s="19"/>
    </row>
    <row r="336" spans="1:12">
      <c r="A336" s="5"/>
      <c r="B336" s="4"/>
      <c r="C336" s="19"/>
      <c r="D336" s="19" t="s">
        <v>161</v>
      </c>
      <c r="E336" s="404">
        <v>0</v>
      </c>
      <c r="F336" s="19" t="s">
        <v>162</v>
      </c>
      <c r="G336" s="19"/>
      <c r="H336" s="19"/>
      <c r="I336" s="19"/>
      <c r="J336" s="19"/>
      <c r="K336" s="19"/>
      <c r="L336" s="19"/>
    </row>
    <row r="337" spans="1:12">
      <c r="A337" s="5" t="s">
        <v>127</v>
      </c>
      <c r="B337" s="4"/>
      <c r="C337" s="19" t="s">
        <v>205</v>
      </c>
      <c r="D337" s="19"/>
      <c r="E337" s="19"/>
      <c r="F337" s="19"/>
      <c r="G337" s="19"/>
      <c r="H337" s="19"/>
      <c r="I337" s="19"/>
      <c r="J337" s="129"/>
      <c r="K337" s="129"/>
      <c r="L337" s="19"/>
    </row>
    <row r="338" spans="1:12">
      <c r="A338" s="5" t="s">
        <v>128</v>
      </c>
      <c r="B338" s="4"/>
      <c r="C338" s="19" t="s">
        <v>281</v>
      </c>
      <c r="D338" s="19"/>
      <c r="E338" s="19"/>
      <c r="F338" s="19"/>
      <c r="G338" s="19"/>
      <c r="H338" s="19"/>
      <c r="I338" s="19"/>
      <c r="J338" s="19"/>
      <c r="K338" s="19"/>
      <c r="L338" s="19"/>
    </row>
    <row r="339" spans="1:12">
      <c r="A339" s="5"/>
      <c r="B339" s="4"/>
      <c r="C339" s="19" t="s">
        <v>282</v>
      </c>
      <c r="D339" s="19"/>
      <c r="E339" s="19"/>
      <c r="F339" s="19"/>
      <c r="G339" s="19"/>
      <c r="H339" s="19"/>
      <c r="I339" s="19"/>
      <c r="J339" s="19"/>
      <c r="K339" s="19"/>
      <c r="L339" s="19"/>
    </row>
    <row r="340" spans="1:12">
      <c r="A340" s="5" t="s">
        <v>129</v>
      </c>
      <c r="B340" s="4"/>
      <c r="C340" s="19" t="s">
        <v>283</v>
      </c>
      <c r="D340" s="19"/>
      <c r="E340" s="19"/>
      <c r="F340" s="19"/>
      <c r="G340" s="19"/>
      <c r="H340" s="19"/>
      <c r="I340" s="19"/>
      <c r="J340" s="19"/>
      <c r="K340" s="19"/>
      <c r="L340" s="19"/>
    </row>
    <row r="341" spans="1:12">
      <c r="A341" s="5"/>
      <c r="B341" s="4"/>
      <c r="C341" s="19" t="s">
        <v>284</v>
      </c>
      <c r="D341" s="19"/>
      <c r="E341" s="19"/>
      <c r="F341" s="19"/>
      <c r="G341" s="19"/>
      <c r="H341" s="19"/>
      <c r="I341" s="19"/>
      <c r="J341" s="19"/>
      <c r="K341" s="19"/>
      <c r="L341" s="19"/>
    </row>
    <row r="342" spans="1:12">
      <c r="A342" s="5"/>
      <c r="B342" s="4"/>
      <c r="C342" s="19" t="s">
        <v>285</v>
      </c>
      <c r="D342" s="19"/>
      <c r="E342" s="19"/>
      <c r="F342" s="19"/>
      <c r="G342" s="19"/>
      <c r="H342" s="19"/>
      <c r="I342" s="19"/>
      <c r="J342" s="19"/>
      <c r="K342" s="19"/>
      <c r="L342" s="19"/>
    </row>
    <row r="343" spans="1:12">
      <c r="A343" s="5" t="s">
        <v>130</v>
      </c>
      <c r="B343" s="4"/>
      <c r="C343" s="19" t="s">
        <v>178</v>
      </c>
      <c r="D343" s="19"/>
      <c r="E343" s="19"/>
      <c r="F343" s="19"/>
      <c r="G343" s="19"/>
      <c r="H343" s="19"/>
      <c r="I343" s="19"/>
      <c r="J343" s="19"/>
      <c r="K343" s="19"/>
      <c r="L343" s="19"/>
    </row>
    <row r="344" spans="1:12">
      <c r="A344" s="5" t="s">
        <v>131</v>
      </c>
      <c r="B344" s="4"/>
      <c r="C344" s="19" t="s">
        <v>286</v>
      </c>
      <c r="D344" s="19"/>
      <c r="E344" s="19"/>
      <c r="F344" s="19"/>
      <c r="G344" s="19"/>
      <c r="H344" s="19"/>
      <c r="I344" s="19"/>
      <c r="J344" s="19"/>
      <c r="K344" s="19"/>
      <c r="L344" s="19"/>
    </row>
    <row r="345" spans="1:12">
      <c r="A345" s="5"/>
      <c r="B345" s="4"/>
      <c r="C345" s="19" t="s">
        <v>287</v>
      </c>
      <c r="D345" s="19"/>
      <c r="E345" s="19"/>
      <c r="F345" s="19"/>
      <c r="G345" s="19"/>
      <c r="H345" s="19"/>
      <c r="I345" s="19"/>
      <c r="J345" s="19"/>
      <c r="K345" s="19"/>
      <c r="L345" s="19"/>
    </row>
    <row r="346" spans="1:12">
      <c r="A346" s="5"/>
      <c r="B346" s="4"/>
      <c r="C346" s="19" t="s">
        <v>288</v>
      </c>
      <c r="D346" s="19"/>
      <c r="E346" s="19"/>
      <c r="F346" s="19"/>
      <c r="G346" s="19"/>
      <c r="H346" s="19"/>
      <c r="I346" s="19"/>
      <c r="J346" s="19"/>
      <c r="K346" s="19"/>
      <c r="L346" s="19"/>
    </row>
    <row r="347" spans="1:12">
      <c r="A347" s="5" t="s">
        <v>132</v>
      </c>
      <c r="B347" s="4"/>
      <c r="C347" s="19" t="s">
        <v>289</v>
      </c>
      <c r="D347" s="19"/>
      <c r="E347" s="19"/>
      <c r="F347" s="19"/>
      <c r="G347" s="19"/>
      <c r="H347" s="19"/>
      <c r="I347" s="19"/>
      <c r="J347" s="19"/>
      <c r="K347" s="19"/>
      <c r="L347" s="19"/>
    </row>
    <row r="348" spans="1:12">
      <c r="A348" s="5"/>
      <c r="B348" s="4"/>
      <c r="C348" s="19" t="s">
        <v>290</v>
      </c>
      <c r="D348" s="19"/>
      <c r="E348" s="19"/>
      <c r="F348" s="19"/>
      <c r="G348" s="19"/>
      <c r="H348" s="19"/>
      <c r="I348" s="19"/>
      <c r="J348" s="19"/>
      <c r="K348" s="19"/>
      <c r="L348" s="19"/>
    </row>
    <row r="349" spans="1:12">
      <c r="A349" s="5" t="s">
        <v>133</v>
      </c>
      <c r="B349" s="4"/>
      <c r="C349" s="19" t="s">
        <v>134</v>
      </c>
      <c r="D349" s="19"/>
      <c r="E349" s="19"/>
      <c r="F349" s="19"/>
      <c r="G349" s="19"/>
      <c r="H349" s="19"/>
      <c r="I349" s="19"/>
      <c r="J349" s="19"/>
      <c r="K349" s="19"/>
      <c r="L349" s="19"/>
    </row>
    <row r="350" spans="1:12">
      <c r="A350" s="5" t="s">
        <v>184</v>
      </c>
      <c r="B350" s="4"/>
      <c r="C350" s="19" t="s">
        <v>291</v>
      </c>
      <c r="D350" s="19"/>
      <c r="E350" s="19"/>
      <c r="F350" s="19"/>
      <c r="G350" s="19"/>
      <c r="H350" s="19"/>
      <c r="I350" s="19"/>
      <c r="J350" s="19"/>
      <c r="K350" s="19"/>
      <c r="L350" s="19"/>
    </row>
    <row r="351" spans="1:12">
      <c r="B351" s="4"/>
      <c r="C351" s="19" t="s">
        <v>292</v>
      </c>
      <c r="D351" s="19"/>
      <c r="E351" s="19"/>
      <c r="F351" s="19"/>
      <c r="G351" s="19"/>
      <c r="H351" s="19"/>
      <c r="I351" s="19"/>
      <c r="J351" s="19"/>
      <c r="K351" s="19"/>
      <c r="L351" s="19"/>
    </row>
    <row r="352" spans="1:12">
      <c r="C352" s="10" t="s">
        <v>293</v>
      </c>
      <c r="D352" s="10"/>
      <c r="E352" s="10"/>
      <c r="F352" s="10"/>
      <c r="G352" s="10"/>
      <c r="H352" s="10"/>
      <c r="I352" s="10"/>
      <c r="J352" s="10"/>
      <c r="K352" s="10"/>
      <c r="L352" s="10"/>
    </row>
    <row r="353" spans="1:12">
      <c r="A353" s="24" t="s">
        <v>186</v>
      </c>
      <c r="C353" s="10" t="s">
        <v>294</v>
      </c>
      <c r="D353" s="10"/>
      <c r="E353" s="10"/>
      <c r="F353" s="10"/>
      <c r="G353" s="10"/>
      <c r="H353" s="10"/>
      <c r="I353" s="10"/>
      <c r="J353" s="10"/>
      <c r="K353" s="10"/>
      <c r="L353" s="10"/>
    </row>
    <row r="354" spans="1:12">
      <c r="C354" s="10" t="s">
        <v>295</v>
      </c>
      <c r="D354" s="130"/>
      <c r="E354" s="10"/>
      <c r="F354" s="10"/>
      <c r="G354" s="10"/>
      <c r="H354" s="10"/>
      <c r="I354" s="10"/>
      <c r="J354" s="10"/>
      <c r="K354" s="10"/>
      <c r="L354" s="10"/>
    </row>
    <row r="355" spans="1:12">
      <c r="C355" s="10" t="s">
        <v>296</v>
      </c>
      <c r="D355" s="10"/>
      <c r="E355" s="10"/>
      <c r="F355" s="10"/>
      <c r="G355" s="10"/>
      <c r="H355" s="10"/>
      <c r="I355" s="10"/>
      <c r="J355" s="10"/>
      <c r="K355" s="10"/>
      <c r="L355" s="10"/>
    </row>
    <row r="356" spans="1:12">
      <c r="C356" s="10" t="s">
        <v>297</v>
      </c>
      <c r="D356" s="10"/>
      <c r="E356" s="130"/>
      <c r="F356" s="10"/>
      <c r="G356" s="10"/>
      <c r="H356" s="10"/>
      <c r="I356" s="10"/>
      <c r="J356" s="10"/>
      <c r="K356" s="10"/>
      <c r="L356" s="10"/>
    </row>
    <row r="357" spans="1:12">
      <c r="A357" s="24" t="s">
        <v>196</v>
      </c>
      <c r="C357" s="10" t="s">
        <v>206</v>
      </c>
      <c r="D357" s="7"/>
      <c r="E357" s="7"/>
      <c r="F357" s="7"/>
      <c r="G357" s="7"/>
      <c r="H357" s="7"/>
      <c r="I357" s="7"/>
      <c r="J357" s="10"/>
      <c r="K357" s="10"/>
      <c r="L357" s="10"/>
    </row>
    <row r="358" spans="1:12" s="8" customFormat="1">
      <c r="A358" s="131" t="s">
        <v>207</v>
      </c>
      <c r="C358" s="10" t="s">
        <v>319</v>
      </c>
      <c r="D358" s="10"/>
      <c r="E358" s="10"/>
      <c r="F358" s="10"/>
      <c r="G358" s="10"/>
      <c r="H358" s="10"/>
      <c r="I358" s="10"/>
      <c r="J358" s="10"/>
      <c r="K358" s="10"/>
      <c r="L358" s="10"/>
    </row>
    <row r="359" spans="1:12">
      <c r="A359" s="24" t="s">
        <v>219</v>
      </c>
      <c r="C359" s="10" t="s">
        <v>406</v>
      </c>
      <c r="D359" s="10"/>
      <c r="E359" s="10"/>
      <c r="F359" s="10"/>
      <c r="G359" s="10"/>
      <c r="H359" s="10"/>
      <c r="I359" s="10"/>
      <c r="J359" s="10"/>
      <c r="K359" s="10"/>
      <c r="L359" s="10"/>
    </row>
    <row r="360" spans="1:12">
      <c r="A360" s="24" t="s">
        <v>220</v>
      </c>
      <c r="C360" s="10" t="s">
        <v>412</v>
      </c>
      <c r="D360" s="10"/>
      <c r="E360" s="10"/>
      <c r="F360" s="10"/>
      <c r="G360" s="10"/>
      <c r="H360" s="10"/>
      <c r="I360" s="10"/>
      <c r="J360" s="10"/>
      <c r="K360" s="10"/>
      <c r="L360" s="10"/>
    </row>
    <row r="361" spans="1:12">
      <c r="A361" s="24"/>
      <c r="C361" s="10" t="s">
        <v>408</v>
      </c>
      <c r="D361" s="10"/>
      <c r="E361" s="10"/>
      <c r="F361" s="10"/>
      <c r="G361" s="10"/>
      <c r="H361" s="10"/>
      <c r="I361" s="10"/>
      <c r="J361" s="10"/>
      <c r="K361" s="10"/>
      <c r="L361" s="10"/>
    </row>
    <row r="362" spans="1:12">
      <c r="A362" s="24" t="s">
        <v>299</v>
      </c>
      <c r="C362" s="10" t="s">
        <v>386</v>
      </c>
      <c r="D362" s="10"/>
      <c r="E362" s="10"/>
      <c r="F362" s="10"/>
      <c r="G362" s="10"/>
      <c r="H362" s="10"/>
      <c r="I362" s="10"/>
      <c r="J362" s="10"/>
      <c r="K362" s="10"/>
      <c r="L362" s="10"/>
    </row>
    <row r="363" spans="1:12">
      <c r="A363" s="24"/>
      <c r="C363" s="10" t="s">
        <v>387</v>
      </c>
      <c r="D363" s="10"/>
      <c r="E363" s="10"/>
      <c r="F363" s="10"/>
      <c r="G363" s="10"/>
      <c r="H363" s="10"/>
      <c r="I363" s="10"/>
      <c r="J363" s="10"/>
      <c r="K363" s="10"/>
      <c r="L363" s="10"/>
    </row>
    <row r="364" spans="1:12">
      <c r="A364" s="24"/>
      <c r="C364" s="10" t="s">
        <v>388</v>
      </c>
      <c r="D364" s="10"/>
      <c r="E364" s="10"/>
      <c r="F364" s="10"/>
      <c r="G364" s="10"/>
      <c r="H364" s="10"/>
      <c r="I364" s="10"/>
      <c r="J364" s="10"/>
      <c r="K364" s="10"/>
      <c r="L364" s="10"/>
    </row>
    <row r="365" spans="1:12">
      <c r="A365" s="24" t="s">
        <v>300</v>
      </c>
      <c r="C365" s="457" t="s">
        <v>399</v>
      </c>
      <c r="D365" s="457"/>
      <c r="E365" s="457"/>
      <c r="F365" s="457"/>
      <c r="G365" s="457"/>
      <c r="H365" s="457"/>
      <c r="I365" s="457"/>
      <c r="J365" s="457"/>
      <c r="K365" s="457"/>
      <c r="L365" s="457"/>
    </row>
    <row r="366" spans="1:12">
      <c r="A366" s="24" t="s">
        <v>308</v>
      </c>
      <c r="C366" s="10" t="s">
        <v>407</v>
      </c>
      <c r="D366" s="10"/>
      <c r="E366" s="10"/>
      <c r="F366" s="10"/>
      <c r="G366" s="10"/>
      <c r="H366" s="10"/>
      <c r="I366" s="10"/>
      <c r="J366" s="10"/>
      <c r="K366" s="10"/>
      <c r="L366" s="10"/>
    </row>
    <row r="367" spans="1:12">
      <c r="A367" s="24" t="s">
        <v>309</v>
      </c>
      <c r="C367" s="10" t="s">
        <v>413</v>
      </c>
      <c r="D367" s="10"/>
      <c r="E367" s="10"/>
      <c r="F367" s="10"/>
      <c r="G367" s="10"/>
      <c r="H367" s="10"/>
      <c r="I367" s="10"/>
      <c r="J367" s="10"/>
      <c r="K367" s="10"/>
      <c r="L367" s="10"/>
    </row>
    <row r="368" spans="1:12">
      <c r="A368" s="24"/>
      <c r="C368" s="10" t="s">
        <v>409</v>
      </c>
      <c r="D368" s="10"/>
      <c r="E368" s="10"/>
      <c r="F368" s="10"/>
      <c r="G368" s="10"/>
      <c r="H368" s="10"/>
      <c r="I368" s="10"/>
      <c r="J368" s="10"/>
      <c r="K368" s="10"/>
      <c r="L368" s="10"/>
    </row>
    <row r="369" spans="1:11">
      <c r="A369" s="138" t="s">
        <v>322</v>
      </c>
      <c r="B369" s="138"/>
      <c r="C369" s="139" t="s">
        <v>320</v>
      </c>
      <c r="D369" s="8"/>
      <c r="E369" s="8"/>
      <c r="F369" s="8"/>
      <c r="G369" s="8"/>
      <c r="H369" s="8"/>
      <c r="I369" s="8"/>
      <c r="J369" s="8"/>
      <c r="K369" s="8"/>
    </row>
    <row r="370" spans="1:11">
      <c r="A370" s="138" t="s">
        <v>323</v>
      </c>
      <c r="B370" s="140"/>
      <c r="C370" s="139" t="s">
        <v>321</v>
      </c>
      <c r="D370" s="8"/>
      <c r="E370" s="8"/>
      <c r="F370" s="8"/>
      <c r="G370" s="8"/>
      <c r="H370" s="8"/>
      <c r="I370" s="8"/>
      <c r="J370" s="8"/>
      <c r="K370" s="8"/>
    </row>
    <row r="371" spans="1:11">
      <c r="A371" s="24" t="s">
        <v>389</v>
      </c>
      <c r="C371" s="1" t="s">
        <v>390</v>
      </c>
    </row>
    <row r="372" spans="1:11">
      <c r="A372" s="24" t="s">
        <v>391</v>
      </c>
      <c r="C372" s="1" t="s">
        <v>392</v>
      </c>
    </row>
    <row r="373" spans="1:11">
      <c r="C373" s="148" t="s">
        <v>393</v>
      </c>
      <c r="G373" s="155">
        <f>'2012 Load True Up'!C12</f>
        <v>7197583.333333333</v>
      </c>
    </row>
    <row r="374" spans="1:11">
      <c r="C374" s="148" t="s">
        <v>394</v>
      </c>
      <c r="G374" s="388">
        <f>'2012 Load True Up'!C13</f>
        <v>7228279.333333333</v>
      </c>
    </row>
    <row r="375" spans="1:11">
      <c r="C375" s="148" t="s">
        <v>395</v>
      </c>
      <c r="G375" s="150">
        <f>G374-G373</f>
        <v>30696</v>
      </c>
    </row>
    <row r="376" spans="1:11" ht="16.5" thickBot="1">
      <c r="C376" s="148" t="s">
        <v>396</v>
      </c>
      <c r="G376" s="156">
        <f>'2012 Load True Up'!C15</f>
        <v>1.0058</v>
      </c>
    </row>
    <row r="377" spans="1:11">
      <c r="G377" s="151">
        <f>G375*G376</f>
        <v>30874.036800000002</v>
      </c>
    </row>
    <row r="378" spans="1:11">
      <c r="C378" s="1" t="s">
        <v>400</v>
      </c>
    </row>
  </sheetData>
  <mergeCells count="3">
    <mergeCell ref="C209:D209"/>
    <mergeCell ref="C213:D213"/>
    <mergeCell ref="C365:L365"/>
  </mergeCells>
  <phoneticPr fontId="14" type="noConversion"/>
  <pageMargins left="0.5" right="0.5" top="0.75" bottom="0.5" header="0.75" footer="0.25"/>
  <pageSetup scale="51" orientation="portrait" r:id="rId1"/>
  <headerFooter alignWithMargins="0">
    <oddHeader xml:space="preserve">&amp;R  </oddHeader>
    <oddFooter>&amp;L&amp;F</oddFooter>
  </headerFooter>
  <rowBreaks count="4" manualBreakCount="4">
    <brk id="69" max="16383" man="1"/>
    <brk id="144" max="11" man="1"/>
    <brk id="218" max="11" man="1"/>
    <brk id="302"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workbookViewId="0"/>
  </sheetViews>
  <sheetFormatPr defaultRowHeight="15"/>
  <cols>
    <col min="1" max="4" width="8.88671875" style="307"/>
    <col min="5" max="5" width="15.44140625" style="307" bestFit="1" customWidth="1"/>
    <col min="6" max="16384" width="8.88671875" style="307"/>
  </cols>
  <sheetData>
    <row r="1" spans="1:1" ht="18.75">
      <c r="A1" s="355" t="s">
        <v>618</v>
      </c>
    </row>
    <row r="2" spans="1:1">
      <c r="A2" s="307" t="s">
        <v>698</v>
      </c>
    </row>
    <row r="109" spans="1:5" ht="15.75">
      <c r="A109" s="356" t="s">
        <v>694</v>
      </c>
      <c r="B109" s="357"/>
      <c r="C109" s="357"/>
      <c r="E109" s="357"/>
    </row>
    <row r="110" spans="1:5" ht="16.5" thickBot="1">
      <c r="A110" s="358" t="s">
        <v>718</v>
      </c>
      <c r="B110" s="359"/>
      <c r="C110" s="360"/>
      <c r="E110" s="359"/>
    </row>
    <row r="111" spans="1:5">
      <c r="A111" s="361" t="s">
        <v>695</v>
      </c>
      <c r="B111" s="362"/>
      <c r="C111" s="362"/>
      <c r="D111" s="362"/>
      <c r="E111" s="363">
        <v>70366.031199377365</v>
      </c>
    </row>
    <row r="112" spans="1:5">
      <c r="A112" s="364" t="s">
        <v>696</v>
      </c>
      <c r="B112" s="359"/>
      <c r="C112" s="360"/>
      <c r="D112" s="360"/>
      <c r="E112" s="365">
        <v>10528690.311418684</v>
      </c>
    </row>
    <row r="113" spans="1:5" ht="15.75" thickBot="1">
      <c r="A113" s="366" t="s">
        <v>697</v>
      </c>
      <c r="B113" s="367"/>
      <c r="C113" s="368"/>
      <c r="D113" s="368"/>
      <c r="E113" s="369">
        <f>E111/E112</f>
        <v>6.6832653557169662E-3</v>
      </c>
    </row>
  </sheetData>
  <pageMargins left="0.7" right="0.7" top="0.75" bottom="0.75" header="0.3" footer="0.3"/>
  <pageSetup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BR314"/>
  <sheetViews>
    <sheetView view="pageBreakPreview" zoomScale="60" zoomScaleNormal="70" workbookViewId="0">
      <selection activeCell="C2" sqref="C2"/>
    </sheetView>
  </sheetViews>
  <sheetFormatPr defaultRowHeight="15"/>
  <cols>
    <col min="1" max="1" width="6" style="161" customWidth="1"/>
    <col min="2" max="2" width="1.44140625" style="161" customWidth="1"/>
    <col min="3" max="3" width="29.44140625" style="161" customWidth="1"/>
    <col min="4" max="4" width="10.21875" style="161" customWidth="1"/>
    <col min="5" max="5" width="13.88671875" style="161" customWidth="1"/>
    <col min="6" max="6" width="12.88671875" style="161" customWidth="1"/>
    <col min="7" max="7" width="13.5546875" style="161" customWidth="1"/>
    <col min="8" max="8" width="14.44140625" style="161" customWidth="1"/>
    <col min="9" max="9" width="12.33203125" style="161" customWidth="1"/>
    <col min="10" max="10" width="16.6640625" style="161" customWidth="1"/>
    <col min="11" max="11" width="19.5546875" style="161" customWidth="1"/>
    <col min="12" max="12" width="12.33203125" style="161" customWidth="1"/>
    <col min="13" max="14" width="12.6640625" style="161" customWidth="1"/>
    <col min="15" max="15" width="14.77734375" style="161" customWidth="1"/>
    <col min="16" max="16" width="12.44140625" style="161" customWidth="1"/>
    <col min="17" max="17" width="17.44140625" style="161" customWidth="1"/>
    <col min="18" max="18" width="12.33203125" style="161" customWidth="1"/>
    <col min="19" max="19" width="13.88671875" style="161" customWidth="1"/>
    <col min="20" max="20" width="1.88671875" style="161" customWidth="1"/>
    <col min="21" max="21" width="13" style="161" customWidth="1"/>
    <col min="22" max="16384" width="8.88671875" style="161"/>
  </cols>
  <sheetData>
    <row r="1" spans="1:70">
      <c r="S1" s="162"/>
    </row>
    <row r="2" spans="1:70">
      <c r="S2" s="162"/>
    </row>
    <row r="4" spans="1:70">
      <c r="S4" s="162" t="s">
        <v>414</v>
      </c>
    </row>
    <row r="5" spans="1:70">
      <c r="C5" s="163" t="s">
        <v>415</v>
      </c>
      <c r="D5" s="163"/>
      <c r="E5" s="163"/>
      <c r="F5" s="163"/>
      <c r="G5" s="163"/>
      <c r="H5" s="163"/>
      <c r="I5" s="163"/>
      <c r="J5" s="164" t="s">
        <v>1</v>
      </c>
      <c r="K5" s="164"/>
      <c r="L5" s="163"/>
      <c r="M5" s="163"/>
      <c r="N5" s="163"/>
      <c r="O5" s="163"/>
      <c r="P5" s="165"/>
      <c r="R5" s="166"/>
      <c r="S5" s="167" t="s">
        <v>549</v>
      </c>
      <c r="T5" s="168"/>
      <c r="U5" s="169"/>
      <c r="V5" s="169"/>
      <c r="W5" s="168"/>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row>
    <row r="6" spans="1:70">
      <c r="C6" s="163"/>
      <c r="D6" s="163"/>
      <c r="E6" s="163"/>
      <c r="F6" s="163"/>
      <c r="G6" s="163"/>
      <c r="H6" s="171" t="s">
        <v>2</v>
      </c>
      <c r="I6" s="171"/>
      <c r="J6" s="171" t="s">
        <v>416</v>
      </c>
      <c r="K6" s="171"/>
      <c r="L6" s="171"/>
      <c r="M6" s="171"/>
      <c r="N6" s="171"/>
      <c r="O6" s="171"/>
      <c r="P6" s="165"/>
      <c r="R6" s="166"/>
      <c r="S6" s="165"/>
      <c r="T6" s="168"/>
      <c r="U6" s="172"/>
      <c r="V6" s="169"/>
      <c r="W6" s="168"/>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1:70">
      <c r="C7" s="166"/>
      <c r="D7" s="166"/>
      <c r="E7" s="166"/>
      <c r="F7" s="166"/>
      <c r="G7" s="166"/>
      <c r="H7" s="166"/>
      <c r="I7" s="166"/>
      <c r="J7" s="166"/>
      <c r="K7" s="166"/>
      <c r="L7" s="166"/>
      <c r="M7" s="166"/>
      <c r="N7" s="166"/>
      <c r="O7" s="166"/>
      <c r="P7" s="166"/>
      <c r="R7" s="166"/>
      <c r="S7" s="166" t="s">
        <v>417</v>
      </c>
      <c r="T7" s="168"/>
      <c r="U7" s="169"/>
      <c r="V7" s="169"/>
      <c r="W7" s="168"/>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row>
    <row r="8" spans="1:70">
      <c r="A8" s="173"/>
      <c r="C8" s="166"/>
      <c r="D8" s="166"/>
      <c r="E8" s="166"/>
      <c r="F8" s="166"/>
      <c r="G8" s="166"/>
      <c r="H8" s="166"/>
      <c r="I8" s="166"/>
      <c r="J8" s="174" t="s">
        <v>324</v>
      </c>
      <c r="K8" s="174"/>
      <c r="L8" s="166"/>
      <c r="M8" s="166"/>
      <c r="N8" s="166"/>
      <c r="O8" s="166"/>
      <c r="P8" s="166"/>
      <c r="Q8" s="166"/>
      <c r="R8" s="166"/>
      <c r="S8" s="166"/>
      <c r="T8" s="168"/>
      <c r="U8" s="169"/>
      <c r="V8" s="169"/>
      <c r="W8" s="168"/>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70">
      <c r="A9" s="173"/>
      <c r="C9" s="166"/>
      <c r="D9" s="166"/>
      <c r="E9" s="166"/>
      <c r="F9" s="166"/>
      <c r="G9" s="166"/>
      <c r="H9" s="166"/>
      <c r="I9" s="166"/>
      <c r="J9" s="175"/>
      <c r="K9" s="175"/>
      <c r="L9" s="166"/>
      <c r="M9" s="166"/>
      <c r="N9" s="166"/>
      <c r="O9" s="166"/>
      <c r="P9" s="166"/>
      <c r="Q9" s="166"/>
      <c r="R9" s="166"/>
      <c r="S9" s="166"/>
      <c r="T9" s="168"/>
      <c r="U9" s="169"/>
      <c r="V9" s="169"/>
      <c r="W9" s="168"/>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row>
    <row r="10" spans="1:70">
      <c r="A10" s="173"/>
      <c r="C10" s="166" t="s">
        <v>418</v>
      </c>
      <c r="D10" s="166"/>
      <c r="E10" s="166"/>
      <c r="F10" s="166"/>
      <c r="G10" s="166"/>
      <c r="H10" s="166"/>
      <c r="I10" s="166"/>
      <c r="J10" s="175"/>
      <c r="K10" s="175"/>
      <c r="L10" s="166"/>
      <c r="M10" s="166"/>
      <c r="N10" s="166"/>
      <c r="O10" s="166"/>
      <c r="P10" s="166"/>
      <c r="Q10" s="166"/>
      <c r="R10" s="166"/>
      <c r="S10" s="166"/>
      <c r="T10" s="168"/>
      <c r="U10" s="169"/>
      <c r="V10" s="169"/>
      <c r="W10" s="168"/>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row>
    <row r="11" spans="1:70">
      <c r="A11" s="173"/>
      <c r="C11" s="166" t="s">
        <v>419</v>
      </c>
      <c r="D11" s="166"/>
      <c r="E11" s="166"/>
      <c r="F11" s="166"/>
      <c r="G11" s="166"/>
      <c r="H11" s="166"/>
      <c r="I11" s="166"/>
      <c r="J11" s="175"/>
      <c r="K11" s="175"/>
      <c r="Q11" s="166"/>
      <c r="R11" s="166"/>
      <c r="S11" s="166"/>
      <c r="T11" s="168"/>
      <c r="U11" s="168"/>
      <c r="V11" s="168"/>
      <c r="W11" s="168"/>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row>
    <row r="12" spans="1:70">
      <c r="A12" s="173"/>
      <c r="C12" s="166"/>
      <c r="D12" s="166"/>
      <c r="E12" s="166"/>
      <c r="F12" s="166"/>
      <c r="G12" s="166"/>
      <c r="H12" s="166"/>
      <c r="I12" s="166"/>
      <c r="J12" s="166"/>
      <c r="K12" s="166"/>
      <c r="Q12" s="176"/>
      <c r="R12" s="166"/>
      <c r="S12" s="166"/>
      <c r="T12" s="168"/>
      <c r="U12" s="168"/>
      <c r="V12" s="168"/>
      <c r="W12" s="168"/>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row>
    <row r="13" spans="1:70">
      <c r="C13" s="177" t="s">
        <v>32</v>
      </c>
      <c r="D13" s="177"/>
      <c r="E13" s="177"/>
      <c r="F13" s="177"/>
      <c r="G13" s="177"/>
      <c r="H13" s="177" t="s">
        <v>33</v>
      </c>
      <c r="I13" s="177"/>
      <c r="J13" s="177" t="s">
        <v>34</v>
      </c>
      <c r="K13" s="177"/>
      <c r="L13" s="178" t="s">
        <v>35</v>
      </c>
      <c r="R13" s="171"/>
      <c r="S13" s="178"/>
      <c r="T13" s="179"/>
      <c r="U13" s="178"/>
      <c r="V13" s="179"/>
      <c r="W13" s="18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row>
    <row r="14" spans="1:70" ht="15.75">
      <c r="C14" s="181"/>
      <c r="D14" s="181"/>
      <c r="E14" s="181"/>
      <c r="F14" s="181"/>
      <c r="G14" s="181"/>
      <c r="H14" s="182" t="s">
        <v>188</v>
      </c>
      <c r="I14" s="182"/>
      <c r="J14" s="171"/>
      <c r="K14" s="171"/>
      <c r="R14" s="171"/>
      <c r="T14" s="179"/>
      <c r="U14" s="183"/>
      <c r="V14" s="183"/>
      <c r="W14" s="18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row>
    <row r="15" spans="1:70" ht="15.75">
      <c r="A15" s="173" t="s">
        <v>4</v>
      </c>
      <c r="C15" s="181"/>
      <c r="D15" s="181"/>
      <c r="E15" s="181"/>
      <c r="F15" s="181"/>
      <c r="G15" s="181"/>
      <c r="H15" s="184" t="s">
        <v>39</v>
      </c>
      <c r="I15" s="184"/>
      <c r="J15" s="185" t="s">
        <v>38</v>
      </c>
      <c r="K15" s="185"/>
      <c r="L15" s="185" t="s">
        <v>10</v>
      </c>
      <c r="R15" s="171"/>
      <c r="T15" s="168"/>
      <c r="U15" s="186"/>
      <c r="V15" s="183"/>
      <c r="W15" s="18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row>
    <row r="16" spans="1:70" ht="15.75">
      <c r="A16" s="173" t="s">
        <v>6</v>
      </c>
      <c r="C16" s="187"/>
      <c r="D16" s="187"/>
      <c r="E16" s="187"/>
      <c r="F16" s="187"/>
      <c r="G16" s="187"/>
      <c r="H16" s="171"/>
      <c r="I16" s="171"/>
      <c r="J16" s="171"/>
      <c r="K16" s="171"/>
      <c r="L16" s="171"/>
      <c r="R16" s="171"/>
      <c r="S16" s="171"/>
      <c r="T16" s="168"/>
      <c r="U16" s="179"/>
      <c r="V16" s="179"/>
      <c r="W16" s="18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row>
    <row r="17" spans="1:70" ht="15.75">
      <c r="A17" s="188"/>
      <c r="C17" s="181"/>
      <c r="D17" s="181"/>
      <c r="E17" s="181"/>
      <c r="F17" s="181"/>
      <c r="G17" s="181"/>
      <c r="H17" s="171"/>
      <c r="I17" s="171"/>
      <c r="J17" s="171"/>
      <c r="K17" s="171"/>
      <c r="L17" s="171"/>
      <c r="R17" s="171"/>
      <c r="S17" s="171"/>
      <c r="T17" s="168"/>
      <c r="U17" s="179"/>
      <c r="V17" s="179"/>
      <c r="W17" s="18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row>
    <row r="18" spans="1:70">
      <c r="A18" s="189">
        <v>1</v>
      </c>
      <c r="C18" s="181" t="s">
        <v>420</v>
      </c>
      <c r="D18" s="181"/>
      <c r="E18" s="181"/>
      <c r="F18" s="181"/>
      <c r="G18" s="181"/>
      <c r="H18" s="190" t="s">
        <v>421</v>
      </c>
      <c r="I18" s="190"/>
      <c r="J18" s="191">
        <f>ATXI!J84+ATXI!J107</f>
        <v>238580000</v>
      </c>
      <c r="K18" s="171"/>
      <c r="R18" s="171"/>
      <c r="S18" s="171"/>
      <c r="T18" s="168"/>
      <c r="U18" s="179"/>
      <c r="V18" s="179"/>
      <c r="W18" s="18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row>
    <row r="19" spans="1:70">
      <c r="A19" s="189" t="s">
        <v>203</v>
      </c>
      <c r="C19" s="181" t="s">
        <v>422</v>
      </c>
      <c r="D19" s="181"/>
      <c r="E19" s="181"/>
      <c r="F19" s="181"/>
      <c r="G19" s="181"/>
      <c r="H19" s="190" t="s">
        <v>423</v>
      </c>
      <c r="I19" s="190"/>
      <c r="J19" s="192">
        <f>ATXI!J92</f>
        <v>3701000</v>
      </c>
      <c r="K19" s="193"/>
      <c r="R19" s="171"/>
      <c r="S19" s="171"/>
      <c r="T19" s="168"/>
      <c r="U19" s="179"/>
      <c r="V19" s="179"/>
      <c r="W19" s="18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row>
    <row r="20" spans="1:70">
      <c r="A20" s="189">
        <v>2</v>
      </c>
      <c r="C20" s="181" t="s">
        <v>424</v>
      </c>
      <c r="D20" s="181"/>
      <c r="E20" s="181"/>
      <c r="F20" s="181"/>
      <c r="G20" s="181"/>
      <c r="H20" s="190" t="s">
        <v>425</v>
      </c>
      <c r="I20" s="190"/>
      <c r="J20" s="194">
        <f>J18-J19</f>
        <v>234879000</v>
      </c>
      <c r="K20" s="195"/>
      <c r="R20" s="171"/>
      <c r="S20" s="171"/>
      <c r="T20" s="168"/>
      <c r="U20" s="179"/>
      <c r="V20" s="179"/>
      <c r="W20" s="18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row>
    <row r="21" spans="1:70">
      <c r="A21" s="189"/>
      <c r="H21" s="190"/>
      <c r="I21" s="190"/>
      <c r="R21" s="171"/>
      <c r="S21" s="171"/>
      <c r="T21" s="168"/>
      <c r="U21" s="179"/>
      <c r="V21" s="179"/>
      <c r="W21" s="18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row>
    <row r="22" spans="1:70">
      <c r="A22" s="189"/>
      <c r="C22" s="181" t="s">
        <v>426</v>
      </c>
      <c r="D22" s="181"/>
      <c r="E22" s="181"/>
      <c r="F22" s="181"/>
      <c r="G22" s="181"/>
      <c r="H22" s="190"/>
      <c r="I22" s="190"/>
      <c r="J22" s="171"/>
      <c r="K22" s="171"/>
      <c r="L22" s="171"/>
      <c r="R22" s="171"/>
      <c r="S22" s="171"/>
      <c r="T22" s="179"/>
      <c r="U22" s="179"/>
      <c r="V22" s="179"/>
      <c r="W22" s="18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row>
    <row r="23" spans="1:70">
      <c r="A23" s="189">
        <v>3</v>
      </c>
      <c r="C23" s="181" t="s">
        <v>427</v>
      </c>
      <c r="D23" s="181"/>
      <c r="E23" s="181"/>
      <c r="F23" s="181"/>
      <c r="G23" s="181"/>
      <c r="H23" s="190" t="s">
        <v>428</v>
      </c>
      <c r="I23" s="190"/>
      <c r="J23" s="191">
        <f>ATXI!J167</f>
        <v>3164000</v>
      </c>
      <c r="K23" s="171"/>
      <c r="R23" s="171"/>
      <c r="S23" s="171"/>
      <c r="T23" s="179"/>
      <c r="U23" s="179"/>
      <c r="V23" s="179"/>
      <c r="W23" s="18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row>
    <row r="24" spans="1:70">
      <c r="A24" s="189" t="s">
        <v>429</v>
      </c>
      <c r="C24" s="181" t="s">
        <v>430</v>
      </c>
      <c r="D24" s="181"/>
      <c r="E24" s="181"/>
      <c r="F24" s="181"/>
      <c r="G24" s="181"/>
      <c r="H24" s="190" t="s">
        <v>431</v>
      </c>
      <c r="I24" s="190"/>
      <c r="J24" s="191">
        <f>ATXI!J158</f>
        <v>184000</v>
      </c>
      <c r="K24" s="171"/>
      <c r="R24" s="171"/>
      <c r="S24" s="171"/>
      <c r="T24" s="179"/>
      <c r="U24" s="179"/>
      <c r="V24" s="179"/>
      <c r="W24" s="18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row>
    <row r="25" spans="1:70">
      <c r="A25" s="189" t="s">
        <v>432</v>
      </c>
      <c r="C25" s="181" t="s">
        <v>433</v>
      </c>
      <c r="D25" s="181"/>
      <c r="E25" s="181"/>
      <c r="F25" s="181"/>
      <c r="G25" s="181"/>
      <c r="H25" s="190" t="s">
        <v>434</v>
      </c>
      <c r="I25" s="190"/>
      <c r="J25" s="191">
        <f>ATXI!J159</f>
        <v>0</v>
      </c>
      <c r="K25" s="171"/>
      <c r="R25" s="171"/>
      <c r="S25" s="171"/>
      <c r="T25" s="179"/>
      <c r="U25" s="179"/>
      <c r="V25" s="179"/>
      <c r="W25" s="18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row>
    <row r="26" spans="1:70">
      <c r="A26" s="189" t="s">
        <v>435</v>
      </c>
      <c r="C26" s="181" t="s">
        <v>436</v>
      </c>
      <c r="D26" s="181"/>
      <c r="E26" s="181"/>
      <c r="F26" s="181"/>
      <c r="G26" s="181"/>
      <c r="H26" s="190" t="s">
        <v>437</v>
      </c>
      <c r="I26" s="190"/>
      <c r="J26" s="192">
        <f>ATXI!J160</f>
        <v>0</v>
      </c>
      <c r="K26" s="193"/>
      <c r="R26" s="171"/>
      <c r="S26" s="171"/>
      <c r="T26" s="179"/>
      <c r="U26" s="179"/>
      <c r="V26" s="179"/>
      <c r="W26" s="18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row>
    <row r="27" spans="1:70">
      <c r="A27" s="189" t="s">
        <v>438</v>
      </c>
      <c r="C27" s="181" t="s">
        <v>439</v>
      </c>
      <c r="D27" s="181"/>
      <c r="E27" s="181"/>
      <c r="F27" s="181"/>
      <c r="G27" s="181"/>
      <c r="H27" s="190" t="s">
        <v>440</v>
      </c>
      <c r="I27" s="190"/>
      <c r="J27" s="194">
        <f>J24-(J25+J26)</f>
        <v>184000</v>
      </c>
      <c r="K27" s="171"/>
      <c r="R27" s="171"/>
      <c r="S27" s="171"/>
      <c r="T27" s="179"/>
      <c r="U27" s="179"/>
      <c r="V27" s="179"/>
      <c r="W27" s="18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row>
    <row r="28" spans="1:70">
      <c r="A28" s="189"/>
      <c r="C28" s="181"/>
      <c r="D28" s="181"/>
      <c r="E28" s="181"/>
      <c r="F28" s="181"/>
      <c r="G28" s="181"/>
      <c r="H28" s="190"/>
      <c r="I28" s="190"/>
      <c r="J28" s="171"/>
      <c r="K28" s="171"/>
      <c r="R28" s="171"/>
      <c r="S28" s="171"/>
      <c r="T28" s="179"/>
      <c r="U28" s="179"/>
      <c r="V28" s="179"/>
      <c r="W28" s="18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row>
    <row r="29" spans="1:70" ht="15.75">
      <c r="A29" s="189">
        <v>4</v>
      </c>
      <c r="C29" s="187" t="s">
        <v>441</v>
      </c>
      <c r="D29" s="187"/>
      <c r="E29" s="187"/>
      <c r="F29" s="187"/>
      <c r="G29" s="181"/>
      <c r="H29" s="190" t="s">
        <v>442</v>
      </c>
      <c r="I29" s="190"/>
      <c r="J29" s="196">
        <f>IF(J27=0,0,J27/J19)</f>
        <v>4.9716292893812485E-2</v>
      </c>
      <c r="K29" s="196"/>
      <c r="L29" s="197">
        <f>J29</f>
        <v>4.9716292893812485E-2</v>
      </c>
      <c r="R29" s="171"/>
      <c r="S29" s="171"/>
      <c r="T29" s="179"/>
      <c r="U29" s="179"/>
      <c r="V29" s="179"/>
      <c r="W29" s="18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row>
    <row r="30" spans="1:70">
      <c r="A30" s="189"/>
      <c r="C30" s="181"/>
      <c r="D30" s="181"/>
      <c r="E30" s="181"/>
      <c r="F30" s="181"/>
      <c r="G30" s="181"/>
      <c r="H30" s="190"/>
      <c r="I30" s="190"/>
      <c r="J30" s="171"/>
      <c r="K30" s="171"/>
      <c r="R30" s="171"/>
      <c r="S30" s="171"/>
      <c r="T30" s="179"/>
      <c r="U30" s="179"/>
      <c r="V30" s="179"/>
      <c r="W30" s="18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row>
    <row r="31" spans="1:70">
      <c r="A31" s="189"/>
      <c r="C31" s="181"/>
      <c r="D31" s="181"/>
      <c r="E31" s="181"/>
      <c r="F31" s="181"/>
      <c r="G31" s="181"/>
      <c r="H31" s="190"/>
      <c r="I31" s="190"/>
      <c r="J31" s="171"/>
      <c r="K31" s="171"/>
      <c r="R31" s="171"/>
      <c r="S31" s="171"/>
      <c r="T31" s="179"/>
      <c r="U31" s="179"/>
      <c r="V31" s="179"/>
      <c r="W31" s="18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row>
    <row r="32" spans="1:70" ht="15.75">
      <c r="A32" s="189"/>
      <c r="C32" s="181" t="s">
        <v>443</v>
      </c>
      <c r="D32" s="181"/>
      <c r="E32" s="181"/>
      <c r="F32" s="181"/>
      <c r="G32" s="181"/>
      <c r="H32" s="190"/>
      <c r="I32" s="190"/>
      <c r="J32" s="198"/>
      <c r="K32" s="198"/>
      <c r="L32" s="199"/>
      <c r="R32" s="171"/>
      <c r="S32" s="196"/>
      <c r="T32" s="200"/>
      <c r="U32" s="201"/>
      <c r="V32" s="179"/>
      <c r="W32" s="18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row>
    <row r="33" spans="1:70" ht="15.75">
      <c r="A33" s="189" t="s">
        <v>444</v>
      </c>
      <c r="C33" s="181" t="s">
        <v>445</v>
      </c>
      <c r="D33" s="181"/>
      <c r="E33" s="181"/>
      <c r="F33" s="181"/>
      <c r="G33" s="181"/>
      <c r="H33" s="190" t="s">
        <v>446</v>
      </c>
      <c r="I33" s="190"/>
      <c r="J33" s="194">
        <f>J23-J27</f>
        <v>2980000</v>
      </c>
      <c r="K33" s="198"/>
      <c r="L33" s="199"/>
      <c r="R33" s="171"/>
      <c r="S33" s="196"/>
      <c r="T33" s="200"/>
      <c r="U33" s="201"/>
      <c r="V33" s="179"/>
      <c r="W33" s="18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row>
    <row r="34" spans="1:70" ht="15.75">
      <c r="A34" s="189" t="s">
        <v>447</v>
      </c>
      <c r="C34" s="181" t="s">
        <v>448</v>
      </c>
      <c r="D34" s="181"/>
      <c r="E34" s="181"/>
      <c r="F34" s="181"/>
      <c r="G34" s="181"/>
      <c r="H34" s="190" t="s">
        <v>449</v>
      </c>
      <c r="I34" s="190"/>
      <c r="J34" s="198">
        <f>IF(J33=0,0,J33/J18)</f>
        <v>1.2490569201106546E-2</v>
      </c>
      <c r="K34" s="198"/>
      <c r="L34" s="199">
        <f>J34</f>
        <v>1.2490569201106546E-2</v>
      </c>
      <c r="R34" s="171"/>
      <c r="S34" s="196"/>
      <c r="T34" s="200"/>
      <c r="U34" s="201"/>
      <c r="V34" s="179"/>
      <c r="W34" s="18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row>
    <row r="35" spans="1:70" ht="15.75">
      <c r="A35" s="189"/>
      <c r="C35" s="181"/>
      <c r="D35" s="181"/>
      <c r="E35" s="181"/>
      <c r="F35" s="181"/>
      <c r="G35" s="181"/>
      <c r="H35" s="190"/>
      <c r="I35" s="190"/>
      <c r="J35" s="198"/>
      <c r="K35" s="198"/>
      <c r="L35" s="199"/>
      <c r="R35" s="171"/>
      <c r="S35" s="196"/>
      <c r="T35" s="200"/>
      <c r="U35" s="201"/>
      <c r="V35" s="179"/>
      <c r="W35" s="18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row>
    <row r="36" spans="1:70" ht="15.75">
      <c r="A36" s="202"/>
      <c r="B36" s="170"/>
      <c r="C36" s="181" t="s">
        <v>450</v>
      </c>
      <c r="D36" s="181"/>
      <c r="E36" s="181"/>
      <c r="F36" s="181"/>
      <c r="G36" s="181"/>
      <c r="H36" s="203"/>
      <c r="I36" s="203"/>
      <c r="J36" s="171"/>
      <c r="K36" s="171"/>
      <c r="L36" s="171"/>
      <c r="O36" s="170"/>
      <c r="P36" s="170"/>
      <c r="R36" s="171"/>
      <c r="S36" s="196"/>
      <c r="T36" s="200"/>
      <c r="U36" s="201"/>
      <c r="V36" s="179"/>
      <c r="W36" s="18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row>
    <row r="37" spans="1:70" ht="15.75">
      <c r="A37" s="202" t="s">
        <v>451</v>
      </c>
      <c r="B37" s="170"/>
      <c r="C37" s="181" t="s">
        <v>452</v>
      </c>
      <c r="D37" s="181"/>
      <c r="E37" s="181"/>
      <c r="F37" s="181"/>
      <c r="G37" s="181"/>
      <c r="H37" s="190" t="s">
        <v>453</v>
      </c>
      <c r="I37" s="190"/>
      <c r="J37" s="191">
        <f>ATXI!J172+ATXI!J173</f>
        <v>0</v>
      </c>
      <c r="K37" s="171"/>
      <c r="L37" s="170"/>
      <c r="O37" s="170"/>
      <c r="P37" s="170"/>
      <c r="R37" s="171"/>
      <c r="S37" s="196"/>
      <c r="T37" s="200"/>
      <c r="U37" s="201"/>
      <c r="V37" s="179"/>
      <c r="W37" s="18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row>
    <row r="38" spans="1:70" ht="15.75">
      <c r="A38" s="202" t="s">
        <v>454</v>
      </c>
      <c r="B38" s="170"/>
      <c r="C38" s="181" t="s">
        <v>455</v>
      </c>
      <c r="D38" s="181"/>
      <c r="E38" s="181"/>
      <c r="F38" s="181"/>
      <c r="G38" s="181"/>
      <c r="H38" s="190" t="s">
        <v>456</v>
      </c>
      <c r="I38" s="190"/>
      <c r="J38" s="198">
        <f>IF(J37=0,0,J37/J18)</f>
        <v>0</v>
      </c>
      <c r="K38" s="198"/>
      <c r="L38" s="199">
        <f>J38</f>
        <v>0</v>
      </c>
      <c r="O38" s="170"/>
      <c r="P38" s="170"/>
      <c r="R38" s="171"/>
      <c r="S38" s="196"/>
      <c r="T38" s="200"/>
      <c r="U38" s="201"/>
      <c r="V38" s="179"/>
      <c r="W38" s="18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row>
    <row r="39" spans="1:70" ht="15.75">
      <c r="A39" s="189"/>
      <c r="C39" s="181"/>
      <c r="D39" s="181"/>
      <c r="E39" s="181"/>
      <c r="F39" s="181"/>
      <c r="G39" s="181"/>
      <c r="H39" s="190"/>
      <c r="I39" s="190"/>
      <c r="J39" s="198"/>
      <c r="K39" s="198"/>
      <c r="L39" s="199"/>
      <c r="R39" s="171"/>
      <c r="S39" s="196"/>
      <c r="T39" s="200"/>
      <c r="U39" s="201"/>
      <c r="V39" s="179"/>
      <c r="W39" s="18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row>
    <row r="40" spans="1:70">
      <c r="A40" s="204"/>
      <c r="C40" s="181" t="s">
        <v>457</v>
      </c>
      <c r="D40" s="181"/>
      <c r="E40" s="181"/>
      <c r="F40" s="181"/>
      <c r="G40" s="181"/>
      <c r="H40" s="203"/>
      <c r="I40" s="203"/>
      <c r="J40" s="171"/>
      <c r="K40" s="171"/>
      <c r="L40" s="171"/>
      <c r="R40" s="171"/>
      <c r="S40" s="171"/>
      <c r="T40" s="179"/>
      <c r="U40" s="171"/>
      <c r="V40" s="179"/>
      <c r="W40" s="18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row>
    <row r="41" spans="1:70" ht="15.75">
      <c r="A41" s="204" t="s">
        <v>458</v>
      </c>
      <c r="C41" s="181" t="s">
        <v>459</v>
      </c>
      <c r="D41" s="181"/>
      <c r="E41" s="181"/>
      <c r="F41" s="181"/>
      <c r="G41" s="181"/>
      <c r="H41" s="190" t="s">
        <v>460</v>
      </c>
      <c r="I41" s="190"/>
      <c r="J41" s="191">
        <f>ATXI!J185</f>
        <v>82000</v>
      </c>
      <c r="K41" s="171"/>
      <c r="R41" s="171"/>
      <c r="S41" s="205"/>
      <c r="T41" s="179"/>
      <c r="U41" s="206"/>
      <c r="V41" s="183"/>
      <c r="W41" s="18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row>
    <row r="42" spans="1:70" ht="15.75">
      <c r="A42" s="204" t="s">
        <v>461</v>
      </c>
      <c r="C42" s="181" t="s">
        <v>462</v>
      </c>
      <c r="D42" s="181"/>
      <c r="E42" s="181"/>
      <c r="F42" s="181"/>
      <c r="G42" s="181"/>
      <c r="H42" s="190" t="s">
        <v>463</v>
      </c>
      <c r="I42" s="190"/>
      <c r="J42" s="198">
        <f>IF(J41=0,0,J41/J18)</f>
        <v>3.4370022633917343E-4</v>
      </c>
      <c r="K42" s="198"/>
      <c r="L42" s="199">
        <f>J42</f>
        <v>3.4370022633917343E-4</v>
      </c>
      <c r="R42" s="171"/>
      <c r="S42" s="196"/>
      <c r="T42" s="179"/>
      <c r="U42" s="201"/>
      <c r="V42" s="183"/>
      <c r="W42" s="18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row>
    <row r="43" spans="1:70">
      <c r="A43" s="204"/>
      <c r="C43" s="181"/>
      <c r="D43" s="181"/>
      <c r="E43" s="181"/>
      <c r="F43" s="181"/>
      <c r="G43" s="181"/>
      <c r="H43" s="190"/>
      <c r="I43" s="190"/>
      <c r="J43" s="171"/>
      <c r="K43" s="171"/>
      <c r="L43" s="171"/>
      <c r="R43" s="171"/>
      <c r="V43" s="179"/>
      <c r="W43" s="18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row>
    <row r="44" spans="1:70" ht="15.75">
      <c r="A44" s="207" t="s">
        <v>464</v>
      </c>
      <c r="B44" s="208"/>
      <c r="C44" s="187" t="s">
        <v>465</v>
      </c>
      <c r="D44" s="187"/>
      <c r="E44" s="187"/>
      <c r="F44" s="187"/>
      <c r="G44" s="187"/>
      <c r="H44" s="182" t="s">
        <v>466</v>
      </c>
      <c r="I44" s="182"/>
      <c r="J44" s="209"/>
      <c r="K44" s="209"/>
      <c r="L44" s="209">
        <f>L34+L38+L42</f>
        <v>1.283426942744572E-2</v>
      </c>
      <c r="R44" s="171"/>
      <c r="V44" s="179"/>
      <c r="W44" s="18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row>
    <row r="45" spans="1:70">
      <c r="A45" s="204"/>
      <c r="C45" s="181"/>
      <c r="D45" s="181"/>
      <c r="E45" s="181"/>
      <c r="F45" s="181"/>
      <c r="G45" s="181"/>
      <c r="H45" s="190"/>
      <c r="I45" s="190"/>
      <c r="J45" s="171"/>
      <c r="K45" s="171"/>
      <c r="L45" s="171"/>
      <c r="R45" s="171"/>
      <c r="S45" s="171"/>
      <c r="T45" s="179"/>
      <c r="U45" s="210"/>
      <c r="V45" s="179"/>
      <c r="W45" s="18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row>
    <row r="46" spans="1:70">
      <c r="A46" s="202"/>
      <c r="B46" s="211"/>
      <c r="C46" s="171" t="s">
        <v>467</v>
      </c>
      <c r="D46" s="171"/>
      <c r="E46" s="171"/>
      <c r="F46" s="171"/>
      <c r="G46" s="171"/>
      <c r="H46" s="190"/>
      <c r="I46" s="190"/>
      <c r="J46" s="171"/>
      <c r="K46" s="171"/>
      <c r="L46" s="171"/>
      <c r="R46" s="212"/>
      <c r="S46" s="211"/>
      <c r="V46" s="183"/>
      <c r="W46" s="179" t="s">
        <v>2</v>
      </c>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row>
    <row r="47" spans="1:70">
      <c r="A47" s="204" t="s">
        <v>468</v>
      </c>
      <c r="B47" s="211"/>
      <c r="C47" s="171" t="s">
        <v>151</v>
      </c>
      <c r="D47" s="171"/>
      <c r="E47" s="171"/>
      <c r="F47" s="171"/>
      <c r="G47" s="171"/>
      <c r="H47" s="190" t="s">
        <v>469</v>
      </c>
      <c r="I47" s="190"/>
      <c r="J47" s="191">
        <f>ATXI!J198</f>
        <v>10819900.633202227</v>
      </c>
      <c r="K47" s="171"/>
      <c r="L47" s="171"/>
      <c r="R47" s="212"/>
      <c r="S47" s="211"/>
      <c r="V47" s="183"/>
      <c r="W47" s="179"/>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row>
    <row r="48" spans="1:70">
      <c r="A48" s="204" t="s">
        <v>470</v>
      </c>
      <c r="B48" s="211"/>
      <c r="C48" s="171" t="s">
        <v>471</v>
      </c>
      <c r="D48" s="171"/>
      <c r="E48" s="171"/>
      <c r="F48" s="171"/>
      <c r="G48" s="171"/>
      <c r="H48" s="190" t="s">
        <v>472</v>
      </c>
      <c r="I48" s="190"/>
      <c r="J48" s="198">
        <f>IF(J47=0,0,J47/J20)</f>
        <v>4.6065849365853173E-2</v>
      </c>
      <c r="K48" s="198"/>
      <c r="L48" s="199">
        <f>J48</f>
        <v>4.6065849365853173E-2</v>
      </c>
      <c r="R48" s="212"/>
      <c r="S48" s="211"/>
      <c r="T48" s="179"/>
      <c r="U48" s="179"/>
      <c r="V48" s="183"/>
      <c r="W48" s="179"/>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row>
    <row r="49" spans="1:70">
      <c r="A49" s="204"/>
      <c r="C49" s="171"/>
      <c r="D49" s="171"/>
      <c r="E49" s="171"/>
      <c r="F49" s="171"/>
      <c r="G49" s="171"/>
      <c r="H49" s="190"/>
      <c r="I49" s="190"/>
      <c r="J49" s="171"/>
      <c r="K49" s="171"/>
      <c r="L49" s="171"/>
      <c r="R49" s="171"/>
      <c r="T49" s="168"/>
      <c r="U49" s="179"/>
      <c r="V49" s="168"/>
      <c r="W49" s="18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row>
    <row r="50" spans="1:70">
      <c r="A50" s="204"/>
      <c r="C50" s="181" t="s">
        <v>473</v>
      </c>
      <c r="D50" s="181"/>
      <c r="E50" s="181"/>
      <c r="F50" s="181"/>
      <c r="G50" s="181"/>
      <c r="H50" s="213"/>
      <c r="I50" s="213"/>
      <c r="R50" s="171"/>
      <c r="T50" s="179"/>
      <c r="U50" s="179"/>
      <c r="V50" s="179"/>
      <c r="W50" s="18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row>
    <row r="51" spans="1:70">
      <c r="A51" s="204" t="s">
        <v>474</v>
      </c>
      <c r="C51" s="181" t="s">
        <v>475</v>
      </c>
      <c r="D51" s="181"/>
      <c r="E51" s="181"/>
      <c r="F51" s="181"/>
      <c r="G51" s="181"/>
      <c r="H51" s="190" t="s">
        <v>476</v>
      </c>
      <c r="I51" s="190"/>
      <c r="J51" s="191">
        <f>ATXI!J200</f>
        <v>19359228.929877929</v>
      </c>
      <c r="K51" s="171"/>
      <c r="L51" s="171"/>
      <c r="R51" s="171"/>
      <c r="T51" s="179"/>
      <c r="U51" s="179"/>
      <c r="V51" s="179"/>
      <c r="W51" s="18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row>
    <row r="52" spans="1:70">
      <c r="A52" s="204" t="s">
        <v>477</v>
      </c>
      <c r="B52" s="211"/>
      <c r="C52" s="171" t="s">
        <v>478</v>
      </c>
      <c r="D52" s="171"/>
      <c r="E52" s="171"/>
      <c r="F52" s="171"/>
      <c r="G52" s="171"/>
      <c r="H52" s="190" t="s">
        <v>479</v>
      </c>
      <c r="I52" s="190"/>
      <c r="J52" s="214">
        <f>IF(J51=0,0,J51/J20)</f>
        <v>8.2422136205782245E-2</v>
      </c>
      <c r="K52" s="214"/>
      <c r="L52" s="199">
        <f>J52</f>
        <v>8.2422136205782245E-2</v>
      </c>
      <c r="R52" s="171"/>
      <c r="U52" s="215"/>
      <c r="V52" s="183"/>
      <c r="W52" s="179"/>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row>
    <row r="53" spans="1:70">
      <c r="A53" s="204"/>
      <c r="C53" s="181"/>
      <c r="D53" s="181"/>
      <c r="E53" s="181"/>
      <c r="F53" s="181"/>
      <c r="G53" s="181"/>
      <c r="H53" s="190"/>
      <c r="I53" s="190"/>
      <c r="J53" s="171"/>
      <c r="K53" s="171"/>
      <c r="L53" s="171"/>
      <c r="R53" s="171"/>
      <c r="S53" s="213"/>
      <c r="T53" s="179"/>
      <c r="U53" s="179"/>
      <c r="V53" s="179"/>
      <c r="W53" s="18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ht="15.75">
      <c r="A54" s="207" t="s">
        <v>480</v>
      </c>
      <c r="B54" s="208"/>
      <c r="C54" s="187" t="s">
        <v>481</v>
      </c>
      <c r="D54" s="187"/>
      <c r="E54" s="187"/>
      <c r="F54" s="187"/>
      <c r="G54" s="187"/>
      <c r="H54" s="182" t="s">
        <v>482</v>
      </c>
      <c r="I54" s="182"/>
      <c r="J54" s="216"/>
      <c r="K54" s="216"/>
      <c r="L54" s="209">
        <f>L48+L52</f>
        <v>0.12848798557163543</v>
      </c>
      <c r="R54" s="171"/>
      <c r="S54" s="213"/>
      <c r="T54" s="179"/>
      <c r="U54" s="179"/>
      <c r="V54" s="179"/>
      <c r="W54" s="18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c r="R55" s="217"/>
      <c r="S55" s="217"/>
      <c r="T55" s="179"/>
      <c r="U55" s="179"/>
      <c r="V55" s="179"/>
      <c r="W55" s="18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c r="C56" s="161" t="s">
        <v>483</v>
      </c>
      <c r="R56" s="217"/>
      <c r="S56" s="217"/>
      <c r="T56" s="179"/>
      <c r="U56" s="179"/>
      <c r="V56" s="179"/>
      <c r="W56" s="18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ht="15.75">
      <c r="A57" s="207" t="s">
        <v>484</v>
      </c>
      <c r="C57" s="161" t="s">
        <v>485</v>
      </c>
      <c r="H57" s="161" t="s">
        <v>486</v>
      </c>
      <c r="J57" s="199">
        <f>ATXI!J283</f>
        <v>-9.5809394812546023E-4</v>
      </c>
      <c r="L57" s="197">
        <f>J57</f>
        <v>-9.5809394812546023E-4</v>
      </c>
      <c r="R57" s="217"/>
      <c r="S57" s="217"/>
      <c r="T57" s="179"/>
      <c r="U57" s="179"/>
      <c r="V57" s="179"/>
      <c r="W57" s="18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c r="A58" s="173"/>
      <c r="C58" s="218"/>
      <c r="D58" s="218"/>
      <c r="E58" s="218"/>
      <c r="F58" s="218"/>
      <c r="G58" s="218"/>
      <c r="H58" s="218"/>
      <c r="I58" s="218"/>
      <c r="J58" s="171"/>
      <c r="K58" s="171"/>
      <c r="L58" s="218"/>
      <c r="M58" s="218"/>
      <c r="N58" s="218"/>
      <c r="O58" s="218"/>
      <c r="P58" s="218"/>
      <c r="R58" s="171"/>
      <c r="S58" s="171"/>
      <c r="T58" s="179"/>
      <c r="U58" s="179"/>
      <c r="V58" s="183"/>
      <c r="W58" s="179" t="s">
        <v>2</v>
      </c>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c r="S59" s="162"/>
    </row>
    <row r="60" spans="1:70">
      <c r="S60" s="162"/>
    </row>
    <row r="62" spans="1:70">
      <c r="A62" s="173"/>
      <c r="C62" s="218"/>
      <c r="D62" s="218"/>
      <c r="E62" s="218"/>
      <c r="F62" s="218"/>
      <c r="G62" s="218"/>
      <c r="H62" s="218"/>
      <c r="I62" s="218"/>
      <c r="J62" s="171"/>
      <c r="K62" s="171"/>
      <c r="L62" s="218"/>
      <c r="M62" s="218"/>
      <c r="N62" s="218"/>
      <c r="O62" s="218"/>
      <c r="P62" s="218"/>
      <c r="R62" s="171"/>
      <c r="S62" s="162" t="s">
        <v>414</v>
      </c>
      <c r="T62" s="179"/>
      <c r="U62" s="168"/>
      <c r="V62" s="179"/>
      <c r="W62" s="18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c r="A63" s="173"/>
      <c r="C63" s="181" t="str">
        <f>C5</f>
        <v>Formula Rate calculation</v>
      </c>
      <c r="D63" s="181"/>
      <c r="E63" s="181"/>
      <c r="F63" s="181"/>
      <c r="G63" s="181"/>
      <c r="H63" s="218"/>
      <c r="I63" s="218"/>
      <c r="J63" s="218" t="str">
        <f>J5</f>
        <v xml:space="preserve">     Rate Formula Template</v>
      </c>
      <c r="K63" s="218"/>
      <c r="L63" s="218"/>
      <c r="M63" s="218"/>
      <c r="N63" s="218"/>
      <c r="O63" s="218"/>
      <c r="P63" s="218"/>
      <c r="R63" s="171"/>
      <c r="S63" s="219" t="str">
        <f>S5</f>
        <v>For  the 12 months ended 12/31/14</v>
      </c>
      <c r="T63" s="179"/>
      <c r="U63" s="168"/>
      <c r="V63" s="179"/>
      <c r="W63" s="18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70">
      <c r="A64" s="173"/>
      <c r="C64" s="181"/>
      <c r="D64" s="181"/>
      <c r="E64" s="181"/>
      <c r="F64" s="181"/>
      <c r="G64" s="181"/>
      <c r="H64" s="218"/>
      <c r="I64" s="218"/>
      <c r="J64" s="218" t="str">
        <f>J6</f>
        <v xml:space="preserve"> Utilizing Attachment O Data</v>
      </c>
      <c r="K64" s="218"/>
      <c r="L64" s="218"/>
      <c r="M64" s="218"/>
      <c r="N64" s="218"/>
      <c r="O64" s="218"/>
      <c r="P64" s="218"/>
      <c r="Q64" s="171"/>
      <c r="R64" s="171"/>
      <c r="T64" s="179"/>
      <c r="U64" s="168"/>
      <c r="V64" s="179"/>
      <c r="W64" s="18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row>
    <row r="65" spans="1:70" ht="14.25" customHeight="1">
      <c r="A65" s="173"/>
      <c r="C65" s="218"/>
      <c r="D65" s="218"/>
      <c r="E65" s="218"/>
      <c r="F65" s="218"/>
      <c r="G65" s="218"/>
      <c r="H65" s="218"/>
      <c r="I65" s="218"/>
      <c r="J65" s="218"/>
      <c r="K65" s="218"/>
      <c r="L65" s="218"/>
      <c r="M65" s="218"/>
      <c r="N65" s="218"/>
      <c r="O65" s="218"/>
      <c r="P65" s="218"/>
      <c r="R65" s="171"/>
      <c r="S65" s="218" t="s">
        <v>487</v>
      </c>
      <c r="T65" s="179"/>
      <c r="U65" s="168"/>
      <c r="V65" s="179"/>
      <c r="W65" s="18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row>
    <row r="66" spans="1:70">
      <c r="A66" s="173"/>
      <c r="H66" s="218"/>
      <c r="I66" s="218"/>
      <c r="J66" s="218" t="str">
        <f>J8</f>
        <v>ATXI</v>
      </c>
      <c r="K66" s="218"/>
      <c r="L66" s="218"/>
      <c r="M66" s="218"/>
      <c r="N66" s="218"/>
      <c r="O66" s="218"/>
      <c r="P66" s="218"/>
      <c r="Q66" s="218"/>
      <c r="R66" s="171"/>
      <c r="S66" s="171"/>
      <c r="T66" s="179"/>
      <c r="U66" s="168"/>
      <c r="V66" s="179"/>
      <c r="W66" s="18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row>
    <row r="67" spans="1:70">
      <c r="A67" s="173"/>
      <c r="H67" s="181"/>
      <c r="I67" s="181"/>
      <c r="J67" s="181"/>
      <c r="K67" s="181"/>
      <c r="L67" s="181"/>
      <c r="M67" s="181"/>
      <c r="N67" s="181"/>
      <c r="O67" s="181"/>
      <c r="P67" s="181"/>
      <c r="Q67" s="181"/>
      <c r="R67" s="181"/>
      <c r="S67" s="181"/>
      <c r="T67" s="179"/>
      <c r="U67" s="168"/>
      <c r="V67" s="179"/>
      <c r="W67" s="18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row>
    <row r="68" spans="1:70" ht="15.75">
      <c r="A68" s="173"/>
      <c r="C68" s="218"/>
      <c r="D68" s="218"/>
      <c r="E68" s="218"/>
      <c r="F68" s="218"/>
      <c r="G68" s="218"/>
      <c r="H68" s="187" t="s">
        <v>488</v>
      </c>
      <c r="I68" s="187"/>
      <c r="L68" s="166"/>
      <c r="M68" s="166"/>
      <c r="N68" s="166"/>
      <c r="O68" s="166"/>
      <c r="P68" s="166"/>
      <c r="Q68" s="166"/>
      <c r="R68" s="171"/>
      <c r="S68" s="171"/>
      <c r="T68" s="179"/>
      <c r="U68" s="168"/>
      <c r="V68" s="179"/>
      <c r="W68" s="18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row>
    <row r="69" spans="1:70" ht="15.75">
      <c r="A69" s="173"/>
      <c r="C69" s="218"/>
      <c r="D69" s="218"/>
      <c r="E69" s="218"/>
      <c r="F69" s="218"/>
      <c r="G69" s="218"/>
      <c r="H69" s="187"/>
      <c r="I69" s="187"/>
      <c r="L69" s="166"/>
      <c r="M69" s="166"/>
      <c r="N69" s="166"/>
      <c r="O69" s="166"/>
      <c r="P69" s="166"/>
      <c r="Q69" s="166"/>
      <c r="R69" s="171"/>
      <c r="S69" s="171"/>
      <c r="T69" s="179"/>
      <c r="U69" s="168"/>
      <c r="V69" s="179"/>
      <c r="W69" s="18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row>
    <row r="70" spans="1:70" ht="15.75">
      <c r="A70" s="220"/>
      <c r="C70" s="221" t="s">
        <v>32</v>
      </c>
      <c r="D70" s="221" t="s">
        <v>33</v>
      </c>
      <c r="E70" s="221" t="s">
        <v>34</v>
      </c>
      <c r="F70" s="221" t="s">
        <v>35</v>
      </c>
      <c r="G70" s="221" t="s">
        <v>36</v>
      </c>
      <c r="H70" s="221" t="s">
        <v>489</v>
      </c>
      <c r="I70" s="221" t="s">
        <v>490</v>
      </c>
      <c r="J70" s="221" t="s">
        <v>491</v>
      </c>
      <c r="K70" s="221" t="s">
        <v>492</v>
      </c>
      <c r="L70" s="221" t="s">
        <v>493</v>
      </c>
      <c r="M70" s="221" t="s">
        <v>494</v>
      </c>
      <c r="N70" s="221" t="s">
        <v>495</v>
      </c>
      <c r="O70" s="221" t="s">
        <v>496</v>
      </c>
      <c r="P70" s="221" t="s">
        <v>497</v>
      </c>
      <c r="Q70" s="221" t="s">
        <v>498</v>
      </c>
      <c r="R70" s="221" t="s">
        <v>499</v>
      </c>
      <c r="S70" s="221" t="s">
        <v>500</v>
      </c>
      <c r="T70" s="179"/>
      <c r="U70" s="168"/>
      <c r="V70" s="179"/>
      <c r="W70" s="18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row>
    <row r="71" spans="1:70" ht="85.5" customHeight="1">
      <c r="A71" s="222" t="s">
        <v>501</v>
      </c>
      <c r="B71" s="223"/>
      <c r="C71" s="224" t="s">
        <v>502</v>
      </c>
      <c r="D71" s="224" t="s">
        <v>503</v>
      </c>
      <c r="E71" s="224" t="s">
        <v>504</v>
      </c>
      <c r="F71" s="224" t="s">
        <v>505</v>
      </c>
      <c r="G71" s="224" t="s">
        <v>506</v>
      </c>
      <c r="H71" s="225" t="s">
        <v>507</v>
      </c>
      <c r="I71" s="225" t="s">
        <v>508</v>
      </c>
      <c r="J71" s="226" t="s">
        <v>509</v>
      </c>
      <c r="K71" s="227" t="s">
        <v>510</v>
      </c>
      <c r="L71" s="225" t="s">
        <v>511</v>
      </c>
      <c r="M71" s="225" t="s">
        <v>481</v>
      </c>
      <c r="N71" s="225" t="s">
        <v>512</v>
      </c>
      <c r="O71" s="227" t="s">
        <v>513</v>
      </c>
      <c r="P71" s="225" t="s">
        <v>514</v>
      </c>
      <c r="Q71" s="228" t="s">
        <v>515</v>
      </c>
      <c r="R71" s="229" t="s">
        <v>516</v>
      </c>
      <c r="S71" s="228" t="s">
        <v>517</v>
      </c>
      <c r="T71" s="200"/>
      <c r="U71" s="168"/>
      <c r="V71" s="179"/>
      <c r="W71" s="18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row>
    <row r="72" spans="1:70" ht="46.5" customHeight="1">
      <c r="A72" s="230"/>
      <c r="B72" s="231"/>
      <c r="C72" s="231"/>
      <c r="D72" s="231"/>
      <c r="E72" s="232" t="s">
        <v>18</v>
      </c>
      <c r="F72" s="231"/>
      <c r="G72" s="231" t="s">
        <v>518</v>
      </c>
      <c r="H72" s="232" t="s">
        <v>519</v>
      </c>
      <c r="I72" s="233" t="s">
        <v>520</v>
      </c>
      <c r="J72" s="232" t="s">
        <v>521</v>
      </c>
      <c r="K72" s="234" t="s">
        <v>522</v>
      </c>
      <c r="L72" s="232" t="s">
        <v>523</v>
      </c>
      <c r="M72" s="233" t="s">
        <v>524</v>
      </c>
      <c r="N72" s="235" t="s">
        <v>525</v>
      </c>
      <c r="O72" s="236" t="s">
        <v>526</v>
      </c>
      <c r="P72" s="233" t="s">
        <v>527</v>
      </c>
      <c r="Q72" s="237" t="s">
        <v>528</v>
      </c>
      <c r="R72" s="238" t="s">
        <v>529</v>
      </c>
      <c r="S72" s="239" t="s">
        <v>530</v>
      </c>
      <c r="T72" s="179"/>
      <c r="U72" s="168"/>
      <c r="V72" s="179"/>
      <c r="W72" s="18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row>
    <row r="73" spans="1:70">
      <c r="A73" s="240" t="s">
        <v>531</v>
      </c>
      <c r="B73" s="166"/>
      <c r="C73" s="166"/>
      <c r="D73" s="166"/>
      <c r="E73" s="166"/>
      <c r="F73" s="166"/>
      <c r="G73" s="166"/>
      <c r="H73" s="166"/>
      <c r="I73" s="166"/>
      <c r="J73" s="166"/>
      <c r="K73" s="241"/>
      <c r="L73" s="166"/>
      <c r="M73" s="166"/>
      <c r="N73" s="166"/>
      <c r="O73" s="241"/>
      <c r="P73" s="166"/>
      <c r="Q73" s="241"/>
      <c r="R73" s="171"/>
      <c r="S73" s="242"/>
      <c r="T73" s="179"/>
      <c r="U73" s="168"/>
      <c r="V73" s="179"/>
      <c r="W73" s="18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row>
    <row r="74" spans="1:70">
      <c r="A74" s="278" t="s">
        <v>203</v>
      </c>
      <c r="B74" s="276"/>
      <c r="C74" s="277" t="s">
        <v>550</v>
      </c>
      <c r="D74" s="279">
        <v>2237</v>
      </c>
      <c r="E74" s="399">
        <f>MVPs!B16*1000</f>
        <v>40917314.440216713</v>
      </c>
      <c r="F74" s="399"/>
      <c r="G74" s="199">
        <f>$L$29</f>
        <v>4.9716292893812485E-2</v>
      </c>
      <c r="H74" s="244">
        <f>F74*G74</f>
        <v>0</v>
      </c>
      <c r="I74" s="199">
        <f>$L$44</f>
        <v>1.283426942744572E-2</v>
      </c>
      <c r="J74" s="161">
        <f>E74*I74</f>
        <v>525143.83777325659</v>
      </c>
      <c r="K74" s="245">
        <f>H74+J74</f>
        <v>525143.83777325659</v>
      </c>
      <c r="L74" s="244">
        <f>E74-F74</f>
        <v>40917314.440216713</v>
      </c>
      <c r="M74" s="199">
        <f>$L$54</f>
        <v>0.12848798557163543</v>
      </c>
      <c r="N74" s="199">
        <f>$L$57</f>
        <v>-9.5809394812546023E-4</v>
      </c>
      <c r="O74" s="246">
        <f>L74*(M74+N74)</f>
        <v>5218180.6760859173</v>
      </c>
      <c r="P74" s="399">
        <v>0</v>
      </c>
      <c r="Q74" s="246">
        <f>K74+O74+P74</f>
        <v>5743324.5138591742</v>
      </c>
      <c r="R74" s="400">
        <f>'ATXI 2012 Attach MM true up'!L22</f>
        <v>161957.84338940345</v>
      </c>
      <c r="S74" s="247">
        <f>Q74+R74</f>
        <v>5905282.3572485773</v>
      </c>
      <c r="T74" s="248"/>
      <c r="U74" s="248"/>
      <c r="V74" s="248"/>
      <c r="W74" s="248"/>
      <c r="X74" s="248"/>
      <c r="Y74" s="248"/>
      <c r="Z74" s="248"/>
    </row>
    <row r="75" spans="1:70" s="391" customFormat="1">
      <c r="A75" s="389" t="s">
        <v>532</v>
      </c>
      <c r="B75" s="390"/>
      <c r="C75" s="391" t="s">
        <v>726</v>
      </c>
      <c r="D75" s="392">
        <v>2237</v>
      </c>
      <c r="E75" s="399">
        <f>MVPs!B6*1000</f>
        <v>1357136.81</v>
      </c>
      <c r="F75" s="399"/>
      <c r="G75" s="394">
        <f t="shared" ref="G75:G87" si="0">$L$29</f>
        <v>4.9716292893812485E-2</v>
      </c>
      <c r="H75" s="393">
        <f t="shared" ref="H75:H87" si="1">F75*G75</f>
        <v>0</v>
      </c>
      <c r="I75" s="394">
        <f t="shared" ref="I75:I87" si="2">$L$44</f>
        <v>1.283426942744572E-2</v>
      </c>
      <c r="J75" s="391">
        <f t="shared" ref="J75:J87" si="3">E75*I75</f>
        <v>17417.859469444211</v>
      </c>
      <c r="K75" s="395">
        <f t="shared" ref="K75:K87" si="4">H75+J75</f>
        <v>17417.859469444211</v>
      </c>
      <c r="L75" s="393">
        <f t="shared" ref="L75:L87" si="5">E75-F75</f>
        <v>1357136.81</v>
      </c>
      <c r="M75" s="394">
        <f t="shared" ref="M75:M87" si="6">$L$54</f>
        <v>0.12848798557163543</v>
      </c>
      <c r="N75" s="394">
        <v>0</v>
      </c>
      <c r="O75" s="396">
        <f t="shared" ref="O75:O87" si="7">L75*(M75+N75)</f>
        <v>174375.77486201536</v>
      </c>
      <c r="P75" s="399">
        <v>0</v>
      </c>
      <c r="Q75" s="396">
        <f t="shared" ref="Q75:Q87" si="8">K75+O75+P75</f>
        <v>191793.63433145956</v>
      </c>
      <c r="R75" s="400">
        <v>0</v>
      </c>
      <c r="S75" s="397">
        <f t="shared" ref="S75:S87" si="9">Q75+R75</f>
        <v>191793.63433145956</v>
      </c>
      <c r="T75" s="398"/>
      <c r="U75" s="398"/>
      <c r="V75" s="398"/>
      <c r="W75" s="398"/>
      <c r="X75" s="398"/>
      <c r="Y75" s="398"/>
      <c r="Z75" s="398"/>
    </row>
    <row r="76" spans="1:70">
      <c r="A76" s="278" t="s">
        <v>533</v>
      </c>
      <c r="B76" s="276"/>
      <c r="C76" s="277" t="s">
        <v>551</v>
      </c>
      <c r="D76" s="279">
        <v>2239</v>
      </c>
      <c r="E76" s="399">
        <f>MVPs!B17*1000</f>
        <v>9533438.8009248264</v>
      </c>
      <c r="F76" s="399"/>
      <c r="G76" s="314">
        <f t="shared" si="0"/>
        <v>4.9716292893812485E-2</v>
      </c>
      <c r="H76" s="315">
        <f t="shared" si="1"/>
        <v>0</v>
      </c>
      <c r="I76" s="314">
        <f t="shared" si="2"/>
        <v>1.283426942744572E-2</v>
      </c>
      <c r="J76" s="308">
        <f t="shared" si="3"/>
        <v>122354.72214113429</v>
      </c>
      <c r="K76" s="310">
        <f t="shared" si="4"/>
        <v>122354.72214113429</v>
      </c>
      <c r="L76" s="315">
        <f t="shared" si="5"/>
        <v>9533438.8009248264</v>
      </c>
      <c r="M76" s="314">
        <f t="shared" si="6"/>
        <v>0.12848798557163543</v>
      </c>
      <c r="N76" s="314">
        <f t="shared" ref="N76:N86" si="10">$L$57</f>
        <v>-9.5809394812546023E-4</v>
      </c>
      <c r="O76" s="313">
        <f t="shared" si="7"/>
        <v>1215798.4170813081</v>
      </c>
      <c r="P76" s="399">
        <v>0</v>
      </c>
      <c r="Q76" s="313">
        <f t="shared" si="8"/>
        <v>1338153.1392224424</v>
      </c>
      <c r="R76" s="400">
        <f>'ATXI 2012 Attach MM true up'!L23</f>
        <v>-200123.17442075943</v>
      </c>
      <c r="S76" s="312">
        <f t="shared" si="9"/>
        <v>1138029.9648016831</v>
      </c>
      <c r="T76" s="248"/>
      <c r="U76" s="248"/>
      <c r="V76" s="248"/>
      <c r="W76" s="248"/>
      <c r="X76" s="248"/>
      <c r="Y76" s="248"/>
      <c r="Z76" s="248"/>
    </row>
    <row r="77" spans="1:70" s="391" customFormat="1">
      <c r="A77" s="389" t="s">
        <v>553</v>
      </c>
      <c r="B77" s="390"/>
      <c r="C77" s="391" t="s">
        <v>727</v>
      </c>
      <c r="D77" s="392">
        <v>2239</v>
      </c>
      <c r="E77" s="399">
        <f>MVPs!B7*1000</f>
        <v>800360.48999999987</v>
      </c>
      <c r="F77" s="399"/>
      <c r="G77" s="394">
        <f t="shared" si="0"/>
        <v>4.9716292893812485E-2</v>
      </c>
      <c r="H77" s="393">
        <f t="shared" si="1"/>
        <v>0</v>
      </c>
      <c r="I77" s="394">
        <f t="shared" si="2"/>
        <v>1.283426942744572E-2</v>
      </c>
      <c r="J77" s="391">
        <f t="shared" si="3"/>
        <v>10272.042167742475</v>
      </c>
      <c r="K77" s="395">
        <f t="shared" si="4"/>
        <v>10272.042167742475</v>
      </c>
      <c r="L77" s="393">
        <f t="shared" si="5"/>
        <v>800360.48999999987</v>
      </c>
      <c r="M77" s="394">
        <f t="shared" si="6"/>
        <v>0.12848798557163543</v>
      </c>
      <c r="N77" s="394">
        <v>0</v>
      </c>
      <c r="O77" s="396">
        <f t="shared" si="7"/>
        <v>102836.70709122704</v>
      </c>
      <c r="P77" s="399">
        <v>0</v>
      </c>
      <c r="Q77" s="396">
        <f t="shared" si="8"/>
        <v>113108.74925896952</v>
      </c>
      <c r="R77" s="400">
        <v>0</v>
      </c>
      <c r="S77" s="397">
        <f t="shared" si="9"/>
        <v>113108.74925896952</v>
      </c>
      <c r="T77" s="398"/>
      <c r="U77" s="398"/>
      <c r="V77" s="398"/>
      <c r="W77" s="398"/>
      <c r="X77" s="398"/>
      <c r="Y77" s="398"/>
      <c r="Z77" s="398"/>
    </row>
    <row r="78" spans="1:70" s="391" customFormat="1">
      <c r="A78" s="309" t="s">
        <v>555</v>
      </c>
      <c r="B78" s="307"/>
      <c r="C78" s="308" t="s">
        <v>558</v>
      </c>
      <c r="D78" s="311">
        <v>2248</v>
      </c>
      <c r="E78" s="399">
        <f>MVPs!B18*1000</f>
        <v>528002.74388461525</v>
      </c>
      <c r="F78" s="273"/>
      <c r="G78" s="314">
        <f t="shared" si="0"/>
        <v>4.9716292893812485E-2</v>
      </c>
      <c r="H78" s="315">
        <f t="shared" ref="H78:H79" si="11">F78*G78</f>
        <v>0</v>
      </c>
      <c r="I78" s="314">
        <f t="shared" si="2"/>
        <v>1.283426942744572E-2</v>
      </c>
      <c r="J78" s="308">
        <f t="shared" ref="J78:J79" si="12">E78*I78</f>
        <v>6776.5294734457702</v>
      </c>
      <c r="K78" s="310">
        <f t="shared" ref="K78:K79" si="13">H78+J78</f>
        <v>6776.5294734457702</v>
      </c>
      <c r="L78" s="315">
        <f t="shared" ref="L78:L79" si="14">E78-F78</f>
        <v>528002.74388461525</v>
      </c>
      <c r="M78" s="314">
        <f t="shared" si="6"/>
        <v>0.12848798557163543</v>
      </c>
      <c r="N78" s="314">
        <f t="shared" si="10"/>
        <v>-9.5809394812546023E-4</v>
      </c>
      <c r="O78" s="313">
        <f t="shared" ref="O78:O79" si="15">L78*(M78+N78)</f>
        <v>67336.132704520875</v>
      </c>
      <c r="P78" s="399">
        <v>0</v>
      </c>
      <c r="Q78" s="313">
        <f t="shared" ref="Q78:Q79" si="16">K78+O78+P78</f>
        <v>74112.662177966646</v>
      </c>
      <c r="R78" s="400">
        <f>'ATXI 2012 Attach MM true up'!L19</f>
        <v>0</v>
      </c>
      <c r="S78" s="312">
        <f t="shared" ref="S78:S79" si="17">Q78+R78</f>
        <v>74112.662177966646</v>
      </c>
      <c r="T78" s="398"/>
      <c r="U78" s="398"/>
      <c r="V78" s="398"/>
      <c r="W78" s="398"/>
      <c r="X78" s="398"/>
      <c r="Y78" s="398"/>
      <c r="Z78" s="398"/>
    </row>
    <row r="79" spans="1:70" s="391" customFormat="1">
      <c r="A79" s="389" t="s">
        <v>557</v>
      </c>
      <c r="B79" s="390"/>
      <c r="C79" s="391" t="s">
        <v>731</v>
      </c>
      <c r="D79" s="392">
        <v>2248</v>
      </c>
      <c r="E79" s="399">
        <f>MVPs!B8*1000</f>
        <v>519420.46153846162</v>
      </c>
      <c r="F79" s="273"/>
      <c r="G79" s="394">
        <f t="shared" si="0"/>
        <v>4.9716292893812485E-2</v>
      </c>
      <c r="H79" s="393">
        <f t="shared" si="11"/>
        <v>0</v>
      </c>
      <c r="I79" s="394">
        <f t="shared" si="2"/>
        <v>1.283426942744572E-2</v>
      </c>
      <c r="J79" s="391">
        <f t="shared" si="12"/>
        <v>6666.3821495128232</v>
      </c>
      <c r="K79" s="395">
        <f t="shared" si="13"/>
        <v>6666.3821495128232</v>
      </c>
      <c r="L79" s="393">
        <f t="shared" si="14"/>
        <v>519420.46153846162</v>
      </c>
      <c r="M79" s="394">
        <f t="shared" si="6"/>
        <v>0.12848798557163543</v>
      </c>
      <c r="N79" s="394">
        <v>0</v>
      </c>
      <c r="O79" s="396">
        <f t="shared" si="15"/>
        <v>66739.288767766076</v>
      </c>
      <c r="P79" s="399">
        <v>0</v>
      </c>
      <c r="Q79" s="396">
        <f t="shared" si="16"/>
        <v>73405.670917278898</v>
      </c>
      <c r="R79" s="400">
        <v>0</v>
      </c>
      <c r="S79" s="397">
        <f t="shared" si="17"/>
        <v>73405.670917278898</v>
      </c>
      <c r="T79" s="398"/>
      <c r="U79" s="398"/>
      <c r="V79" s="398"/>
      <c r="W79" s="398"/>
      <c r="X79" s="398"/>
      <c r="Y79" s="398"/>
      <c r="Z79" s="398"/>
    </row>
    <row r="80" spans="1:70">
      <c r="A80" s="278" t="s">
        <v>559</v>
      </c>
      <c r="B80" s="276"/>
      <c r="C80" s="277" t="s">
        <v>552</v>
      </c>
      <c r="D80" s="279">
        <v>3017</v>
      </c>
      <c r="E80" s="399">
        <f>MVPs!B19*1000</f>
        <v>90215716.736417964</v>
      </c>
      <c r="F80" s="399"/>
      <c r="G80" s="314">
        <f t="shared" si="0"/>
        <v>4.9716292893812485E-2</v>
      </c>
      <c r="H80" s="315">
        <f t="shared" si="1"/>
        <v>0</v>
      </c>
      <c r="I80" s="314">
        <f t="shared" si="2"/>
        <v>1.283426942744572E-2</v>
      </c>
      <c r="J80" s="308">
        <f t="shared" si="3"/>
        <v>1157852.8151853122</v>
      </c>
      <c r="K80" s="310">
        <f t="shared" si="4"/>
        <v>1157852.8151853122</v>
      </c>
      <c r="L80" s="315">
        <f t="shared" si="5"/>
        <v>90215716.736417964</v>
      </c>
      <c r="M80" s="314">
        <f t="shared" si="6"/>
        <v>0.12848798557163543</v>
      </c>
      <c r="N80" s="314">
        <f t="shared" si="10"/>
        <v>-9.5809394812546023E-4</v>
      </c>
      <c r="O80" s="313">
        <f t="shared" si="7"/>
        <v>11505200.578132657</v>
      </c>
      <c r="P80" s="399">
        <v>0</v>
      </c>
      <c r="Q80" s="313">
        <f t="shared" si="8"/>
        <v>12663053.39331797</v>
      </c>
      <c r="R80" s="400">
        <f>'ATXI 2012 Attach MM true up'!L24</f>
        <v>-413430.04998570861</v>
      </c>
      <c r="S80" s="312">
        <f t="shared" si="9"/>
        <v>12249623.343332261</v>
      </c>
      <c r="T80" s="248"/>
      <c r="U80" s="248"/>
      <c r="V80" s="248"/>
      <c r="W80" s="248"/>
      <c r="X80" s="248"/>
      <c r="Y80" s="248"/>
      <c r="Z80" s="248"/>
    </row>
    <row r="81" spans="1:26" s="391" customFormat="1">
      <c r="A81" s="389" t="s">
        <v>719</v>
      </c>
      <c r="B81" s="390"/>
      <c r="C81" s="391" t="s">
        <v>728</v>
      </c>
      <c r="D81" s="392">
        <v>3017</v>
      </c>
      <c r="E81" s="399">
        <f>MVPs!B9*1000</f>
        <v>7709953.8400000008</v>
      </c>
      <c r="F81" s="399"/>
      <c r="G81" s="394">
        <f t="shared" si="0"/>
        <v>4.9716292893812485E-2</v>
      </c>
      <c r="H81" s="393">
        <f t="shared" si="1"/>
        <v>0</v>
      </c>
      <c r="I81" s="394">
        <f t="shared" si="2"/>
        <v>1.283426942744572E-2</v>
      </c>
      <c r="J81" s="391">
        <f t="shared" si="3"/>
        <v>98951.624855729737</v>
      </c>
      <c r="K81" s="395">
        <f t="shared" si="4"/>
        <v>98951.624855729737</v>
      </c>
      <c r="L81" s="393">
        <f t="shared" si="5"/>
        <v>7709953.8400000008</v>
      </c>
      <c r="M81" s="394">
        <f t="shared" si="6"/>
        <v>0.12848798557163543</v>
      </c>
      <c r="N81" s="394">
        <v>0</v>
      </c>
      <c r="O81" s="396">
        <f t="shared" si="7"/>
        <v>990636.43775189528</v>
      </c>
      <c r="P81" s="399">
        <v>0</v>
      </c>
      <c r="Q81" s="396">
        <f t="shared" si="8"/>
        <v>1089588.062607625</v>
      </c>
      <c r="R81" s="400">
        <v>0</v>
      </c>
      <c r="S81" s="397">
        <f t="shared" si="9"/>
        <v>1089588.062607625</v>
      </c>
      <c r="T81" s="398"/>
      <c r="U81" s="398"/>
      <c r="V81" s="398"/>
      <c r="W81" s="398"/>
      <c r="X81" s="398"/>
      <c r="Y81" s="398"/>
      <c r="Z81" s="398"/>
    </row>
    <row r="82" spans="1:26" s="308" customFormat="1">
      <c r="A82" s="309" t="s">
        <v>720</v>
      </c>
      <c r="B82" s="307"/>
      <c r="C82" s="308" t="s">
        <v>560</v>
      </c>
      <c r="D82" s="311">
        <v>3022</v>
      </c>
      <c r="E82" s="399">
        <f>MVPs!B20*1000</f>
        <v>4265598.609223078</v>
      </c>
      <c r="F82" s="273"/>
      <c r="G82" s="314">
        <f t="shared" si="0"/>
        <v>4.9716292893812485E-2</v>
      </c>
      <c r="H82" s="315">
        <f t="shared" ref="H82:H83" si="18">F82*G82</f>
        <v>0</v>
      </c>
      <c r="I82" s="314">
        <f t="shared" si="2"/>
        <v>1.283426942744572E-2</v>
      </c>
      <c r="J82" s="308">
        <f t="shared" ref="J82:J83" si="19">E82*I82</f>
        <v>54745.841820106732</v>
      </c>
      <c r="K82" s="310">
        <f t="shared" ref="K82:K83" si="20">H82+J82</f>
        <v>54745.841820106732</v>
      </c>
      <c r="L82" s="315">
        <f t="shared" ref="L82:L83" si="21">E82-F82</f>
        <v>4265598.609223078</v>
      </c>
      <c r="M82" s="314">
        <f t="shared" si="6"/>
        <v>0.12848798557163543</v>
      </c>
      <c r="N82" s="314">
        <f t="shared" si="10"/>
        <v>-9.5809394812546023E-4</v>
      </c>
      <c r="O82" s="313">
        <f t="shared" ref="O82:O83" si="22">L82*(M82+N82)</f>
        <v>543991.328343614</v>
      </c>
      <c r="P82" s="399">
        <v>0</v>
      </c>
      <c r="Q82" s="313">
        <f t="shared" ref="Q82:Q83" si="23">K82+O82+P82</f>
        <v>598737.17016372073</v>
      </c>
      <c r="R82" s="400">
        <f>'ATXI 2012 Attach MM true up'!L28</f>
        <v>23.345956935223537</v>
      </c>
      <c r="S82" s="312">
        <f t="shared" ref="S82:S83" si="24">Q82+R82</f>
        <v>598760.51612065593</v>
      </c>
      <c r="T82" s="248"/>
      <c r="U82" s="248"/>
      <c r="V82" s="248"/>
      <c r="W82" s="248"/>
      <c r="X82" s="248"/>
      <c r="Y82" s="248"/>
      <c r="Z82" s="248"/>
    </row>
    <row r="83" spans="1:26" s="391" customFormat="1">
      <c r="A83" s="389" t="s">
        <v>721</v>
      </c>
      <c r="C83" s="391" t="s">
        <v>732</v>
      </c>
      <c r="D83" s="392">
        <v>3022</v>
      </c>
      <c r="E83" s="399">
        <f>MVPs!B10*1000</f>
        <v>3224179.6472999998</v>
      </c>
      <c r="F83" s="273"/>
      <c r="G83" s="394">
        <f t="shared" si="0"/>
        <v>4.9716292893812485E-2</v>
      </c>
      <c r="H83" s="393">
        <f t="shared" si="18"/>
        <v>0</v>
      </c>
      <c r="I83" s="394">
        <f t="shared" si="2"/>
        <v>1.283426942744572E-2</v>
      </c>
      <c r="J83" s="391">
        <f t="shared" si="19"/>
        <v>41379.99027593511</v>
      </c>
      <c r="K83" s="395">
        <f t="shared" si="20"/>
        <v>41379.99027593511</v>
      </c>
      <c r="L83" s="393">
        <f t="shared" si="21"/>
        <v>3224179.6472999998</v>
      </c>
      <c r="M83" s="394">
        <f t="shared" si="6"/>
        <v>0.12848798557163543</v>
      </c>
      <c r="N83" s="394">
        <v>0</v>
      </c>
      <c r="O83" s="396">
        <f t="shared" si="22"/>
        <v>414268.34800264298</v>
      </c>
      <c r="P83" s="399">
        <v>0</v>
      </c>
      <c r="Q83" s="396">
        <f t="shared" si="23"/>
        <v>455648.33827857807</v>
      </c>
      <c r="R83" s="400">
        <v>0</v>
      </c>
      <c r="S83" s="397">
        <f t="shared" si="24"/>
        <v>455648.33827857807</v>
      </c>
      <c r="T83" s="398"/>
      <c r="U83" s="398"/>
      <c r="V83" s="398"/>
      <c r="W83" s="398"/>
      <c r="X83" s="398"/>
      <c r="Y83" s="398"/>
      <c r="Z83" s="398"/>
    </row>
    <row r="84" spans="1:26">
      <c r="A84" s="278" t="s">
        <v>722</v>
      </c>
      <c r="B84" s="276"/>
      <c r="C84" s="277" t="s">
        <v>554</v>
      </c>
      <c r="D84" s="279">
        <v>3169</v>
      </c>
      <c r="E84" s="399">
        <f>MVPs!B21*1000</f>
        <v>7377699.2852526829</v>
      </c>
      <c r="F84" s="273"/>
      <c r="G84" s="314">
        <f t="shared" si="0"/>
        <v>4.9716292893812485E-2</v>
      </c>
      <c r="H84" s="315">
        <f t="shared" si="1"/>
        <v>0</v>
      </c>
      <c r="I84" s="314">
        <f t="shared" si="2"/>
        <v>1.283426942744572E-2</v>
      </c>
      <c r="J84" s="308">
        <f t="shared" si="3"/>
        <v>94687.38038160665</v>
      </c>
      <c r="K84" s="310">
        <f t="shared" si="4"/>
        <v>94687.38038160665</v>
      </c>
      <c r="L84" s="315">
        <f t="shared" si="5"/>
        <v>7377699.2852526829</v>
      </c>
      <c r="M84" s="314">
        <f t="shared" si="6"/>
        <v>0.12848798557163543</v>
      </c>
      <c r="N84" s="314">
        <f t="shared" si="10"/>
        <v>-9.5809394812546023E-4</v>
      </c>
      <c r="O84" s="313">
        <f t="shared" si="7"/>
        <v>940877.19027912163</v>
      </c>
      <c r="P84" s="399">
        <v>0</v>
      </c>
      <c r="Q84" s="313">
        <f t="shared" si="8"/>
        <v>1035564.5706607283</v>
      </c>
      <c r="R84" s="400">
        <f>'ATXI 2012 Attach MM true up'!L25</f>
        <v>108883.93377524678</v>
      </c>
      <c r="S84" s="312">
        <f t="shared" si="9"/>
        <v>1144448.5044359751</v>
      </c>
      <c r="T84" s="248"/>
      <c r="U84" s="248"/>
      <c r="V84" s="248"/>
      <c r="W84" s="248"/>
      <c r="X84" s="248"/>
      <c r="Y84" s="248"/>
      <c r="Z84" s="248"/>
    </row>
    <row r="85" spans="1:26" s="391" customFormat="1">
      <c r="A85" s="389" t="s">
        <v>723</v>
      </c>
      <c r="B85" s="390"/>
      <c r="C85" s="391" t="s">
        <v>729</v>
      </c>
      <c r="D85" s="392">
        <v>3169</v>
      </c>
      <c r="E85" s="399">
        <f>MVPs!B11*1000</f>
        <v>2812781.07</v>
      </c>
      <c r="F85" s="273"/>
      <c r="G85" s="394">
        <f t="shared" si="0"/>
        <v>4.9716292893812485E-2</v>
      </c>
      <c r="H85" s="393">
        <f t="shared" si="1"/>
        <v>0</v>
      </c>
      <c r="I85" s="394">
        <f t="shared" si="2"/>
        <v>1.283426942744572E-2</v>
      </c>
      <c r="J85" s="391">
        <f t="shared" si="3"/>
        <v>36099.99009279906</v>
      </c>
      <c r="K85" s="395">
        <f t="shared" si="4"/>
        <v>36099.99009279906</v>
      </c>
      <c r="L85" s="393">
        <f t="shared" si="5"/>
        <v>2812781.07</v>
      </c>
      <c r="M85" s="394">
        <f t="shared" si="6"/>
        <v>0.12848798557163543</v>
      </c>
      <c r="N85" s="394">
        <v>0</v>
      </c>
      <c r="O85" s="396">
        <f t="shared" si="7"/>
        <v>361408.57353832928</v>
      </c>
      <c r="P85" s="399">
        <v>0</v>
      </c>
      <c r="Q85" s="396">
        <f t="shared" si="8"/>
        <v>397508.56363112835</v>
      </c>
      <c r="R85" s="400">
        <v>0</v>
      </c>
      <c r="S85" s="397">
        <f t="shared" si="9"/>
        <v>397508.56363112835</v>
      </c>
      <c r="T85" s="398"/>
      <c r="U85" s="398"/>
      <c r="V85" s="398"/>
      <c r="W85" s="398"/>
      <c r="X85" s="398"/>
      <c r="Y85" s="398"/>
      <c r="Z85" s="398"/>
    </row>
    <row r="86" spans="1:26">
      <c r="A86" s="309" t="s">
        <v>724</v>
      </c>
      <c r="B86" s="307"/>
      <c r="C86" s="308" t="s">
        <v>556</v>
      </c>
      <c r="D86" s="311">
        <v>3170</v>
      </c>
      <c r="E86" s="399">
        <f>MVPs!B22*1000</f>
        <v>13341659.136264728</v>
      </c>
      <c r="F86" s="273"/>
      <c r="G86" s="314">
        <f t="shared" si="0"/>
        <v>4.9716292893812485E-2</v>
      </c>
      <c r="H86" s="315">
        <f t="shared" si="1"/>
        <v>0</v>
      </c>
      <c r="I86" s="314">
        <f t="shared" si="2"/>
        <v>1.283426942744572E-2</v>
      </c>
      <c r="J86" s="308">
        <f t="shared" si="3"/>
        <v>171230.44796396428</v>
      </c>
      <c r="K86" s="310">
        <f t="shared" si="4"/>
        <v>171230.44796396428</v>
      </c>
      <c r="L86" s="315">
        <f t="shared" si="5"/>
        <v>13341659.136264728</v>
      </c>
      <c r="M86" s="314">
        <f t="shared" si="6"/>
        <v>0.12848798557163543</v>
      </c>
      <c r="N86" s="314">
        <f t="shared" si="10"/>
        <v>-9.5809394812546023E-4</v>
      </c>
      <c r="O86" s="313">
        <f t="shared" si="7"/>
        <v>1701460.3437256524</v>
      </c>
      <c r="P86" s="399">
        <v>0</v>
      </c>
      <c r="Q86" s="313">
        <f t="shared" si="8"/>
        <v>1872690.7916896166</v>
      </c>
      <c r="R86" s="400">
        <f>'ATXI 2012 Attach MM true up'!L26</f>
        <v>28623.468651446736</v>
      </c>
      <c r="S86" s="312">
        <f t="shared" si="9"/>
        <v>1901314.2603410634</v>
      </c>
      <c r="T86" s="248"/>
      <c r="U86" s="248"/>
      <c r="V86" s="248"/>
      <c r="W86" s="248"/>
      <c r="X86" s="248"/>
      <c r="Y86" s="248"/>
      <c r="Z86" s="248"/>
    </row>
    <row r="87" spans="1:26" s="391" customFormat="1">
      <c r="A87" s="389" t="s">
        <v>725</v>
      </c>
      <c r="B87" s="390"/>
      <c r="C87" s="391" t="s">
        <v>730</v>
      </c>
      <c r="D87" s="392">
        <v>3170</v>
      </c>
      <c r="E87" s="399">
        <f>MVPs!B12*1000</f>
        <v>769371.04999999981</v>
      </c>
      <c r="F87" s="273"/>
      <c r="G87" s="394">
        <f t="shared" si="0"/>
        <v>4.9716292893812485E-2</v>
      </c>
      <c r="H87" s="393">
        <f t="shared" si="1"/>
        <v>0</v>
      </c>
      <c r="I87" s="394">
        <f t="shared" si="2"/>
        <v>1.283426942744572E-2</v>
      </c>
      <c r="J87" s="391">
        <f t="shared" si="3"/>
        <v>9874.31534537681</v>
      </c>
      <c r="K87" s="395">
        <f t="shared" si="4"/>
        <v>9874.31534537681</v>
      </c>
      <c r="L87" s="393">
        <f t="shared" si="5"/>
        <v>769371.04999999981</v>
      </c>
      <c r="M87" s="394">
        <f t="shared" si="6"/>
        <v>0.12848798557163543</v>
      </c>
      <c r="N87" s="394">
        <v>0</v>
      </c>
      <c r="O87" s="396">
        <f t="shared" si="7"/>
        <v>98854.936371633972</v>
      </c>
      <c r="P87" s="399">
        <v>0</v>
      </c>
      <c r="Q87" s="396">
        <f t="shared" si="8"/>
        <v>108729.25171701077</v>
      </c>
      <c r="R87" s="400">
        <v>0</v>
      </c>
      <c r="S87" s="397">
        <f t="shared" si="9"/>
        <v>108729.25171701077</v>
      </c>
      <c r="T87" s="398"/>
      <c r="U87" s="398"/>
      <c r="V87" s="398"/>
      <c r="W87" s="398"/>
      <c r="X87" s="398"/>
      <c r="Y87" s="398"/>
      <c r="Z87" s="398"/>
    </row>
    <row r="88" spans="1:26">
      <c r="A88" s="243"/>
      <c r="C88" s="248"/>
      <c r="D88" s="249"/>
      <c r="E88" s="248"/>
      <c r="F88" s="248"/>
      <c r="G88" s="248"/>
      <c r="H88" s="248"/>
      <c r="I88" s="248"/>
      <c r="J88" s="248"/>
      <c r="K88" s="250"/>
      <c r="L88" s="248"/>
      <c r="M88" s="248"/>
      <c r="N88" s="248"/>
      <c r="O88" s="250"/>
      <c r="P88" s="248"/>
      <c r="Q88" s="250"/>
      <c r="R88" s="248"/>
      <c r="S88" s="250"/>
      <c r="T88" s="248"/>
      <c r="U88" s="248"/>
      <c r="V88" s="248"/>
      <c r="W88" s="248"/>
      <c r="X88" s="248"/>
      <c r="Y88" s="248"/>
      <c r="Z88" s="248"/>
    </row>
    <row r="89" spans="1:26">
      <c r="A89" s="243"/>
      <c r="C89" s="248"/>
      <c r="D89" s="249"/>
      <c r="E89" s="248"/>
      <c r="F89" s="248"/>
      <c r="G89" s="248"/>
      <c r="H89" s="248"/>
      <c r="I89" s="248"/>
      <c r="J89" s="248"/>
      <c r="K89" s="250"/>
      <c r="L89" s="248"/>
      <c r="M89" s="248"/>
      <c r="N89" s="248"/>
      <c r="O89" s="250"/>
      <c r="P89" s="248"/>
      <c r="Q89" s="250"/>
      <c r="R89" s="248"/>
      <c r="S89" s="250"/>
      <c r="T89" s="248"/>
      <c r="U89" s="248"/>
      <c r="V89" s="248"/>
      <c r="W89" s="248"/>
      <c r="X89" s="248"/>
      <c r="Y89" s="248"/>
      <c r="Z89" s="248"/>
    </row>
    <row r="90" spans="1:26">
      <c r="A90" s="243"/>
      <c r="C90" s="248"/>
      <c r="D90" s="249"/>
      <c r="E90" s="248"/>
      <c r="F90" s="248"/>
      <c r="G90" s="248"/>
      <c r="H90" s="248"/>
      <c r="I90" s="248"/>
      <c r="J90" s="248"/>
      <c r="K90" s="250"/>
      <c r="L90" s="248"/>
      <c r="M90" s="248"/>
      <c r="N90" s="248"/>
      <c r="O90" s="250"/>
      <c r="P90" s="248"/>
      <c r="Q90" s="250"/>
      <c r="R90" s="248"/>
      <c r="S90" s="250"/>
      <c r="T90" s="248"/>
      <c r="U90" s="248"/>
      <c r="V90" s="248"/>
      <c r="W90" s="248"/>
      <c r="X90" s="248"/>
      <c r="Y90" s="248"/>
      <c r="Z90" s="248"/>
    </row>
    <row r="91" spans="1:26">
      <c r="A91" s="243"/>
      <c r="C91" s="248"/>
      <c r="D91" s="249"/>
      <c r="E91" s="248"/>
      <c r="F91" s="248"/>
      <c r="G91" s="248"/>
      <c r="H91" s="248"/>
      <c r="I91" s="248"/>
      <c r="J91" s="248"/>
      <c r="K91" s="250"/>
      <c r="L91" s="248"/>
      <c r="M91" s="248"/>
      <c r="N91" s="248"/>
      <c r="O91" s="250"/>
      <c r="P91" s="248"/>
      <c r="Q91" s="250"/>
      <c r="R91" s="248"/>
      <c r="S91" s="250"/>
      <c r="T91" s="248"/>
      <c r="U91" s="248"/>
      <c r="V91" s="248"/>
      <c r="W91" s="248"/>
      <c r="X91" s="248"/>
      <c r="Y91" s="248"/>
      <c r="Z91" s="248"/>
    </row>
    <row r="92" spans="1:26">
      <c r="A92" s="243"/>
      <c r="C92" s="248"/>
      <c r="D92" s="249"/>
      <c r="E92" s="248"/>
      <c r="F92" s="248"/>
      <c r="G92" s="248"/>
      <c r="H92" s="248"/>
      <c r="I92" s="248"/>
      <c r="J92" s="248"/>
      <c r="K92" s="250"/>
      <c r="L92" s="248"/>
      <c r="M92" s="248"/>
      <c r="N92" s="248"/>
      <c r="O92" s="250"/>
      <c r="P92" s="248"/>
      <c r="Q92" s="250"/>
      <c r="R92" s="248"/>
      <c r="S92" s="250"/>
      <c r="T92" s="248"/>
      <c r="U92" s="248"/>
      <c r="V92" s="248"/>
      <c r="W92" s="248"/>
      <c r="X92" s="248"/>
      <c r="Y92" s="248"/>
      <c r="Z92" s="248"/>
    </row>
    <row r="93" spans="1:26">
      <c r="A93" s="243"/>
      <c r="C93" s="248"/>
      <c r="D93" s="249"/>
      <c r="E93" s="248"/>
      <c r="F93" s="248"/>
      <c r="G93" s="248"/>
      <c r="H93" s="248"/>
      <c r="I93" s="248"/>
      <c r="J93" s="248"/>
      <c r="K93" s="250"/>
      <c r="L93" s="248"/>
      <c r="M93" s="248"/>
      <c r="N93" s="248"/>
      <c r="O93" s="250"/>
      <c r="P93" s="248"/>
      <c r="Q93" s="250"/>
      <c r="R93" s="248"/>
      <c r="S93" s="250"/>
      <c r="T93" s="248"/>
      <c r="U93" s="248"/>
      <c r="V93" s="248"/>
      <c r="W93" s="248"/>
      <c r="X93" s="248"/>
      <c r="Y93" s="248"/>
      <c r="Z93" s="248"/>
    </row>
    <row r="94" spans="1:26">
      <c r="A94" s="243"/>
      <c r="C94" s="248"/>
      <c r="D94" s="249"/>
      <c r="E94" s="248"/>
      <c r="F94" s="248"/>
      <c r="G94" s="248"/>
      <c r="H94" s="248"/>
      <c r="I94" s="248"/>
      <c r="J94" s="248"/>
      <c r="K94" s="250"/>
      <c r="L94" s="248"/>
      <c r="M94" s="248"/>
      <c r="N94" s="248"/>
      <c r="O94" s="250"/>
      <c r="P94" s="248"/>
      <c r="Q94" s="250"/>
      <c r="R94" s="248"/>
      <c r="S94" s="250"/>
      <c r="T94" s="248"/>
      <c r="U94" s="248"/>
      <c r="V94" s="248"/>
      <c r="W94" s="248"/>
      <c r="X94" s="248"/>
      <c r="Y94" s="248"/>
      <c r="Z94" s="248"/>
    </row>
    <row r="95" spans="1:26">
      <c r="A95" s="243"/>
      <c r="C95" s="248"/>
      <c r="D95" s="249"/>
      <c r="E95" s="248"/>
      <c r="F95" s="248"/>
      <c r="G95" s="248"/>
      <c r="H95" s="248"/>
      <c r="I95" s="248"/>
      <c r="J95" s="248"/>
      <c r="K95" s="250"/>
      <c r="L95" s="248"/>
      <c r="M95" s="248"/>
      <c r="N95" s="248"/>
      <c r="O95" s="250"/>
      <c r="P95" s="248"/>
      <c r="Q95" s="250"/>
      <c r="R95" s="248"/>
      <c r="S95" s="250"/>
      <c r="T95" s="248"/>
      <c r="U95" s="248"/>
      <c r="V95" s="248"/>
      <c r="W95" s="248"/>
      <c r="X95" s="248"/>
      <c r="Y95" s="248"/>
      <c r="Z95" s="248"/>
    </row>
    <row r="96" spans="1:26">
      <c r="A96" s="243"/>
      <c r="C96" s="248"/>
      <c r="D96" s="249"/>
      <c r="E96" s="248"/>
      <c r="F96" s="248"/>
      <c r="G96" s="248"/>
      <c r="H96" s="248"/>
      <c r="I96" s="248"/>
      <c r="J96" s="248"/>
      <c r="K96" s="250"/>
      <c r="L96" s="248"/>
      <c r="M96" s="248"/>
      <c r="N96" s="248"/>
      <c r="O96" s="250"/>
      <c r="P96" s="248"/>
      <c r="Q96" s="250"/>
      <c r="R96" s="248"/>
      <c r="S96" s="250"/>
      <c r="T96" s="248"/>
      <c r="U96" s="248"/>
      <c r="V96" s="248"/>
      <c r="W96" s="248"/>
      <c r="X96" s="248"/>
      <c r="Y96" s="248"/>
      <c r="Z96" s="248"/>
    </row>
    <row r="97" spans="1:26">
      <c r="A97" s="243"/>
      <c r="C97" s="248"/>
      <c r="D97" s="249"/>
      <c r="E97" s="248"/>
      <c r="F97" s="248"/>
      <c r="G97" s="248"/>
      <c r="H97" s="248"/>
      <c r="I97" s="248"/>
      <c r="J97" s="248"/>
      <c r="K97" s="250"/>
      <c r="L97" s="248"/>
      <c r="M97" s="248"/>
      <c r="N97" s="248"/>
      <c r="O97" s="250"/>
      <c r="P97" s="248"/>
      <c r="Q97" s="250"/>
      <c r="R97" s="248"/>
      <c r="S97" s="250"/>
      <c r="T97" s="248"/>
      <c r="U97" s="248"/>
      <c r="V97" s="248"/>
      <c r="W97" s="248"/>
      <c r="X97" s="248"/>
      <c r="Y97" s="248"/>
      <c r="Z97" s="248"/>
    </row>
    <row r="98" spans="1:26">
      <c r="A98" s="243"/>
      <c r="C98" s="248"/>
      <c r="D98" s="249"/>
      <c r="E98" s="248"/>
      <c r="F98" s="248"/>
      <c r="G98" s="248"/>
      <c r="H98" s="248"/>
      <c r="I98" s="248"/>
      <c r="J98" s="248"/>
      <c r="K98" s="250"/>
      <c r="L98" s="248"/>
      <c r="M98" s="248"/>
      <c r="N98" s="248"/>
      <c r="O98" s="250"/>
      <c r="P98" s="248"/>
      <c r="Q98" s="250"/>
      <c r="R98" s="248"/>
      <c r="S98" s="250"/>
      <c r="T98" s="248"/>
      <c r="U98" s="248"/>
      <c r="V98" s="248"/>
      <c r="W98" s="248"/>
      <c r="X98" s="248"/>
      <c r="Y98" s="248"/>
      <c r="Z98" s="248"/>
    </row>
    <row r="99" spans="1:26">
      <c r="A99" s="251"/>
      <c r="B99" s="252"/>
      <c r="C99" s="253"/>
      <c r="D99" s="253"/>
      <c r="E99" s="253"/>
      <c r="F99" s="253"/>
      <c r="G99" s="253"/>
      <c r="H99" s="253"/>
      <c r="I99" s="253"/>
      <c r="J99" s="253"/>
      <c r="K99" s="254"/>
      <c r="L99" s="253"/>
      <c r="M99" s="253"/>
      <c r="N99" s="253"/>
      <c r="O99" s="254"/>
      <c r="P99" s="253"/>
      <c r="Q99" s="254"/>
      <c r="R99" s="253"/>
      <c r="S99" s="254"/>
      <c r="T99" s="248"/>
      <c r="U99" s="248"/>
      <c r="V99" s="248"/>
      <c r="W99" s="248"/>
      <c r="X99" s="248"/>
      <c r="Y99" s="248"/>
      <c r="Z99" s="248"/>
    </row>
    <row r="100" spans="1:26">
      <c r="A100" s="178" t="s">
        <v>534</v>
      </c>
      <c r="B100" s="211"/>
      <c r="C100" s="181" t="s">
        <v>535</v>
      </c>
      <c r="D100" s="181"/>
      <c r="E100" s="181"/>
      <c r="F100" s="181"/>
      <c r="G100" s="181"/>
      <c r="H100" s="203"/>
      <c r="I100" s="203"/>
      <c r="J100" s="171"/>
      <c r="K100" s="171"/>
      <c r="L100" s="171"/>
      <c r="M100" s="171"/>
      <c r="N100" s="171"/>
      <c r="O100" s="171"/>
      <c r="P100" s="171"/>
      <c r="Q100" s="255">
        <f>SUM(Q74:Q99)</f>
        <v>25755418.511833668</v>
      </c>
      <c r="R100" s="255">
        <f>SUM(R74:R99)</f>
        <v>-314064.63263343583</v>
      </c>
      <c r="S100" s="255">
        <f>SUM(S74:S99)</f>
        <v>25441353.879200231</v>
      </c>
      <c r="T100" s="248"/>
      <c r="U100" s="248"/>
      <c r="V100" s="248"/>
      <c r="W100" s="248"/>
      <c r="X100" s="248"/>
      <c r="Y100" s="248"/>
      <c r="Z100" s="248"/>
    </row>
    <row r="101" spans="1:26">
      <c r="A101" s="256"/>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row>
    <row r="102" spans="1:26">
      <c r="A102" s="257">
        <v>3</v>
      </c>
      <c r="B102" s="248"/>
      <c r="C102" s="218" t="s">
        <v>536</v>
      </c>
      <c r="D102" s="218"/>
      <c r="E102" s="218"/>
      <c r="F102" s="218"/>
      <c r="G102" s="248"/>
      <c r="H102" s="248"/>
      <c r="I102" s="248"/>
      <c r="J102" s="248"/>
      <c r="K102" s="248"/>
      <c r="L102" s="248"/>
      <c r="M102" s="248"/>
      <c r="N102" s="248"/>
      <c r="O102" s="248"/>
      <c r="P102" s="248"/>
      <c r="Q102" s="255">
        <f>Q100</f>
        <v>25755418.511833668</v>
      </c>
      <c r="R102" s="248"/>
      <c r="S102" s="248"/>
      <c r="T102" s="248"/>
      <c r="U102" s="248"/>
      <c r="V102" s="248"/>
      <c r="W102" s="248"/>
      <c r="X102" s="248"/>
      <c r="Y102" s="248"/>
      <c r="Z102" s="248"/>
    </row>
    <row r="103" spans="1:26">
      <c r="A103" s="248"/>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row>
    <row r="104" spans="1:26">
      <c r="A104" s="248"/>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row>
    <row r="105" spans="1:26">
      <c r="A105" s="218" t="s">
        <v>113</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row>
    <row r="106" spans="1:26" ht="15.75" thickBot="1">
      <c r="A106" s="258" t="s">
        <v>114</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row>
    <row r="107" spans="1:26" ht="16.5" customHeight="1">
      <c r="A107" s="259" t="s">
        <v>115</v>
      </c>
      <c r="B107" s="260"/>
      <c r="C107" s="458" t="s">
        <v>537</v>
      </c>
      <c r="D107" s="458"/>
      <c r="E107" s="458"/>
      <c r="F107" s="458"/>
      <c r="G107" s="458"/>
      <c r="H107" s="458"/>
      <c r="I107" s="458"/>
      <c r="J107" s="458"/>
      <c r="K107" s="458"/>
      <c r="L107" s="458"/>
      <c r="M107" s="458"/>
      <c r="N107" s="458"/>
      <c r="O107" s="458"/>
      <c r="P107" s="458"/>
      <c r="Q107" s="458"/>
      <c r="R107" s="458"/>
      <c r="S107" s="458"/>
      <c r="T107" s="248"/>
      <c r="U107" s="248"/>
      <c r="V107" s="248"/>
      <c r="W107" s="248"/>
      <c r="X107" s="248"/>
      <c r="Y107" s="248"/>
      <c r="Z107" s="248"/>
    </row>
    <row r="108" spans="1:26" ht="17.100000000000001" customHeight="1">
      <c r="A108" s="259" t="s">
        <v>116</v>
      </c>
      <c r="B108" s="260"/>
      <c r="C108" s="458" t="s">
        <v>538</v>
      </c>
      <c r="D108" s="458"/>
      <c r="E108" s="458"/>
      <c r="F108" s="458"/>
      <c r="G108" s="458"/>
      <c r="H108" s="458"/>
      <c r="I108" s="458"/>
      <c r="J108" s="458"/>
      <c r="K108" s="458"/>
      <c r="L108" s="458"/>
      <c r="M108" s="458"/>
      <c r="N108" s="458"/>
      <c r="O108" s="458"/>
      <c r="P108" s="458"/>
      <c r="Q108" s="458"/>
      <c r="R108" s="458"/>
      <c r="S108" s="458"/>
      <c r="T108" s="248"/>
      <c r="U108" s="248"/>
      <c r="V108" s="248"/>
      <c r="W108" s="248"/>
      <c r="X108" s="248"/>
      <c r="Y108" s="248"/>
      <c r="Z108" s="248"/>
    </row>
    <row r="109" spans="1:26" ht="16.5" customHeight="1">
      <c r="A109" s="259" t="s">
        <v>117</v>
      </c>
      <c r="B109" s="260"/>
      <c r="C109" s="458" t="s">
        <v>539</v>
      </c>
      <c r="D109" s="458"/>
      <c r="E109" s="458"/>
      <c r="F109" s="458"/>
      <c r="G109" s="458"/>
      <c r="H109" s="458"/>
      <c r="I109" s="458"/>
      <c r="J109" s="458"/>
      <c r="K109" s="458"/>
      <c r="L109" s="458"/>
      <c r="M109" s="458"/>
      <c r="N109" s="458"/>
      <c r="O109" s="458"/>
      <c r="P109" s="458"/>
      <c r="Q109" s="458"/>
      <c r="R109" s="458"/>
      <c r="S109" s="458"/>
      <c r="T109" s="248"/>
      <c r="U109" s="248"/>
      <c r="V109" s="248"/>
      <c r="W109" s="248"/>
      <c r="X109" s="248"/>
      <c r="Y109" s="248"/>
      <c r="Z109" s="248"/>
    </row>
    <row r="110" spans="1:26" ht="16.5" customHeight="1">
      <c r="A110" s="259"/>
      <c r="B110" s="260"/>
      <c r="C110" s="459" t="s">
        <v>540</v>
      </c>
      <c r="D110" s="459"/>
      <c r="E110" s="459"/>
      <c r="F110" s="459"/>
      <c r="G110" s="459"/>
      <c r="H110" s="459"/>
      <c r="I110" s="459"/>
      <c r="J110" s="459"/>
      <c r="K110" s="459"/>
      <c r="L110" s="459"/>
      <c r="M110" s="459"/>
      <c r="N110" s="459"/>
      <c r="O110" s="459"/>
      <c r="P110" s="459"/>
      <c r="Q110" s="459"/>
      <c r="R110" s="459"/>
      <c r="S110" s="459"/>
      <c r="T110" s="248"/>
      <c r="U110" s="248"/>
      <c r="V110" s="248"/>
      <c r="W110" s="248"/>
      <c r="X110" s="248"/>
      <c r="Y110" s="248"/>
      <c r="Z110" s="248"/>
    </row>
    <row r="111" spans="1:26" ht="17.100000000000001" customHeight="1">
      <c r="A111" s="259" t="s">
        <v>118</v>
      </c>
      <c r="B111" s="260"/>
      <c r="C111" s="458" t="s">
        <v>541</v>
      </c>
      <c r="D111" s="458"/>
      <c r="E111" s="458"/>
      <c r="F111" s="458"/>
      <c r="G111" s="458"/>
      <c r="H111" s="458"/>
      <c r="I111" s="458"/>
      <c r="J111" s="458"/>
      <c r="K111" s="458"/>
      <c r="L111" s="458"/>
      <c r="M111" s="458"/>
      <c r="N111" s="458"/>
      <c r="O111" s="458"/>
      <c r="P111" s="458"/>
      <c r="Q111" s="458"/>
      <c r="R111" s="458"/>
      <c r="S111" s="458"/>
      <c r="T111" s="248"/>
      <c r="U111" s="248"/>
      <c r="V111" s="248"/>
      <c r="W111" s="248"/>
      <c r="X111" s="248"/>
      <c r="Y111" s="248"/>
      <c r="Z111" s="248"/>
    </row>
    <row r="112" spans="1:26" ht="17.100000000000001" customHeight="1">
      <c r="A112" s="261" t="s">
        <v>119</v>
      </c>
      <c r="B112" s="260"/>
      <c r="C112" s="458" t="s">
        <v>542</v>
      </c>
      <c r="D112" s="458"/>
      <c r="E112" s="458"/>
      <c r="F112" s="458"/>
      <c r="G112" s="458"/>
      <c r="H112" s="458"/>
      <c r="I112" s="458"/>
      <c r="J112" s="458"/>
      <c r="K112" s="458"/>
      <c r="L112" s="458"/>
      <c r="M112" s="458"/>
      <c r="N112" s="458"/>
      <c r="O112" s="458"/>
      <c r="P112" s="458"/>
      <c r="Q112" s="458"/>
      <c r="R112" s="458"/>
      <c r="S112" s="458"/>
      <c r="T112" s="248"/>
      <c r="U112" s="248"/>
      <c r="V112" s="248"/>
      <c r="W112" s="248"/>
      <c r="X112" s="248"/>
      <c r="Y112" s="248"/>
      <c r="Z112" s="248"/>
    </row>
    <row r="113" spans="1:26" ht="17.100000000000001" customHeight="1">
      <c r="A113" s="261" t="s">
        <v>120</v>
      </c>
      <c r="B113" s="260"/>
      <c r="C113" s="458" t="s">
        <v>543</v>
      </c>
      <c r="D113" s="458"/>
      <c r="E113" s="458"/>
      <c r="F113" s="458"/>
      <c r="G113" s="458"/>
      <c r="H113" s="458"/>
      <c r="I113" s="458"/>
      <c r="J113" s="458"/>
      <c r="K113" s="458"/>
      <c r="L113" s="458"/>
      <c r="M113" s="458"/>
      <c r="N113" s="458"/>
      <c r="O113" s="458"/>
      <c r="P113" s="458"/>
      <c r="Q113" s="458"/>
      <c r="R113" s="458"/>
      <c r="S113" s="458"/>
      <c r="T113" s="248"/>
      <c r="U113" s="248"/>
      <c r="V113" s="248"/>
      <c r="W113" s="248"/>
      <c r="X113" s="248"/>
      <c r="Y113" s="248"/>
      <c r="Z113" s="248"/>
    </row>
    <row r="114" spans="1:26" ht="17.100000000000001" customHeight="1">
      <c r="A114" s="261" t="s">
        <v>121</v>
      </c>
      <c r="B114" s="260"/>
      <c r="C114" s="458" t="s">
        <v>544</v>
      </c>
      <c r="D114" s="458"/>
      <c r="E114" s="458"/>
      <c r="F114" s="458"/>
      <c r="G114" s="458"/>
      <c r="H114" s="458"/>
      <c r="I114" s="458"/>
      <c r="J114" s="458"/>
      <c r="K114" s="458"/>
      <c r="L114" s="458"/>
      <c r="M114" s="458"/>
      <c r="N114" s="458"/>
      <c r="O114" s="458"/>
      <c r="P114" s="458"/>
      <c r="Q114" s="458"/>
      <c r="R114" s="458"/>
      <c r="S114" s="458"/>
      <c r="T114" s="248"/>
      <c r="U114" s="248"/>
      <c r="V114" s="248"/>
      <c r="W114" s="248"/>
      <c r="X114" s="248"/>
      <c r="Y114" s="248"/>
      <c r="Z114" s="248"/>
    </row>
    <row r="115" spans="1:26" ht="17.100000000000001" customHeight="1">
      <c r="A115" s="262" t="s">
        <v>123</v>
      </c>
      <c r="B115" s="170"/>
      <c r="C115" s="458" t="s">
        <v>545</v>
      </c>
      <c r="D115" s="458"/>
      <c r="E115" s="458"/>
      <c r="F115" s="458"/>
      <c r="G115" s="458"/>
      <c r="H115" s="458"/>
      <c r="I115" s="458"/>
      <c r="J115" s="458"/>
      <c r="K115" s="458"/>
      <c r="L115" s="458"/>
      <c r="M115" s="458"/>
      <c r="N115" s="458"/>
      <c r="O115" s="458"/>
      <c r="P115" s="458"/>
      <c r="Q115" s="458"/>
      <c r="R115" s="458"/>
      <c r="S115" s="458"/>
      <c r="T115" s="248"/>
      <c r="U115" s="248"/>
      <c r="V115" s="248"/>
      <c r="W115" s="248"/>
      <c r="X115" s="248"/>
      <c r="Y115" s="248"/>
      <c r="Z115" s="248"/>
    </row>
    <row r="116" spans="1:26" ht="17.100000000000001" customHeight="1">
      <c r="A116" s="262" t="s">
        <v>124</v>
      </c>
      <c r="B116" s="248"/>
      <c r="C116" s="263" t="s">
        <v>546</v>
      </c>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row>
    <row r="117" spans="1:26" ht="17.100000000000001" customHeight="1">
      <c r="A117" s="262" t="s">
        <v>125</v>
      </c>
      <c r="B117" s="264"/>
      <c r="C117" s="263" t="s">
        <v>547</v>
      </c>
      <c r="D117" s="265"/>
      <c r="E117" s="265"/>
      <c r="F117" s="265"/>
      <c r="G117" s="202"/>
      <c r="H117" s="203"/>
      <c r="I117" s="203"/>
      <c r="J117" s="171"/>
      <c r="K117" s="171"/>
      <c r="L117" s="218"/>
      <c r="M117" s="218"/>
      <c r="N117" s="218"/>
      <c r="O117" s="198"/>
      <c r="P117" s="218"/>
      <c r="Q117" s="170"/>
      <c r="R117" s="171"/>
      <c r="S117" s="266"/>
      <c r="T117" s="248"/>
      <c r="U117" s="248"/>
      <c r="V117" s="248"/>
      <c r="W117" s="248"/>
      <c r="X117" s="248"/>
      <c r="Y117" s="248"/>
      <c r="Z117" s="248"/>
    </row>
    <row r="118" spans="1:26" ht="15.75">
      <c r="A118" s="267"/>
      <c r="B118" s="264"/>
      <c r="C118" s="265"/>
      <c r="D118" s="265"/>
      <c r="E118" s="265"/>
      <c r="F118" s="265"/>
      <c r="G118" s="202"/>
      <c r="H118" s="203"/>
      <c r="I118" s="203"/>
      <c r="J118" s="171"/>
      <c r="K118" s="171"/>
      <c r="L118" s="218"/>
      <c r="M118" s="218"/>
      <c r="N118" s="218"/>
      <c r="O118" s="198"/>
      <c r="P118" s="218"/>
      <c r="R118" s="171"/>
      <c r="S118" s="196"/>
      <c r="T118" s="248"/>
      <c r="U118" s="248"/>
      <c r="V118" s="248"/>
      <c r="W118" s="248"/>
      <c r="X118" s="248"/>
      <c r="Y118" s="248"/>
      <c r="Z118" s="248"/>
    </row>
    <row r="119" spans="1:26">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row>
    <row r="120" spans="1:26">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row>
    <row r="121" spans="1:26">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row>
    <row r="122" spans="1:26">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row>
    <row r="123" spans="1:26">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row>
    <row r="124" spans="1:26">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row>
    <row r="125" spans="1:26">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row>
    <row r="126" spans="1:26">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row>
    <row r="127" spans="1:26">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row>
    <row r="128" spans="1:26">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row>
    <row r="129" spans="3:26">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row>
    <row r="130" spans="3:26">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row>
    <row r="131" spans="3:26">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row>
    <row r="132" spans="3:26">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row>
    <row r="133" spans="3:26">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row>
    <row r="134" spans="3:26">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row>
    <row r="135" spans="3:26">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row>
    <row r="136" spans="3:26">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row>
    <row r="137" spans="3:26">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row>
    <row r="138" spans="3:26">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row>
    <row r="139" spans="3:26">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row>
    <row r="140" spans="3:26">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row>
    <row r="141" spans="3:26">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row>
    <row r="142" spans="3:26">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row>
    <row r="143" spans="3:26">
      <c r="C143" s="248"/>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row>
    <row r="144" spans="3:26">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row>
    <row r="145" spans="3:26">
      <c r="C145" s="248"/>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row>
    <row r="146" spans="3:26">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row>
    <row r="147" spans="3:26">
      <c r="C147" s="248"/>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row>
    <row r="148" spans="3:26">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row>
    <row r="149" spans="3:26">
      <c r="C149" s="248"/>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row>
    <row r="150" spans="3:26">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row>
    <row r="151" spans="3:26">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row>
    <row r="152" spans="3:26">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row>
    <row r="153" spans="3:26">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row>
    <row r="154" spans="3:26">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row>
    <row r="155" spans="3:26">
      <c r="C155" s="248"/>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row>
    <row r="156" spans="3:26">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row>
    <row r="157" spans="3:26">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row>
    <row r="158" spans="3:26">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row>
    <row r="159" spans="3:26">
      <c r="C159" s="248"/>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row>
    <row r="160" spans="3:26">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row>
    <row r="161" spans="3:26">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row>
    <row r="162" spans="3:26">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row>
    <row r="163" spans="3:26">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row>
    <row r="164" spans="3:26">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row>
    <row r="165" spans="3:26">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row>
    <row r="166" spans="3:26">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row>
    <row r="167" spans="3:26">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row>
    <row r="168" spans="3:26">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row>
    <row r="169" spans="3:26">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row>
    <row r="170" spans="3:26">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row>
    <row r="171" spans="3:26">
      <c r="C171" s="248"/>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row>
    <row r="172" spans="3:26">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row>
    <row r="173" spans="3:26">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row>
    <row r="174" spans="3:26">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row>
    <row r="175" spans="3:26">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row>
    <row r="176" spans="3:26">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row>
    <row r="177" spans="3:26">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row>
    <row r="178" spans="3:26">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row>
    <row r="179" spans="3:26">
      <c r="C179" s="248"/>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row>
    <row r="180" spans="3:26">
      <c r="C180" s="248"/>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row>
    <row r="181" spans="3:26">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row>
    <row r="182" spans="3:26">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row>
    <row r="183" spans="3:26">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row>
    <row r="184" spans="3:26">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row>
    <row r="185" spans="3:26">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row>
    <row r="186" spans="3:26">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row>
    <row r="187" spans="3:26">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row>
    <row r="188" spans="3:26">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row>
    <row r="189" spans="3:26">
      <c r="C189" s="248"/>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row>
    <row r="190" spans="3:26">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row>
    <row r="191" spans="3:26">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row>
    <row r="192" spans="3:26">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row>
    <row r="193" spans="3:26">
      <c r="C193" s="248"/>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row>
    <row r="194" spans="3:26">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row>
    <row r="195" spans="3:26">
      <c r="C195" s="248"/>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row>
    <row r="196" spans="3:26">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row>
    <row r="197" spans="3:26">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row>
    <row r="198" spans="3:26">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row>
    <row r="199" spans="3:26">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row>
    <row r="200" spans="3:26">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row>
    <row r="201" spans="3:26">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row>
    <row r="202" spans="3:26">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row>
    <row r="203" spans="3:26">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row>
    <row r="204" spans="3:26">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row>
    <row r="205" spans="3:26">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row>
    <row r="206" spans="3:26">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row>
    <row r="207" spans="3:26">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row>
    <row r="208" spans="3:26">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row>
    <row r="209" spans="3:26">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row>
    <row r="210" spans="3:26">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row>
    <row r="211" spans="3:26">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row>
    <row r="212" spans="3:26">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row>
    <row r="213" spans="3:26">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row>
    <row r="214" spans="3:26">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row>
    <row r="215" spans="3:26">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row>
    <row r="216" spans="3:26">
      <c r="C216" s="248"/>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row>
    <row r="217" spans="3:26">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row>
    <row r="218" spans="3:26">
      <c r="C218" s="248"/>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row>
    <row r="219" spans="3:26">
      <c r="C219" s="248"/>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row>
    <row r="220" spans="3:26">
      <c r="C220" s="248"/>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row>
    <row r="221" spans="3:26">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row>
    <row r="222" spans="3:26">
      <c r="C222" s="248"/>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row>
    <row r="223" spans="3:26">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row>
    <row r="224" spans="3:26">
      <c r="C224" s="248"/>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row>
    <row r="225" spans="3:26">
      <c r="C225" s="248"/>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row>
    <row r="226" spans="3:26">
      <c r="C226" s="248"/>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row>
    <row r="227" spans="3:26">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row>
    <row r="228" spans="3:26">
      <c r="C228" s="248"/>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row>
    <row r="229" spans="3:26">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row>
    <row r="230" spans="3:26">
      <c r="C230" s="248"/>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row>
    <row r="231" spans="3:26">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c r="Y231" s="248"/>
      <c r="Z231" s="248"/>
    </row>
    <row r="232" spans="3:26">
      <c r="C232" s="248"/>
      <c r="D232" s="248"/>
      <c r="E232" s="248"/>
      <c r="F232" s="248"/>
      <c r="G232" s="248"/>
      <c r="H232" s="248"/>
      <c r="I232" s="248"/>
      <c r="J232" s="248"/>
      <c r="K232" s="248"/>
      <c r="L232" s="248"/>
      <c r="M232" s="248"/>
      <c r="N232" s="248"/>
      <c r="O232" s="248"/>
      <c r="P232" s="248"/>
      <c r="Q232" s="248"/>
      <c r="R232" s="248"/>
      <c r="S232" s="248"/>
      <c r="T232" s="248"/>
      <c r="U232" s="248"/>
      <c r="V232" s="248"/>
      <c r="W232" s="248"/>
      <c r="X232" s="248"/>
      <c r="Y232" s="248"/>
      <c r="Z232" s="248"/>
    </row>
    <row r="233" spans="3:26">
      <c r="C233" s="248"/>
      <c r="D233" s="248"/>
      <c r="E233" s="248"/>
      <c r="F233" s="248"/>
      <c r="G233" s="248"/>
      <c r="H233" s="248"/>
      <c r="I233" s="248"/>
      <c r="J233" s="248"/>
      <c r="K233" s="248"/>
      <c r="L233" s="248"/>
      <c r="M233" s="248"/>
      <c r="N233" s="248"/>
      <c r="O233" s="248"/>
      <c r="P233" s="248"/>
      <c r="Q233" s="248"/>
      <c r="R233" s="248"/>
      <c r="S233" s="248"/>
      <c r="T233" s="248"/>
      <c r="U233" s="248"/>
      <c r="V233" s="248"/>
      <c r="W233" s="248"/>
      <c r="X233" s="248"/>
      <c r="Y233" s="248"/>
      <c r="Z233" s="248"/>
    </row>
    <row r="234" spans="3:26">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row>
    <row r="235" spans="3:26">
      <c r="C235" s="248"/>
      <c r="D235" s="248"/>
      <c r="E235" s="248"/>
      <c r="F235" s="248"/>
      <c r="G235" s="248"/>
      <c r="H235" s="248"/>
      <c r="I235" s="248"/>
      <c r="J235" s="248"/>
      <c r="K235" s="248"/>
      <c r="L235" s="248"/>
      <c r="M235" s="248"/>
      <c r="N235" s="248"/>
      <c r="O235" s="248"/>
      <c r="P235" s="248"/>
      <c r="Q235" s="248"/>
      <c r="R235" s="248"/>
      <c r="S235" s="248"/>
      <c r="T235" s="248"/>
      <c r="U235" s="248"/>
      <c r="V235" s="248"/>
      <c r="W235" s="248"/>
      <c r="X235" s="248"/>
      <c r="Y235" s="248"/>
      <c r="Z235" s="248"/>
    </row>
    <row r="236" spans="3:26">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row>
    <row r="237" spans="3:26">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row>
    <row r="238" spans="3:26">
      <c r="C238" s="248"/>
      <c r="D238" s="248"/>
      <c r="E238" s="248"/>
      <c r="F238" s="248"/>
      <c r="G238" s="248"/>
      <c r="H238" s="248"/>
      <c r="I238" s="248"/>
      <c r="J238" s="248"/>
      <c r="K238" s="248"/>
      <c r="L238" s="248"/>
      <c r="M238" s="248"/>
      <c r="N238" s="248"/>
      <c r="O238" s="248"/>
      <c r="P238" s="248"/>
      <c r="Q238" s="248"/>
      <c r="R238" s="248"/>
      <c r="S238" s="248"/>
      <c r="T238" s="248"/>
      <c r="U238" s="248"/>
      <c r="V238" s="248"/>
      <c r="W238" s="248"/>
      <c r="X238" s="248"/>
      <c r="Y238" s="248"/>
      <c r="Z238" s="248"/>
    </row>
    <row r="239" spans="3:26">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row>
    <row r="240" spans="3:26">
      <c r="C240" s="248"/>
      <c r="D240" s="248"/>
      <c r="E240" s="248"/>
      <c r="F240" s="248"/>
      <c r="G240" s="248"/>
      <c r="H240" s="248"/>
      <c r="I240" s="248"/>
      <c r="J240" s="248"/>
      <c r="K240" s="248"/>
      <c r="L240" s="248"/>
      <c r="M240" s="248"/>
      <c r="N240" s="248"/>
      <c r="O240" s="248"/>
      <c r="P240" s="248"/>
      <c r="Q240" s="248"/>
      <c r="R240" s="248"/>
      <c r="S240" s="248"/>
      <c r="T240" s="248"/>
      <c r="U240" s="248"/>
      <c r="V240" s="248"/>
      <c r="W240" s="248"/>
      <c r="X240" s="248"/>
      <c r="Y240" s="248"/>
      <c r="Z240" s="248"/>
    </row>
    <row r="241" spans="3:26">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row>
    <row r="242" spans="3:26">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row>
    <row r="243" spans="3:26">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row>
    <row r="244" spans="3:26">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row>
    <row r="245" spans="3:26">
      <c r="C245" s="248"/>
      <c r="D245" s="248"/>
      <c r="E245" s="248"/>
      <c r="F245" s="248"/>
      <c r="G245" s="248"/>
      <c r="H245" s="248"/>
      <c r="I245" s="248"/>
      <c r="J245" s="248"/>
      <c r="K245" s="248"/>
      <c r="L245" s="248"/>
      <c r="M245" s="248"/>
      <c r="N245" s="248"/>
      <c r="O245" s="248"/>
      <c r="P245" s="248"/>
      <c r="Q245" s="248"/>
      <c r="R245" s="248"/>
      <c r="S245" s="248"/>
      <c r="T245" s="248"/>
      <c r="U245" s="248"/>
      <c r="V245" s="248"/>
      <c r="W245" s="248"/>
      <c r="X245" s="248"/>
      <c r="Y245" s="248"/>
      <c r="Z245" s="248"/>
    </row>
    <row r="246" spans="3:26">
      <c r="C246" s="248"/>
      <c r="D246" s="248"/>
      <c r="E246" s="248"/>
      <c r="F246" s="248"/>
      <c r="G246" s="248"/>
      <c r="H246" s="248"/>
      <c r="I246" s="248"/>
      <c r="J246" s="248"/>
      <c r="K246" s="248"/>
      <c r="L246" s="248"/>
      <c r="M246" s="248"/>
      <c r="N246" s="248"/>
      <c r="O246" s="248"/>
      <c r="P246" s="248"/>
      <c r="Q246" s="248"/>
      <c r="R246" s="248"/>
      <c r="S246" s="248"/>
      <c r="T246" s="248"/>
      <c r="U246" s="248"/>
      <c r="V246" s="248"/>
      <c r="W246" s="248"/>
      <c r="X246" s="248"/>
      <c r="Y246" s="248"/>
      <c r="Z246" s="248"/>
    </row>
    <row r="247" spans="3:26">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row>
    <row r="248" spans="3:26">
      <c r="C248" s="248"/>
      <c r="D248" s="248"/>
      <c r="E248" s="248"/>
      <c r="F248" s="248"/>
      <c r="G248" s="248"/>
      <c r="H248" s="248"/>
      <c r="I248" s="248"/>
      <c r="J248" s="248"/>
      <c r="K248" s="248"/>
      <c r="L248" s="248"/>
      <c r="M248" s="248"/>
      <c r="N248" s="248"/>
      <c r="O248" s="248"/>
      <c r="P248" s="248"/>
      <c r="Q248" s="248"/>
      <c r="R248" s="248"/>
      <c r="S248" s="248"/>
      <c r="T248" s="248"/>
      <c r="U248" s="248"/>
      <c r="V248" s="248"/>
      <c r="W248" s="248"/>
      <c r="X248" s="248"/>
      <c r="Y248" s="248"/>
      <c r="Z248" s="248"/>
    </row>
    <row r="249" spans="3:26">
      <c r="C249" s="248"/>
      <c r="D249" s="248"/>
      <c r="E249" s="248"/>
      <c r="F249" s="248"/>
      <c r="G249" s="248"/>
      <c r="H249" s="248"/>
      <c r="I249" s="248"/>
      <c r="J249" s="248"/>
      <c r="K249" s="248"/>
      <c r="L249" s="248"/>
      <c r="M249" s="248"/>
      <c r="N249" s="248"/>
      <c r="O249" s="248"/>
      <c r="P249" s="248"/>
      <c r="Q249" s="248"/>
      <c r="R249" s="248"/>
      <c r="S249" s="248"/>
      <c r="T249" s="248"/>
      <c r="U249" s="248"/>
      <c r="V249" s="248"/>
      <c r="W249" s="248"/>
      <c r="X249" s="248"/>
      <c r="Y249" s="248"/>
      <c r="Z249" s="248"/>
    </row>
    <row r="250" spans="3:26">
      <c r="C250" s="248"/>
      <c r="D250" s="248"/>
      <c r="E250" s="248"/>
      <c r="F250" s="248"/>
      <c r="G250" s="248"/>
      <c r="H250" s="248"/>
      <c r="I250" s="248"/>
      <c r="J250" s="248"/>
      <c r="K250" s="248"/>
      <c r="L250" s="248"/>
      <c r="M250" s="248"/>
      <c r="N250" s="248"/>
      <c r="O250" s="248"/>
      <c r="P250" s="248"/>
      <c r="Q250" s="248"/>
      <c r="R250" s="248"/>
      <c r="S250" s="248"/>
      <c r="T250" s="248"/>
      <c r="U250" s="248"/>
      <c r="V250" s="248"/>
      <c r="W250" s="248"/>
      <c r="X250" s="248"/>
      <c r="Y250" s="248"/>
      <c r="Z250" s="248"/>
    </row>
    <row r="251" spans="3:26">
      <c r="C251" s="248"/>
      <c r="D251" s="248"/>
      <c r="E251" s="248"/>
      <c r="F251" s="248"/>
      <c r="G251" s="248"/>
      <c r="H251" s="248"/>
      <c r="I251" s="248"/>
      <c r="J251" s="248"/>
      <c r="K251" s="248"/>
      <c r="L251" s="248"/>
      <c r="M251" s="248"/>
      <c r="N251" s="248"/>
      <c r="O251" s="248"/>
      <c r="P251" s="248"/>
      <c r="Q251" s="248"/>
      <c r="R251" s="248"/>
      <c r="S251" s="248"/>
      <c r="T251" s="248"/>
      <c r="U251" s="248"/>
      <c r="V251" s="248"/>
      <c r="W251" s="248"/>
      <c r="X251" s="248"/>
      <c r="Y251" s="248"/>
      <c r="Z251" s="248"/>
    </row>
    <row r="252" spans="3:26">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8"/>
      <c r="Z252" s="248"/>
    </row>
    <row r="253" spans="3:26">
      <c r="C253" s="248"/>
      <c r="D253" s="248"/>
      <c r="E253" s="248"/>
      <c r="F253" s="248"/>
      <c r="G253" s="248"/>
      <c r="H253" s="248"/>
      <c r="I253" s="248"/>
      <c r="J253" s="248"/>
      <c r="K253" s="248"/>
      <c r="L253" s="248"/>
      <c r="M253" s="248"/>
      <c r="N253" s="248"/>
      <c r="O253" s="248"/>
      <c r="P253" s="248"/>
      <c r="Q253" s="248"/>
      <c r="R253" s="248"/>
      <c r="S253" s="248"/>
      <c r="T253" s="248"/>
      <c r="U253" s="248"/>
      <c r="V253" s="248"/>
      <c r="W253" s="248"/>
      <c r="X253" s="248"/>
      <c r="Y253" s="248"/>
      <c r="Z253" s="248"/>
    </row>
    <row r="254" spans="3:26">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c r="Y254" s="248"/>
      <c r="Z254" s="248"/>
    </row>
    <row r="255" spans="3:26">
      <c r="C255" s="248"/>
      <c r="D255" s="248"/>
      <c r="E255" s="248"/>
      <c r="F255" s="248"/>
      <c r="G255" s="248"/>
      <c r="H255" s="248"/>
      <c r="I255" s="248"/>
      <c r="J255" s="248"/>
      <c r="K255" s="248"/>
      <c r="L255" s="248"/>
      <c r="M255" s="248"/>
      <c r="N255" s="248"/>
      <c r="O255" s="248"/>
      <c r="P255" s="248"/>
      <c r="Q255" s="248"/>
      <c r="R255" s="248"/>
      <c r="S255" s="248"/>
      <c r="T255" s="248"/>
      <c r="U255" s="248"/>
      <c r="V255" s="248"/>
      <c r="W255" s="248"/>
      <c r="X255" s="248"/>
      <c r="Y255" s="248"/>
      <c r="Z255" s="248"/>
    </row>
    <row r="256" spans="3:26">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row>
    <row r="257" spans="3:26">
      <c r="C257" s="248"/>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row>
    <row r="258" spans="3:26">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row>
    <row r="259" spans="3:26">
      <c r="C259" s="248"/>
      <c r="D259" s="248"/>
      <c r="E259" s="248"/>
      <c r="F259" s="248"/>
      <c r="G259" s="248"/>
      <c r="H259" s="248"/>
      <c r="I259" s="248"/>
      <c r="J259" s="248"/>
      <c r="K259" s="248"/>
      <c r="L259" s="248"/>
      <c r="M259" s="248"/>
      <c r="N259" s="248"/>
      <c r="O259" s="248"/>
      <c r="P259" s="248"/>
      <c r="Q259" s="248"/>
      <c r="R259" s="248"/>
      <c r="S259" s="248"/>
      <c r="T259" s="248"/>
      <c r="U259" s="248"/>
      <c r="V259" s="248"/>
      <c r="W259" s="248"/>
      <c r="X259" s="248"/>
      <c r="Y259" s="248"/>
      <c r="Z259" s="248"/>
    </row>
    <row r="260" spans="3:26">
      <c r="C260" s="248"/>
      <c r="D260" s="248"/>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row>
    <row r="261" spans="3:26">
      <c r="C261" s="248"/>
      <c r="D261" s="248"/>
      <c r="E261" s="248"/>
      <c r="F261" s="248"/>
      <c r="G261" s="248"/>
      <c r="H261" s="248"/>
      <c r="I261" s="248"/>
      <c r="J261" s="248"/>
      <c r="K261" s="248"/>
      <c r="L261" s="248"/>
      <c r="M261" s="248"/>
      <c r="N261" s="248"/>
      <c r="O261" s="248"/>
      <c r="P261" s="248"/>
      <c r="Q261" s="248"/>
      <c r="R261" s="248"/>
      <c r="S261" s="248"/>
      <c r="T261" s="248"/>
      <c r="U261" s="248"/>
      <c r="V261" s="248"/>
      <c r="W261" s="248"/>
      <c r="X261" s="248"/>
      <c r="Y261" s="248"/>
      <c r="Z261" s="248"/>
    </row>
    <row r="262" spans="3:26">
      <c r="C262" s="248"/>
      <c r="D262" s="248"/>
      <c r="E262" s="248"/>
      <c r="F262" s="248"/>
      <c r="G262" s="248"/>
      <c r="H262" s="248"/>
      <c r="I262" s="248"/>
      <c r="J262" s="248"/>
      <c r="K262" s="248"/>
      <c r="L262" s="248"/>
      <c r="M262" s="248"/>
      <c r="N262" s="248"/>
      <c r="O262" s="248"/>
      <c r="P262" s="248"/>
      <c r="Q262" s="248"/>
      <c r="R262" s="248"/>
      <c r="S262" s="248"/>
      <c r="T262" s="248"/>
      <c r="U262" s="248"/>
      <c r="V262" s="248"/>
      <c r="W262" s="248"/>
      <c r="X262" s="248"/>
      <c r="Y262" s="248"/>
      <c r="Z262" s="248"/>
    </row>
    <row r="263" spans="3:26">
      <c r="C263" s="248"/>
      <c r="D263" s="248"/>
      <c r="E263" s="248"/>
      <c r="F263" s="248"/>
      <c r="G263" s="248"/>
      <c r="H263" s="248"/>
      <c r="I263" s="248"/>
      <c r="J263" s="248"/>
      <c r="K263" s="248"/>
      <c r="L263" s="248"/>
      <c r="M263" s="248"/>
      <c r="N263" s="248"/>
      <c r="O263" s="248"/>
      <c r="P263" s="248"/>
      <c r="Q263" s="248"/>
      <c r="R263" s="248"/>
      <c r="S263" s="248"/>
      <c r="T263" s="248"/>
      <c r="U263" s="248"/>
      <c r="V263" s="248"/>
      <c r="W263" s="248"/>
      <c r="X263" s="248"/>
      <c r="Y263" s="248"/>
      <c r="Z263" s="248"/>
    </row>
    <row r="264" spans="3:26">
      <c r="C264" s="248"/>
      <c r="D264" s="248"/>
      <c r="E264" s="248"/>
      <c r="F264" s="248"/>
      <c r="G264" s="248"/>
      <c r="H264" s="248"/>
      <c r="I264" s="248"/>
      <c r="J264" s="248"/>
      <c r="K264" s="248"/>
      <c r="L264" s="248"/>
      <c r="M264" s="248"/>
      <c r="N264" s="248"/>
      <c r="O264" s="248"/>
      <c r="P264" s="248"/>
      <c r="Q264" s="248"/>
      <c r="R264" s="248"/>
      <c r="S264" s="248"/>
      <c r="T264" s="248"/>
      <c r="U264" s="248"/>
      <c r="V264" s="248"/>
      <c r="W264" s="248"/>
      <c r="X264" s="248"/>
      <c r="Y264" s="248"/>
      <c r="Z264" s="248"/>
    </row>
    <row r="265" spans="3:26">
      <c r="C265" s="248"/>
      <c r="D265" s="248"/>
      <c r="E265" s="248"/>
      <c r="F265" s="248"/>
      <c r="G265" s="248"/>
      <c r="H265" s="248"/>
      <c r="I265" s="248"/>
      <c r="J265" s="248"/>
      <c r="K265" s="248"/>
      <c r="L265" s="248"/>
      <c r="M265" s="248"/>
      <c r="N265" s="248"/>
      <c r="O265" s="248"/>
      <c r="P265" s="248"/>
      <c r="Q265" s="248"/>
      <c r="R265" s="248"/>
      <c r="S265" s="248"/>
      <c r="T265" s="248"/>
      <c r="U265" s="248"/>
      <c r="V265" s="248"/>
      <c r="W265" s="248"/>
      <c r="X265" s="248"/>
      <c r="Y265" s="248"/>
      <c r="Z265" s="248"/>
    </row>
    <row r="266" spans="3:26">
      <c r="C266" s="248"/>
      <c r="D266" s="248"/>
      <c r="E266" s="248"/>
      <c r="F266" s="248"/>
      <c r="G266" s="248"/>
      <c r="H266" s="248"/>
      <c r="I266" s="248"/>
      <c r="J266" s="248"/>
      <c r="K266" s="248"/>
      <c r="L266" s="248"/>
      <c r="M266" s="248"/>
      <c r="N266" s="248"/>
      <c r="O266" s="248"/>
      <c r="P266" s="248"/>
      <c r="Q266" s="248"/>
      <c r="R266" s="248"/>
      <c r="S266" s="248"/>
      <c r="T266" s="248"/>
      <c r="U266" s="248"/>
      <c r="V266" s="248"/>
      <c r="W266" s="248"/>
      <c r="X266" s="248"/>
      <c r="Y266" s="248"/>
      <c r="Z266" s="248"/>
    </row>
    <row r="267" spans="3:26">
      <c r="C267" s="248"/>
      <c r="D267" s="248"/>
      <c r="E267" s="248"/>
      <c r="F267" s="248"/>
      <c r="G267" s="248"/>
      <c r="H267" s="248"/>
      <c r="I267" s="248"/>
      <c r="J267" s="248"/>
      <c r="K267" s="248"/>
      <c r="L267" s="248"/>
      <c r="M267" s="248"/>
      <c r="N267" s="248"/>
      <c r="O267" s="248"/>
      <c r="P267" s="248"/>
      <c r="Q267" s="248"/>
      <c r="R267" s="248"/>
      <c r="S267" s="248"/>
      <c r="T267" s="248"/>
      <c r="U267" s="248"/>
      <c r="V267" s="248"/>
      <c r="W267" s="248"/>
      <c r="X267" s="248"/>
      <c r="Y267" s="248"/>
      <c r="Z267" s="248"/>
    </row>
    <row r="268" spans="3:26">
      <c r="C268" s="248"/>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row>
    <row r="269" spans="3:26">
      <c r="C269" s="248"/>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row>
    <row r="270" spans="3:26">
      <c r="C270" s="248"/>
      <c r="D270" s="248"/>
      <c r="E270" s="248"/>
      <c r="F270" s="248"/>
      <c r="G270" s="248"/>
      <c r="H270" s="248"/>
      <c r="I270" s="248"/>
      <c r="J270" s="248"/>
      <c r="K270" s="248"/>
      <c r="L270" s="248"/>
      <c r="M270" s="248"/>
      <c r="N270" s="248"/>
      <c r="O270" s="248"/>
      <c r="P270" s="248"/>
      <c r="Q270" s="248"/>
      <c r="R270" s="248"/>
      <c r="S270" s="248"/>
      <c r="T270" s="248"/>
      <c r="U270" s="248"/>
      <c r="V270" s="248"/>
      <c r="W270" s="248"/>
      <c r="X270" s="248"/>
      <c r="Y270" s="248"/>
      <c r="Z270" s="248"/>
    </row>
    <row r="271" spans="3:26">
      <c r="C271" s="248"/>
      <c r="D271" s="248"/>
      <c r="E271" s="248"/>
      <c r="F271" s="248"/>
      <c r="G271" s="248"/>
      <c r="H271" s="248"/>
      <c r="I271" s="248"/>
      <c r="J271" s="248"/>
      <c r="K271" s="248"/>
      <c r="L271" s="248"/>
      <c r="M271" s="248"/>
      <c r="N271" s="248"/>
      <c r="O271" s="248"/>
      <c r="P271" s="248"/>
      <c r="Q271" s="248"/>
      <c r="R271" s="248"/>
      <c r="S271" s="248"/>
      <c r="T271" s="248"/>
      <c r="U271" s="248"/>
      <c r="V271" s="248"/>
      <c r="W271" s="248"/>
      <c r="X271" s="248"/>
      <c r="Y271" s="248"/>
      <c r="Z271" s="248"/>
    </row>
    <row r="272" spans="3:26">
      <c r="C272" s="248"/>
      <c r="D272" s="248"/>
      <c r="E272" s="248"/>
      <c r="F272" s="248"/>
      <c r="G272" s="248"/>
      <c r="H272" s="248"/>
      <c r="I272" s="248"/>
      <c r="J272" s="248"/>
      <c r="K272" s="248"/>
      <c r="L272" s="248"/>
      <c r="M272" s="248"/>
      <c r="N272" s="248"/>
      <c r="O272" s="248"/>
      <c r="P272" s="248"/>
      <c r="Q272" s="248"/>
      <c r="R272" s="248"/>
      <c r="S272" s="248"/>
      <c r="T272" s="248"/>
      <c r="U272" s="248"/>
      <c r="V272" s="248"/>
      <c r="W272" s="248"/>
      <c r="X272" s="248"/>
      <c r="Y272" s="248"/>
      <c r="Z272" s="248"/>
    </row>
    <row r="273" spans="3:26">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row>
    <row r="274" spans="3:26">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row>
    <row r="275" spans="3:26">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row>
    <row r="276" spans="3:26">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row>
    <row r="277" spans="3:26">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row>
    <row r="278" spans="3:26">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row>
    <row r="279" spans="3:26">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row>
    <row r="280" spans="3:26">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row>
    <row r="281" spans="3:26">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row>
    <row r="282" spans="3:26">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row>
    <row r="283" spans="3:26">
      <c r="C283" s="248"/>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row>
    <row r="284" spans="3:26">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row>
    <row r="285" spans="3:26">
      <c r="C285" s="248"/>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row>
    <row r="286" spans="3:26">
      <c r="C286" s="248"/>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row>
    <row r="287" spans="3:26">
      <c r="C287" s="248"/>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row>
    <row r="288" spans="3:26">
      <c r="C288" s="248"/>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row>
    <row r="289" spans="3:26">
      <c r="C289" s="248"/>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row>
    <row r="290" spans="3:26">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row>
    <row r="291" spans="3:26">
      <c r="C291" s="248"/>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row>
    <row r="292" spans="3:26">
      <c r="C292" s="248"/>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row>
    <row r="293" spans="3:26">
      <c r="C293" s="248"/>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row>
    <row r="294" spans="3:26">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row>
    <row r="295" spans="3:26">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row>
    <row r="296" spans="3:26">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row>
    <row r="297" spans="3:26">
      <c r="C297" s="248"/>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row>
    <row r="298" spans="3:26">
      <c r="C298" s="248"/>
      <c r="D298" s="248"/>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8"/>
    </row>
    <row r="299" spans="3:26">
      <c r="C299" s="248"/>
      <c r="D299" s="248"/>
      <c r="E299" s="248"/>
      <c r="F299" s="248"/>
      <c r="G299" s="248"/>
      <c r="H299" s="248"/>
      <c r="I299" s="248"/>
      <c r="J299" s="248"/>
      <c r="K299" s="248"/>
      <c r="L299" s="248"/>
      <c r="M299" s="248"/>
      <c r="N299" s="248"/>
      <c r="O299" s="248"/>
      <c r="P299" s="248"/>
      <c r="Q299" s="248"/>
      <c r="R299" s="248"/>
      <c r="S299" s="248"/>
      <c r="T299" s="248"/>
      <c r="U299" s="248"/>
      <c r="V299" s="248"/>
      <c r="W299" s="248"/>
      <c r="X299" s="248"/>
      <c r="Y299" s="248"/>
      <c r="Z299" s="248"/>
    </row>
    <row r="300" spans="3:26">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row>
    <row r="301" spans="3:26">
      <c r="C301" s="248"/>
      <c r="D301" s="248"/>
      <c r="E301" s="248"/>
      <c r="F301" s="248"/>
      <c r="G301" s="248"/>
      <c r="H301" s="248"/>
      <c r="I301" s="248"/>
      <c r="J301" s="248"/>
      <c r="K301" s="248"/>
      <c r="L301" s="248"/>
      <c r="M301" s="248"/>
      <c r="N301" s="248"/>
      <c r="O301" s="248"/>
      <c r="P301" s="248"/>
      <c r="Q301" s="248"/>
      <c r="R301" s="248"/>
      <c r="S301" s="248"/>
      <c r="T301" s="248"/>
      <c r="U301" s="248"/>
      <c r="V301" s="248"/>
      <c r="W301" s="248"/>
      <c r="X301" s="248"/>
      <c r="Y301" s="248"/>
      <c r="Z301" s="248"/>
    </row>
    <row r="302" spans="3:26">
      <c r="C302" s="248"/>
      <c r="D302" s="248"/>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row>
    <row r="303" spans="3:26">
      <c r="C303" s="248"/>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row>
    <row r="304" spans="3:26">
      <c r="C304" s="248"/>
      <c r="D304" s="248"/>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row>
    <row r="305" spans="3:26">
      <c r="C305" s="248"/>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row>
    <row r="306" spans="3:26">
      <c r="C306" s="248"/>
      <c r="D306" s="248"/>
      <c r="E306" s="248"/>
      <c r="F306" s="248"/>
      <c r="G306" s="248"/>
      <c r="H306" s="248"/>
      <c r="I306" s="248"/>
      <c r="J306" s="248"/>
      <c r="K306" s="248"/>
      <c r="L306" s="248"/>
      <c r="M306" s="248"/>
      <c r="N306" s="248"/>
      <c r="O306" s="248"/>
      <c r="P306" s="248"/>
      <c r="Q306" s="248"/>
      <c r="R306" s="248"/>
      <c r="S306" s="248"/>
      <c r="T306" s="248"/>
      <c r="U306" s="248"/>
      <c r="V306" s="248"/>
      <c r="W306" s="248"/>
      <c r="X306" s="248"/>
      <c r="Y306" s="248"/>
      <c r="Z306" s="248"/>
    </row>
    <row r="307" spans="3:26">
      <c r="C307" s="248"/>
      <c r="D307" s="248"/>
      <c r="E307" s="248"/>
      <c r="F307" s="248"/>
      <c r="G307" s="248"/>
      <c r="H307" s="248"/>
      <c r="I307" s="248"/>
      <c r="J307" s="248"/>
      <c r="K307" s="248"/>
      <c r="L307" s="248"/>
      <c r="M307" s="248"/>
      <c r="N307" s="248"/>
      <c r="O307" s="248"/>
      <c r="P307" s="248"/>
      <c r="Q307" s="248"/>
      <c r="R307" s="248"/>
      <c r="S307" s="248"/>
    </row>
    <row r="308" spans="3:26">
      <c r="C308" s="248"/>
      <c r="D308" s="248"/>
      <c r="E308" s="248"/>
      <c r="F308" s="248"/>
      <c r="G308" s="248"/>
      <c r="H308" s="248"/>
      <c r="I308" s="248"/>
      <c r="J308" s="248"/>
      <c r="K308" s="248"/>
      <c r="L308" s="248"/>
      <c r="M308" s="248"/>
      <c r="N308" s="248"/>
      <c r="O308" s="248"/>
      <c r="P308" s="248"/>
      <c r="Q308" s="248"/>
      <c r="R308" s="248"/>
      <c r="S308" s="248"/>
    </row>
    <row r="309" spans="3:26">
      <c r="C309" s="248"/>
      <c r="D309" s="248"/>
      <c r="E309" s="248"/>
      <c r="F309" s="248"/>
      <c r="G309" s="248"/>
      <c r="H309" s="248"/>
      <c r="I309" s="248"/>
      <c r="J309" s="248"/>
      <c r="K309" s="248"/>
      <c r="L309" s="248"/>
      <c r="M309" s="248"/>
      <c r="N309" s="248"/>
      <c r="O309" s="248"/>
      <c r="P309" s="248"/>
      <c r="Q309" s="248"/>
      <c r="R309" s="248"/>
      <c r="S309" s="248"/>
    </row>
    <row r="310" spans="3:26">
      <c r="C310" s="248"/>
      <c r="D310" s="248"/>
      <c r="E310" s="248"/>
      <c r="F310" s="248"/>
      <c r="G310" s="248"/>
      <c r="H310" s="248"/>
      <c r="I310" s="248"/>
      <c r="J310" s="248"/>
      <c r="K310" s="248"/>
      <c r="L310" s="248"/>
      <c r="M310" s="248"/>
      <c r="N310" s="248"/>
      <c r="O310" s="248"/>
      <c r="P310" s="248"/>
      <c r="Q310" s="248"/>
      <c r="R310" s="248"/>
      <c r="S310" s="248"/>
    </row>
    <row r="311" spans="3:26">
      <c r="C311" s="248"/>
      <c r="D311" s="248"/>
      <c r="E311" s="248"/>
      <c r="F311" s="248"/>
      <c r="G311" s="248"/>
      <c r="H311" s="248"/>
      <c r="I311" s="248"/>
      <c r="J311" s="248"/>
      <c r="K311" s="248"/>
      <c r="L311" s="248"/>
      <c r="M311" s="248"/>
      <c r="N311" s="248"/>
      <c r="O311" s="248"/>
      <c r="P311" s="248"/>
      <c r="Q311" s="248"/>
      <c r="R311" s="248"/>
      <c r="S311" s="248"/>
    </row>
    <row r="312" spans="3:26">
      <c r="C312" s="248"/>
      <c r="D312" s="248"/>
      <c r="E312" s="248"/>
      <c r="F312" s="248"/>
      <c r="G312" s="248"/>
      <c r="H312" s="248"/>
      <c r="I312" s="248"/>
      <c r="J312" s="248"/>
      <c r="K312" s="248"/>
      <c r="L312" s="248"/>
      <c r="M312" s="248"/>
      <c r="N312" s="248"/>
      <c r="O312" s="248"/>
      <c r="P312" s="248"/>
      <c r="Q312" s="248"/>
      <c r="R312" s="248"/>
      <c r="S312" s="248"/>
    </row>
    <row r="313" spans="3:26">
      <c r="C313" s="248"/>
      <c r="D313" s="248"/>
      <c r="E313" s="248"/>
      <c r="F313" s="248"/>
      <c r="G313" s="248"/>
      <c r="H313" s="248"/>
      <c r="I313" s="248"/>
      <c r="J313" s="248"/>
      <c r="K313" s="248"/>
      <c r="L313" s="248"/>
      <c r="M313" s="248"/>
      <c r="N313" s="248"/>
      <c r="O313" s="248"/>
      <c r="P313" s="248"/>
      <c r="Q313" s="248"/>
      <c r="R313" s="248"/>
      <c r="S313" s="248"/>
    </row>
    <row r="314" spans="3:26">
      <c r="C314" s="248"/>
      <c r="D314" s="248"/>
      <c r="E314" s="248"/>
      <c r="F314" s="248"/>
      <c r="G314" s="248"/>
      <c r="H314" s="248"/>
      <c r="I314" s="248"/>
      <c r="J314" s="248"/>
      <c r="K314" s="248"/>
      <c r="L314" s="248"/>
      <c r="M314" s="248"/>
      <c r="N314" s="248"/>
      <c r="O314" s="248"/>
      <c r="P314" s="248"/>
      <c r="Q314" s="248"/>
      <c r="R314" s="248"/>
      <c r="S314" s="248"/>
    </row>
  </sheetData>
  <mergeCells count="9">
    <mergeCell ref="C113:S113"/>
    <mergeCell ref="C114:S114"/>
    <mergeCell ref="C115:S115"/>
    <mergeCell ref="C107:S107"/>
    <mergeCell ref="C108:S108"/>
    <mergeCell ref="C109:S109"/>
    <mergeCell ref="C110:S110"/>
    <mergeCell ref="C111:S111"/>
    <mergeCell ref="C112:S112"/>
  </mergeCells>
  <printOptions horizontalCentered="1"/>
  <pageMargins left="0.25" right="0.25" top="0.77" bottom="0.75" header="0.25" footer="0.25"/>
  <pageSetup scale="43" fitToHeight="0" orientation="landscape" horizontalDpi="300" verticalDpi="300" r:id="rId1"/>
  <headerFooter alignWithMargins="0"/>
  <rowBreaks count="1" manualBreakCount="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8"/>
  <sheetViews>
    <sheetView zoomScaleNormal="100" workbookViewId="0">
      <selection activeCell="B1" sqref="B1"/>
    </sheetView>
  </sheetViews>
  <sheetFormatPr defaultRowHeight="15"/>
  <cols>
    <col min="1" max="1" width="1.33203125" style="272" customWidth="1"/>
    <col min="2" max="2" width="4.21875" style="272" customWidth="1"/>
    <col min="3" max="3" width="22.77734375" style="272" customWidth="1"/>
    <col min="4" max="4" width="8.88671875" style="272"/>
    <col min="5" max="5" width="13.77734375" style="272" customWidth="1"/>
    <col min="6" max="6" width="12.77734375" style="272" customWidth="1"/>
    <col min="7" max="7" width="15.6640625" style="272" bestFit="1" customWidth="1"/>
    <col min="8" max="8" width="13.33203125" style="272" customWidth="1"/>
    <col min="9" max="9" width="11.6640625" style="272" bestFit="1" customWidth="1"/>
    <col min="10" max="10" width="10.21875" style="272" bestFit="1" customWidth="1"/>
    <col min="11" max="11" width="11.88671875" style="272" bestFit="1" customWidth="1"/>
    <col min="12" max="12" width="12" style="272" customWidth="1"/>
    <col min="13" max="13" width="9.5546875" style="272" bestFit="1" customWidth="1"/>
    <col min="14" max="16384" width="8.88671875" style="272"/>
  </cols>
  <sheetData>
    <row r="2" spans="2:12" ht="15.75">
      <c r="B2" s="306" t="s">
        <v>561</v>
      </c>
    </row>
    <row r="3" spans="2:12">
      <c r="B3" s="272" t="s">
        <v>562</v>
      </c>
    </row>
    <row r="6" spans="2:12">
      <c r="C6" s="305" t="s">
        <v>563</v>
      </c>
      <c r="D6" s="274" t="s">
        <v>324</v>
      </c>
      <c r="E6" s="304"/>
      <c r="F6" s="304"/>
    </row>
    <row r="7" spans="2:12">
      <c r="C7" s="305" t="s">
        <v>564</v>
      </c>
      <c r="D7" s="274">
        <v>2012</v>
      </c>
      <c r="E7" s="304"/>
      <c r="F7" s="304"/>
    </row>
    <row r="10" spans="2:12">
      <c r="B10" s="303" t="s">
        <v>565</v>
      </c>
      <c r="C10" s="303" t="s">
        <v>566</v>
      </c>
      <c r="D10" s="303" t="s">
        <v>567</v>
      </c>
      <c r="E10" s="303" t="s">
        <v>568</v>
      </c>
      <c r="F10" s="303" t="s">
        <v>569</v>
      </c>
      <c r="G10" s="303" t="s">
        <v>570</v>
      </c>
      <c r="H10" s="303" t="s">
        <v>571</v>
      </c>
      <c r="I10" s="303" t="s">
        <v>572</v>
      </c>
      <c r="J10" s="303" t="s">
        <v>573</v>
      </c>
      <c r="K10" s="303" t="s">
        <v>574</v>
      </c>
      <c r="L10" s="303" t="s">
        <v>575</v>
      </c>
    </row>
    <row r="11" spans="2:12">
      <c r="B11" s="302"/>
      <c r="C11" s="301"/>
      <c r="D11" s="301"/>
      <c r="E11" s="301"/>
      <c r="F11" s="301"/>
      <c r="G11" s="300" t="s">
        <v>576</v>
      </c>
      <c r="H11" s="301"/>
      <c r="I11" s="301"/>
      <c r="J11" s="301"/>
      <c r="K11" s="301"/>
      <c r="L11" s="299"/>
    </row>
    <row r="12" spans="2:12">
      <c r="B12" s="298"/>
      <c r="C12" s="297"/>
      <c r="D12" s="297"/>
      <c r="E12" s="297"/>
      <c r="F12" s="296" t="s">
        <v>577</v>
      </c>
      <c r="G12" s="296" t="s">
        <v>578</v>
      </c>
      <c r="H12" s="296" t="s">
        <v>576</v>
      </c>
      <c r="I12" s="296" t="s">
        <v>579</v>
      </c>
      <c r="J12" s="296" t="s">
        <v>580</v>
      </c>
      <c r="K12" s="296" t="s">
        <v>579</v>
      </c>
      <c r="L12" s="295"/>
    </row>
    <row r="13" spans="2:12">
      <c r="B13" s="298"/>
      <c r="C13" s="297"/>
      <c r="D13" s="296" t="s">
        <v>581</v>
      </c>
      <c r="E13" s="296" t="s">
        <v>576</v>
      </c>
      <c r="F13" s="296" t="s">
        <v>582</v>
      </c>
      <c r="G13" s="296" t="s">
        <v>583</v>
      </c>
      <c r="H13" s="296" t="s">
        <v>582</v>
      </c>
      <c r="I13" s="296" t="s">
        <v>584</v>
      </c>
      <c r="J13" s="296" t="s">
        <v>585</v>
      </c>
      <c r="K13" s="296" t="s">
        <v>584</v>
      </c>
      <c r="L13" s="294" t="s">
        <v>9</v>
      </c>
    </row>
    <row r="14" spans="2:12">
      <c r="B14" s="293" t="s">
        <v>4</v>
      </c>
      <c r="C14" s="296" t="s">
        <v>586</v>
      </c>
      <c r="D14" s="296" t="s">
        <v>586</v>
      </c>
      <c r="E14" s="296" t="s">
        <v>578</v>
      </c>
      <c r="F14" s="296" t="s">
        <v>587</v>
      </c>
      <c r="G14" s="296" t="s">
        <v>5</v>
      </c>
      <c r="H14" s="296" t="s">
        <v>587</v>
      </c>
      <c r="I14" s="296" t="s">
        <v>588</v>
      </c>
      <c r="J14" s="296" t="s">
        <v>589</v>
      </c>
      <c r="K14" s="296" t="s">
        <v>585</v>
      </c>
      <c r="L14" s="294" t="s">
        <v>579</v>
      </c>
    </row>
    <row r="15" spans="2:12" ht="17.25">
      <c r="B15" s="292" t="s">
        <v>6</v>
      </c>
      <c r="C15" s="291" t="s">
        <v>590</v>
      </c>
      <c r="D15" s="291" t="s">
        <v>591</v>
      </c>
      <c r="E15" s="291" t="s">
        <v>583</v>
      </c>
      <c r="F15" s="290" t="s">
        <v>592</v>
      </c>
      <c r="G15" s="290" t="s">
        <v>593</v>
      </c>
      <c r="H15" s="290" t="s">
        <v>592</v>
      </c>
      <c r="I15" s="290" t="s">
        <v>594</v>
      </c>
      <c r="J15" s="290" t="s">
        <v>594</v>
      </c>
      <c r="K15" s="290" t="s">
        <v>594</v>
      </c>
      <c r="L15" s="289" t="s">
        <v>584</v>
      </c>
    </row>
    <row r="16" spans="2:12">
      <c r="B16" s="298"/>
      <c r="C16" s="297"/>
      <c r="D16" s="297"/>
      <c r="E16" s="297"/>
      <c r="F16" s="288" t="s">
        <v>577</v>
      </c>
      <c r="G16" s="288" t="s">
        <v>595</v>
      </c>
      <c r="H16" s="288" t="s">
        <v>576</v>
      </c>
      <c r="I16" s="287"/>
      <c r="J16" s="287"/>
      <c r="K16" s="287"/>
      <c r="L16" s="286"/>
    </row>
    <row r="17" spans="2:12">
      <c r="B17" s="298"/>
      <c r="C17" s="297"/>
      <c r="D17" s="297"/>
      <c r="E17" s="297"/>
      <c r="F17" s="288" t="s">
        <v>578</v>
      </c>
      <c r="G17" s="288" t="s">
        <v>596</v>
      </c>
      <c r="H17" s="288" t="s">
        <v>578</v>
      </c>
      <c r="I17" s="287"/>
      <c r="J17" s="288"/>
      <c r="K17" s="288" t="s">
        <v>597</v>
      </c>
      <c r="L17" s="286"/>
    </row>
    <row r="18" spans="2:12" ht="17.25">
      <c r="B18" s="285"/>
      <c r="C18" s="284"/>
      <c r="D18" s="284"/>
      <c r="E18" s="284"/>
      <c r="F18" s="290" t="s">
        <v>598</v>
      </c>
      <c r="G18" s="290" t="s">
        <v>599</v>
      </c>
      <c r="H18" s="290" t="s">
        <v>598</v>
      </c>
      <c r="I18" s="290" t="s">
        <v>600</v>
      </c>
      <c r="J18" s="290" t="s">
        <v>601</v>
      </c>
      <c r="K18" s="290" t="s">
        <v>602</v>
      </c>
      <c r="L18" s="289" t="s">
        <v>603</v>
      </c>
    </row>
    <row r="19" spans="2:12" ht="9.75" customHeight="1">
      <c r="B19" s="302"/>
      <c r="C19" s="301"/>
      <c r="D19" s="301"/>
      <c r="E19" s="301"/>
      <c r="F19" s="301"/>
      <c r="G19" s="301"/>
      <c r="H19" s="301"/>
      <c r="I19" s="301"/>
      <c r="J19" s="301"/>
      <c r="K19" s="301"/>
      <c r="L19" s="299"/>
    </row>
    <row r="20" spans="2:12" ht="32.25" customHeight="1">
      <c r="B20" s="283">
        <v>1</v>
      </c>
      <c r="C20" s="460" t="s">
        <v>604</v>
      </c>
      <c r="D20" s="460"/>
      <c r="E20" s="451">
        <f>'[2]26a support'!D11</f>
        <v>1068807.5266666666</v>
      </c>
      <c r="F20" s="282"/>
      <c r="G20" s="297"/>
      <c r="H20" s="282"/>
      <c r="I20" s="297"/>
      <c r="J20" s="297"/>
      <c r="K20" s="297"/>
      <c r="L20" s="295"/>
    </row>
    <row r="21" spans="2:12" ht="6.75" customHeight="1">
      <c r="B21" s="293"/>
      <c r="C21" s="297"/>
      <c r="D21" s="297"/>
      <c r="E21" s="297"/>
      <c r="F21" s="297"/>
      <c r="G21" s="297"/>
      <c r="H21" s="297"/>
      <c r="I21" s="297"/>
      <c r="J21" s="297"/>
      <c r="K21" s="297"/>
      <c r="L21" s="295"/>
    </row>
    <row r="22" spans="2:12">
      <c r="B22" s="293" t="s">
        <v>605</v>
      </c>
      <c r="C22" s="449" t="s">
        <v>550</v>
      </c>
      <c r="D22" s="450">
        <v>2237</v>
      </c>
      <c r="E22" s="440"/>
      <c r="F22" s="281">
        <v>0</v>
      </c>
      <c r="G22" s="446">
        <f>IF(F22=0,0,ROUND($E$20*(F22/$F$31),0))</f>
        <v>0</v>
      </c>
      <c r="H22" s="281">
        <f>'[3]Attach MM ER12-312'!$Q74</f>
        <v>152073.84338940345</v>
      </c>
      <c r="I22" s="441">
        <f>+H22-G22</f>
        <v>152073.84338940345</v>
      </c>
      <c r="J22" s="447">
        <f>+$J$35</f>
        <v>2.7079999999999999E-3</v>
      </c>
      <c r="K22" s="441">
        <f>ROUND((I22*J22)*24,0)</f>
        <v>9884</v>
      </c>
      <c r="L22" s="442">
        <f>+I22+K22</f>
        <v>161957.84338940345</v>
      </c>
    </row>
    <row r="23" spans="2:12">
      <c r="B23" s="293" t="s">
        <v>606</v>
      </c>
      <c r="C23" s="449" t="s">
        <v>551</v>
      </c>
      <c r="D23" s="450">
        <v>2239</v>
      </c>
      <c r="E23" s="440"/>
      <c r="F23" s="281">
        <f>243670</f>
        <v>243670</v>
      </c>
      <c r="G23" s="446">
        <f>IF(F23=0,0,ROUND($E$20*(F23/$F$31),0))</f>
        <v>227763</v>
      </c>
      <c r="H23" s="281">
        <f>'[3]Attach MM ER12-312'!$Q75</f>
        <v>39852.825579240583</v>
      </c>
      <c r="I23" s="441">
        <f t="shared" ref="I23:I28" si="0">+H23-G23</f>
        <v>-187910.17442075943</v>
      </c>
      <c r="J23" s="447">
        <f t="shared" ref="J23:J28" si="1">+$J$35</f>
        <v>2.7079999999999999E-3</v>
      </c>
      <c r="K23" s="441">
        <f t="shared" ref="K23:K28" si="2">ROUND((I23*J23)*24,0)</f>
        <v>-12213</v>
      </c>
      <c r="L23" s="442">
        <f t="shared" ref="L23:L28" si="3">+I23+K23</f>
        <v>-200123.17442075943</v>
      </c>
    </row>
    <row r="24" spans="2:12">
      <c r="B24" s="293" t="s">
        <v>607</v>
      </c>
      <c r="C24" s="449" t="s">
        <v>552</v>
      </c>
      <c r="D24" s="450">
        <v>3017</v>
      </c>
      <c r="E24" s="440"/>
      <c r="F24" s="281">
        <f>899784</f>
        <v>899784</v>
      </c>
      <c r="G24" s="446">
        <f>IF(F24=0,0,ROUND($E$20*(F24/$F$31),0))</f>
        <v>841045</v>
      </c>
      <c r="H24" s="281">
        <f>'[3]Attach MM ER12-312'!$Q76</f>
        <v>452844.95001429139</v>
      </c>
      <c r="I24" s="441">
        <f t="shared" si="0"/>
        <v>-388200.04998570861</v>
      </c>
      <c r="J24" s="447">
        <f t="shared" si="1"/>
        <v>2.7079999999999999E-3</v>
      </c>
      <c r="K24" s="441">
        <f t="shared" si="2"/>
        <v>-25230</v>
      </c>
      <c r="L24" s="442">
        <f t="shared" si="3"/>
        <v>-413430.04998570861</v>
      </c>
    </row>
    <row r="25" spans="2:12">
      <c r="B25" s="293" t="s">
        <v>608</v>
      </c>
      <c r="C25" s="449" t="s">
        <v>554</v>
      </c>
      <c r="D25" s="450">
        <v>3169</v>
      </c>
      <c r="E25" s="440"/>
      <c r="F25" s="281">
        <v>0</v>
      </c>
      <c r="G25" s="446">
        <f>IF(F25=0,0,ROUND($E$20*(F25/$F$31),0))</f>
        <v>0</v>
      </c>
      <c r="H25" s="281">
        <f>'[3]Attach MM ER12-312'!$Q77</f>
        <v>102238.93377524678</v>
      </c>
      <c r="I25" s="441">
        <f t="shared" si="0"/>
        <v>102238.93377524678</v>
      </c>
      <c r="J25" s="447">
        <f t="shared" si="1"/>
        <v>2.7079999999999999E-3</v>
      </c>
      <c r="K25" s="441">
        <f t="shared" si="2"/>
        <v>6645</v>
      </c>
      <c r="L25" s="442">
        <f t="shared" si="3"/>
        <v>108883.93377524678</v>
      </c>
    </row>
    <row r="26" spans="2:12">
      <c r="B26" s="293" t="s">
        <v>609</v>
      </c>
      <c r="C26" s="449" t="s">
        <v>556</v>
      </c>
      <c r="D26" s="450">
        <v>3170</v>
      </c>
      <c r="E26" s="440"/>
      <c r="F26" s="281">
        <v>0</v>
      </c>
      <c r="G26" s="446"/>
      <c r="H26" s="281">
        <f>'[3]Attach MM ER12-312'!$Q78</f>
        <v>26876.468651446736</v>
      </c>
      <c r="I26" s="441">
        <f t="shared" si="0"/>
        <v>26876.468651446736</v>
      </c>
      <c r="J26" s="447">
        <f t="shared" si="1"/>
        <v>2.7079999999999999E-3</v>
      </c>
      <c r="K26" s="441">
        <f t="shared" si="2"/>
        <v>1747</v>
      </c>
      <c r="L26" s="442">
        <f t="shared" si="3"/>
        <v>28623.468651446736</v>
      </c>
    </row>
    <row r="27" spans="2:12">
      <c r="B27" s="293" t="s">
        <v>610</v>
      </c>
      <c r="C27" s="449" t="s">
        <v>558</v>
      </c>
      <c r="D27" s="450">
        <v>2248</v>
      </c>
      <c r="E27" s="440"/>
      <c r="F27" s="281">
        <v>0</v>
      </c>
      <c r="G27" s="446"/>
      <c r="H27" s="281">
        <f>'[3]Attach MM ER12-312'!$Q79</f>
        <v>0</v>
      </c>
      <c r="I27" s="441">
        <f t="shared" si="0"/>
        <v>0</v>
      </c>
      <c r="J27" s="447">
        <f t="shared" si="1"/>
        <v>2.7079999999999999E-3</v>
      </c>
      <c r="K27" s="441">
        <f t="shared" si="2"/>
        <v>0</v>
      </c>
      <c r="L27" s="442">
        <f t="shared" si="3"/>
        <v>0</v>
      </c>
    </row>
    <row r="28" spans="2:12">
      <c r="B28" s="293" t="s">
        <v>611</v>
      </c>
      <c r="C28" s="449" t="s">
        <v>560</v>
      </c>
      <c r="D28" s="450">
        <v>3022</v>
      </c>
      <c r="E28" s="443"/>
      <c r="F28" s="281">
        <v>0</v>
      </c>
      <c r="G28" s="443"/>
      <c r="H28" s="281">
        <f>'[3]Attach MM ER12-312'!$Q80</f>
        <v>22.345956935223537</v>
      </c>
      <c r="I28" s="441">
        <f t="shared" si="0"/>
        <v>22.345956935223537</v>
      </c>
      <c r="J28" s="447">
        <f t="shared" si="1"/>
        <v>2.7079999999999999E-3</v>
      </c>
      <c r="K28" s="441">
        <f t="shared" si="2"/>
        <v>1</v>
      </c>
      <c r="L28" s="442">
        <f t="shared" si="3"/>
        <v>23.345956935223537</v>
      </c>
    </row>
    <row r="29" spans="2:12">
      <c r="B29" s="293"/>
      <c r="C29" s="297"/>
      <c r="D29" s="297"/>
      <c r="E29" s="297"/>
      <c r="F29" s="297"/>
      <c r="G29" s="297"/>
      <c r="H29" s="297"/>
      <c r="I29" s="297"/>
      <c r="J29" s="297"/>
      <c r="K29" s="297"/>
      <c r="L29" s="295"/>
    </row>
    <row r="30" spans="2:12">
      <c r="B30" s="292"/>
      <c r="C30" s="284"/>
      <c r="D30" s="284"/>
      <c r="E30" s="284"/>
      <c r="F30" s="284"/>
      <c r="G30" s="284"/>
      <c r="H30" s="284"/>
      <c r="I30" s="284"/>
      <c r="J30" s="284"/>
      <c r="K30" s="284"/>
      <c r="L30" s="280"/>
    </row>
    <row r="31" spans="2:12" ht="15.75">
      <c r="B31" s="303">
        <v>3</v>
      </c>
      <c r="C31" s="272" t="s">
        <v>612</v>
      </c>
      <c r="E31" s="269"/>
      <c r="F31" s="448">
        <f t="shared" ref="F31:G31" si="4">SUM(F22:F30)</f>
        <v>1143454</v>
      </c>
      <c r="G31" s="448">
        <f t="shared" si="4"/>
        <v>1068808</v>
      </c>
      <c r="H31" s="448">
        <f>SUM(H22:H30)</f>
        <v>773909.36736656411</v>
      </c>
      <c r="I31" s="448"/>
      <c r="J31" s="444"/>
      <c r="K31" s="444"/>
      <c r="L31" s="444"/>
    </row>
    <row r="32" spans="2:12">
      <c r="B32" s="303"/>
      <c r="F32" s="445"/>
      <c r="G32" s="445"/>
      <c r="H32" s="445"/>
      <c r="I32" s="444"/>
      <c r="J32" s="444"/>
      <c r="K32" s="444"/>
      <c r="L32" s="444"/>
    </row>
    <row r="33" spans="2:13">
      <c r="B33" s="303">
        <v>4</v>
      </c>
      <c r="C33" s="272" t="s">
        <v>613</v>
      </c>
      <c r="F33" s="444"/>
      <c r="G33" s="445"/>
      <c r="H33" s="444"/>
      <c r="I33" s="448">
        <f>SUM(I22:I30)</f>
        <v>-294898.63263343583</v>
      </c>
      <c r="J33" s="444"/>
      <c r="K33" s="448">
        <f>SUM(K22:K30)</f>
        <v>-19166</v>
      </c>
      <c r="L33" s="448">
        <f>SUM(L22:L30)</f>
        <v>-314064.63263343583</v>
      </c>
      <c r="M33" s="270"/>
    </row>
    <row r="34" spans="2:13">
      <c r="B34" s="303"/>
      <c r="F34" s="444"/>
      <c r="G34" s="444"/>
      <c r="H34" s="445"/>
      <c r="I34" s="445"/>
      <c r="J34" s="444"/>
      <c r="K34" s="444"/>
      <c r="L34" s="444"/>
    </row>
    <row r="35" spans="2:13">
      <c r="B35" s="303">
        <v>5</v>
      </c>
      <c r="C35" s="272" t="s">
        <v>614</v>
      </c>
      <c r="F35" s="444"/>
      <c r="G35" s="444"/>
      <c r="H35" s="444"/>
      <c r="I35" s="444"/>
      <c r="J35" s="271">
        <f>ROUND(0.0325/12,6)</f>
        <v>2.7079999999999999E-3</v>
      </c>
      <c r="K35" s="444"/>
      <c r="L35" s="444"/>
    </row>
    <row r="36" spans="2:13">
      <c r="B36" s="303"/>
    </row>
    <row r="37" spans="2:13" ht="17.25">
      <c r="B37" s="275" t="s">
        <v>615</v>
      </c>
      <c r="C37" s="272" t="s">
        <v>616</v>
      </c>
    </row>
    <row r="38" spans="2:13" ht="17.25">
      <c r="B38" s="275" t="s">
        <v>534</v>
      </c>
      <c r="C38" s="272" t="s">
        <v>617</v>
      </c>
    </row>
  </sheetData>
  <mergeCells count="1">
    <mergeCell ref="C20:D20"/>
  </mergeCells>
  <pageMargins left="0.25" right="0.25" top="0.75" bottom="0.5" header="0.3" footer="0.3"/>
  <pageSetup scale="81" orientation="landscape" r:id="rId1"/>
  <headerFooter>
    <oddFooter>&amp;R&amp;Z&amp;F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35"/>
  <sheetViews>
    <sheetView workbookViewId="0">
      <selection activeCell="C1" sqref="C1"/>
    </sheetView>
  </sheetViews>
  <sheetFormatPr defaultRowHeight="9"/>
  <cols>
    <col min="1" max="1" width="2.88671875" style="316" customWidth="1"/>
    <col min="2" max="2" width="0.6640625" style="316" customWidth="1"/>
    <col min="3" max="3" width="18" style="337" bestFit="1" customWidth="1"/>
    <col min="4" max="4" width="3.5546875" style="316" hidden="1" customWidth="1"/>
    <col min="5" max="5" width="3.6640625" style="316" hidden="1" customWidth="1"/>
    <col min="6" max="6" width="3.88671875" style="316" hidden="1" customWidth="1"/>
    <col min="7" max="7" width="3.5546875" style="316" hidden="1" customWidth="1"/>
    <col min="8" max="8" width="4" style="316" hidden="1" customWidth="1"/>
    <col min="9" max="9" width="3.5546875" style="316" hidden="1" customWidth="1"/>
    <col min="10" max="10" width="3.44140625" style="316" hidden="1" customWidth="1"/>
    <col min="11" max="12" width="3.6640625" style="316" hidden="1" customWidth="1"/>
    <col min="13" max="13" width="3.5546875" style="316" hidden="1" customWidth="1"/>
    <col min="14" max="14" width="5.6640625" style="316" hidden="1" customWidth="1"/>
    <col min="15" max="28" width="5.6640625" style="316" customWidth="1"/>
    <col min="29" max="29" width="6" style="316" hidden="1" customWidth="1"/>
    <col min="30" max="30" width="0.6640625" style="316" customWidth="1"/>
    <col min="31" max="31" width="5.88671875" style="316" customWidth="1"/>
    <col min="32" max="32" width="2.33203125" style="316" bestFit="1" customWidth="1"/>
    <col min="33" max="16384" width="8.88671875" style="316"/>
  </cols>
  <sheetData>
    <row r="3" spans="1:33" ht="15.75">
      <c r="C3" s="317" t="s">
        <v>618</v>
      </c>
      <c r="AE3" s="318">
        <v>41518</v>
      </c>
    </row>
    <row r="4" spans="1:33" s="319" customFormat="1" ht="15.75">
      <c r="C4" s="320" t="s">
        <v>619</v>
      </c>
      <c r="AE4" s="321" t="s">
        <v>620</v>
      </c>
    </row>
    <row r="5" spans="1:33" s="319" customFormat="1" ht="12.75">
      <c r="C5" s="320" t="s">
        <v>678</v>
      </c>
    </row>
    <row r="6" spans="1:33" s="319" customFormat="1" ht="11.25">
      <c r="C6" s="322"/>
    </row>
    <row r="7" spans="1:33" s="323" customFormat="1" ht="11.25">
      <c r="AE7" s="323" t="s">
        <v>621</v>
      </c>
    </row>
    <row r="8" spans="1:33" s="323" customFormat="1" ht="11.25" customHeight="1">
      <c r="A8" s="324" t="s">
        <v>4</v>
      </c>
      <c r="O8" s="324" t="s">
        <v>622</v>
      </c>
      <c r="P8" s="324"/>
      <c r="Q8" s="324" t="s">
        <v>680</v>
      </c>
      <c r="R8" s="324" t="s">
        <v>681</v>
      </c>
      <c r="S8" s="324" t="s">
        <v>682</v>
      </c>
      <c r="T8" s="324" t="s">
        <v>683</v>
      </c>
      <c r="U8" s="324" t="s">
        <v>684</v>
      </c>
      <c r="V8" s="324" t="s">
        <v>685</v>
      </c>
      <c r="W8" s="324" t="s">
        <v>686</v>
      </c>
      <c r="X8" s="324" t="s">
        <v>687</v>
      </c>
      <c r="Y8" s="324" t="s">
        <v>688</v>
      </c>
      <c r="Z8" s="324" t="s">
        <v>689</v>
      </c>
      <c r="AA8" s="324" t="s">
        <v>690</v>
      </c>
      <c r="AB8" s="324" t="s">
        <v>691</v>
      </c>
      <c r="AC8" s="323" t="s">
        <v>623</v>
      </c>
      <c r="AE8" s="324" t="s">
        <v>624</v>
      </c>
    </row>
    <row r="9" spans="1:33" s="323" customFormat="1" ht="11.25">
      <c r="C9" s="325"/>
    </row>
    <row r="10" spans="1:33" s="319" customFormat="1" ht="11.25">
      <c r="A10" s="326"/>
      <c r="C10" s="325" t="s">
        <v>625</v>
      </c>
    </row>
    <row r="11" spans="1:33" s="319" customFormat="1" ht="11.25">
      <c r="A11" s="326">
        <v>1</v>
      </c>
      <c r="C11" s="327" t="s">
        <v>626</v>
      </c>
      <c r="O11" s="334">
        <v>72343.294440523605</v>
      </c>
      <c r="P11" s="334"/>
      <c r="Q11" s="334">
        <v>72343.294440523605</v>
      </c>
      <c r="R11" s="334">
        <v>72343.294440523605</v>
      </c>
      <c r="S11" s="334">
        <v>72343.294440523605</v>
      </c>
      <c r="T11" s="334">
        <v>72343.294440523605</v>
      </c>
      <c r="U11" s="334">
        <v>72343.294440523605</v>
      </c>
      <c r="V11" s="334">
        <v>72343.294440523605</v>
      </c>
      <c r="W11" s="334">
        <v>72343.294440523605</v>
      </c>
      <c r="X11" s="334">
        <v>72343.294440523605</v>
      </c>
      <c r="Y11" s="334">
        <v>72343.294440523605</v>
      </c>
      <c r="Z11" s="334">
        <v>72343.294440523605</v>
      </c>
      <c r="AA11" s="334">
        <v>72343.294440523605</v>
      </c>
      <c r="AB11" s="334">
        <v>73093.568122164303</v>
      </c>
      <c r="AC11" s="328">
        <f>AVERAGE(O11:AB11)</f>
        <v>72401.007800649822</v>
      </c>
      <c r="AD11" s="328"/>
      <c r="AE11" s="328">
        <f>ROUND((AVERAGE(O11:AB11)),0)</f>
        <v>72401</v>
      </c>
    </row>
    <row r="12" spans="1:33" s="319" customFormat="1" ht="11.25">
      <c r="A12" s="326">
        <v>2</v>
      </c>
      <c r="C12" s="327" t="s">
        <v>627</v>
      </c>
      <c r="O12" s="334">
        <v>-3169.6709301597698</v>
      </c>
      <c r="P12" s="334"/>
      <c r="Q12" s="334">
        <v>-3258.2491338379</v>
      </c>
      <c r="R12" s="334">
        <v>-3346.8273375160302</v>
      </c>
      <c r="S12" s="334">
        <v>-3435.4055411941599</v>
      </c>
      <c r="T12" s="334">
        <v>-3523.9837448722901</v>
      </c>
      <c r="U12" s="334">
        <v>-3612.5619485504199</v>
      </c>
      <c r="V12" s="334">
        <v>-3701.1401522285501</v>
      </c>
      <c r="W12" s="334">
        <v>-3789.7183559066798</v>
      </c>
      <c r="X12" s="334">
        <v>-3878.29655958482</v>
      </c>
      <c r="Y12" s="334">
        <v>-3966.8747632629502</v>
      </c>
      <c r="Z12" s="334">
        <v>-4055.4529669410799</v>
      </c>
      <c r="AA12" s="334">
        <v>-4144.0311706192097</v>
      </c>
      <c r="AB12" s="334">
        <v>-4233.7035234100404</v>
      </c>
      <c r="AC12" s="328" t="e">
        <f>AVERAGE(#REF!)</f>
        <v>#REF!</v>
      </c>
      <c r="AD12" s="328"/>
      <c r="AE12" s="329">
        <f>ROUND((AVERAGE(O12:AB12)),0)</f>
        <v>-3701</v>
      </c>
    </row>
    <row r="13" spans="1:33" s="319" customFormat="1" ht="11.25">
      <c r="A13" s="326">
        <v>3</v>
      </c>
      <c r="C13" s="327" t="s">
        <v>628</v>
      </c>
      <c r="O13" s="330">
        <f>O11+O12</f>
        <v>69173.623510363832</v>
      </c>
      <c r="P13" s="330"/>
      <c r="Q13" s="330">
        <f t="shared" ref="Q13:AB13" si="0">Q11+Q12</f>
        <v>69085.045306685701</v>
      </c>
      <c r="R13" s="330">
        <f t="shared" si="0"/>
        <v>68996.46710300757</v>
      </c>
      <c r="S13" s="330">
        <f t="shared" si="0"/>
        <v>68907.888899329439</v>
      </c>
      <c r="T13" s="330">
        <f t="shared" si="0"/>
        <v>68819.310695651307</v>
      </c>
      <c r="U13" s="330">
        <f t="shared" si="0"/>
        <v>68730.732491973191</v>
      </c>
      <c r="V13" s="330">
        <f t="shared" si="0"/>
        <v>68642.15428829506</v>
      </c>
      <c r="W13" s="330">
        <f t="shared" si="0"/>
        <v>68553.576084616929</v>
      </c>
      <c r="X13" s="330">
        <f t="shared" si="0"/>
        <v>68464.997880938783</v>
      </c>
      <c r="Y13" s="330">
        <f t="shared" si="0"/>
        <v>68376.419677260652</v>
      </c>
      <c r="Z13" s="330">
        <f t="shared" si="0"/>
        <v>68287.841473582521</v>
      </c>
      <c r="AA13" s="330">
        <f t="shared" si="0"/>
        <v>68199.26326990439</v>
      </c>
      <c r="AB13" s="330">
        <f t="shared" si="0"/>
        <v>68859.86459875427</v>
      </c>
      <c r="AC13" s="330">
        <f t="shared" ref="AC13" si="1">AVERAGE(O13:AB13)</f>
        <v>68699.783483104911</v>
      </c>
      <c r="AD13" s="328"/>
      <c r="AE13" s="328">
        <f>ROUND((AVERAGE(O13:AB13)),0)</f>
        <v>68700</v>
      </c>
    </row>
    <row r="14" spans="1:33" s="319" customFormat="1" ht="11.25">
      <c r="A14" s="326"/>
      <c r="C14" s="327"/>
      <c r="O14" s="328"/>
      <c r="P14" s="328"/>
      <c r="Q14" s="328"/>
      <c r="R14" s="328"/>
      <c r="S14" s="328"/>
      <c r="T14" s="328"/>
      <c r="U14" s="328"/>
      <c r="V14" s="328"/>
      <c r="W14" s="328"/>
      <c r="X14" s="328"/>
      <c r="Y14" s="328"/>
      <c r="Z14" s="328"/>
      <c r="AA14" s="328"/>
      <c r="AB14" s="328"/>
      <c r="AC14" s="328"/>
      <c r="AD14" s="328"/>
      <c r="AE14" s="328"/>
    </row>
    <row r="15" spans="1:33" s="332" customFormat="1" ht="11.25">
      <c r="A15" s="331">
        <v>4</v>
      </c>
      <c r="C15" s="333" t="s">
        <v>629</v>
      </c>
      <c r="O15" s="334">
        <v>57245.708092699992</v>
      </c>
      <c r="P15" s="334"/>
      <c r="Q15" s="334">
        <v>71023.504131499998</v>
      </c>
      <c r="R15" s="334">
        <v>84891.483051999996</v>
      </c>
      <c r="S15" s="334">
        <v>102754.53509620002</v>
      </c>
      <c r="T15" s="334">
        <v>122075.0951735</v>
      </c>
      <c r="U15" s="334">
        <v>140791.07560820002</v>
      </c>
      <c r="V15" s="334">
        <v>159731.32149169999</v>
      </c>
      <c r="W15" s="334">
        <v>185331.13926250002</v>
      </c>
      <c r="X15" s="334">
        <v>203983.01857979994</v>
      </c>
      <c r="Y15" s="334">
        <v>224416.47256599998</v>
      </c>
      <c r="Z15" s="334">
        <v>243301.85530340002</v>
      </c>
      <c r="AA15" s="334">
        <v>273314.24129009998</v>
      </c>
      <c r="AB15" s="334">
        <v>291473.13713079994</v>
      </c>
      <c r="AC15" s="334">
        <f t="shared" ref="AC15:AC20" si="2">AVERAGE(O15:AB15)</f>
        <v>166179.42975218457</v>
      </c>
      <c r="AD15" s="334"/>
      <c r="AE15" s="334">
        <f>ROUND((AVERAGE(O15:AB15)),0)</f>
        <v>166179</v>
      </c>
      <c r="AG15" s="333"/>
    </row>
    <row r="16" spans="1:33" s="319" customFormat="1" ht="11.25">
      <c r="A16" s="326"/>
      <c r="C16" s="327"/>
      <c r="O16" s="328"/>
      <c r="P16" s="328"/>
      <c r="Q16" s="328"/>
      <c r="R16" s="328"/>
      <c r="S16" s="328"/>
      <c r="T16" s="328"/>
      <c r="U16" s="328"/>
      <c r="V16" s="328"/>
      <c r="W16" s="328"/>
      <c r="X16" s="328"/>
      <c r="Y16" s="328"/>
      <c r="Z16" s="328"/>
      <c r="AA16" s="328"/>
      <c r="AB16" s="328"/>
      <c r="AC16" s="328"/>
      <c r="AD16" s="328"/>
      <c r="AE16" s="328"/>
    </row>
    <row r="17" spans="1:36" s="319" customFormat="1" ht="11.25">
      <c r="A17" s="326"/>
      <c r="C17" s="325" t="s">
        <v>630</v>
      </c>
      <c r="O17" s="328"/>
      <c r="P17" s="328"/>
      <c r="Q17" s="328"/>
      <c r="R17" s="328"/>
      <c r="S17" s="328"/>
      <c r="T17" s="328"/>
      <c r="U17" s="328"/>
      <c r="V17" s="328"/>
      <c r="W17" s="328"/>
      <c r="X17" s="328"/>
      <c r="Y17" s="328"/>
      <c r="Z17" s="328"/>
      <c r="AA17" s="328"/>
      <c r="AB17" s="328"/>
      <c r="AC17" s="328"/>
      <c r="AD17" s="328"/>
      <c r="AE17" s="328"/>
    </row>
    <row r="18" spans="1:36" s="332" customFormat="1" ht="11.25">
      <c r="A18" s="331">
        <v>5</v>
      </c>
      <c r="C18" s="333" t="s">
        <v>631</v>
      </c>
      <c r="O18" s="334">
        <v>-14871.539000000001</v>
      </c>
      <c r="P18" s="334"/>
      <c r="Q18" s="334"/>
      <c r="R18" s="334"/>
      <c r="S18" s="334"/>
      <c r="T18" s="334"/>
      <c r="U18" s="334"/>
      <c r="V18" s="334"/>
      <c r="W18" s="334"/>
      <c r="X18" s="334"/>
      <c r="Y18" s="334"/>
      <c r="Z18" s="334"/>
      <c r="AA18" s="334"/>
      <c r="AB18" s="334">
        <v>-15712.18</v>
      </c>
      <c r="AC18" s="334">
        <f t="shared" si="2"/>
        <v>-15291.8595</v>
      </c>
      <c r="AD18" s="334"/>
      <c r="AE18" s="328">
        <f>ROUND((AVERAGE(O18:AB18)),0)</f>
        <v>-15292</v>
      </c>
      <c r="AG18" s="333"/>
    </row>
    <row r="19" spans="1:36" s="332" customFormat="1" ht="11.25">
      <c r="A19" s="331">
        <v>6</v>
      </c>
      <c r="C19" s="333" t="s">
        <v>632</v>
      </c>
      <c r="O19" s="334">
        <v>-1260.538</v>
      </c>
      <c r="P19" s="334"/>
      <c r="Q19" s="334"/>
      <c r="R19" s="334"/>
      <c r="S19" s="334"/>
      <c r="T19" s="334"/>
      <c r="U19" s="334"/>
      <c r="V19" s="334"/>
      <c r="W19" s="334"/>
      <c r="X19" s="334"/>
      <c r="Y19" s="334"/>
      <c r="Z19" s="334"/>
      <c r="AA19" s="334"/>
      <c r="AB19" s="334">
        <v>-757.81700000000001</v>
      </c>
      <c r="AC19" s="334"/>
      <c r="AD19" s="334"/>
      <c r="AE19" s="328">
        <f>ROUND((AVERAGE(O19:AB19)),0)</f>
        <v>-1009</v>
      </c>
      <c r="AG19" s="333"/>
    </row>
    <row r="20" spans="1:36" s="332" customFormat="1" ht="11.25">
      <c r="A20" s="331">
        <v>7</v>
      </c>
      <c r="C20" s="333" t="s">
        <v>633</v>
      </c>
      <c r="O20" s="334">
        <v>3984.7310000000002</v>
      </c>
      <c r="P20" s="334"/>
      <c r="Q20" s="334"/>
      <c r="R20" s="334"/>
      <c r="S20" s="334"/>
      <c r="T20" s="334"/>
      <c r="U20" s="334"/>
      <c r="V20" s="334"/>
      <c r="W20" s="334"/>
      <c r="X20" s="334"/>
      <c r="Y20" s="334"/>
      <c r="Z20" s="334"/>
      <c r="AA20" s="334"/>
      <c r="AB20" s="334">
        <v>1770.0160000000001</v>
      </c>
      <c r="AC20" s="334">
        <f t="shared" si="2"/>
        <v>2877.3735000000001</v>
      </c>
      <c r="AD20" s="334"/>
      <c r="AE20" s="328">
        <f>ROUND((AVERAGE(O20:AB20)),0)</f>
        <v>2877</v>
      </c>
      <c r="AG20" s="333"/>
    </row>
    <row r="21" spans="1:36" s="319" customFormat="1" ht="11.25">
      <c r="A21" s="326">
        <v>8</v>
      </c>
      <c r="C21" s="327" t="s">
        <v>634</v>
      </c>
      <c r="O21" s="328">
        <v>0</v>
      </c>
      <c r="P21" s="328"/>
      <c r="Q21" s="328">
        <v>0</v>
      </c>
      <c r="R21" s="328">
        <v>0</v>
      </c>
      <c r="S21" s="328">
        <v>0</v>
      </c>
      <c r="T21" s="328">
        <v>0</v>
      </c>
      <c r="U21" s="328">
        <v>0</v>
      </c>
      <c r="V21" s="328">
        <v>0</v>
      </c>
      <c r="W21" s="328">
        <v>0</v>
      </c>
      <c r="X21" s="328">
        <v>0</v>
      </c>
      <c r="Y21" s="328">
        <v>0</v>
      </c>
      <c r="Z21" s="328">
        <v>0</v>
      </c>
      <c r="AA21" s="328">
        <v>0</v>
      </c>
      <c r="AB21" s="328">
        <v>0</v>
      </c>
      <c r="AC21" s="328">
        <f>AVERAGE(O21:AB21)</f>
        <v>0</v>
      </c>
      <c r="AD21" s="328"/>
      <c r="AE21" s="328">
        <f t="shared" ref="AE21:AE23" si="3">ROUND((AVERAGE(O21:AB21)),0)</f>
        <v>0</v>
      </c>
    </row>
    <row r="22" spans="1:36" s="319" customFormat="1" ht="11.25">
      <c r="A22" s="326">
        <v>9</v>
      </c>
      <c r="C22" s="327" t="s">
        <v>635</v>
      </c>
      <c r="O22" s="328">
        <v>0</v>
      </c>
      <c r="P22" s="328"/>
      <c r="Q22" s="328">
        <v>0</v>
      </c>
      <c r="R22" s="328">
        <v>0</v>
      </c>
      <c r="S22" s="328">
        <v>0</v>
      </c>
      <c r="T22" s="328">
        <v>0</v>
      </c>
      <c r="U22" s="328">
        <v>0</v>
      </c>
      <c r="V22" s="328">
        <v>0</v>
      </c>
      <c r="W22" s="328">
        <v>0</v>
      </c>
      <c r="X22" s="328">
        <v>0</v>
      </c>
      <c r="Y22" s="328">
        <v>0</v>
      </c>
      <c r="Z22" s="328">
        <v>0</v>
      </c>
      <c r="AA22" s="328">
        <v>0</v>
      </c>
      <c r="AB22" s="328">
        <v>0</v>
      </c>
      <c r="AC22" s="328">
        <f>AVERAGE(O22:AB22)</f>
        <v>0</v>
      </c>
      <c r="AD22" s="328"/>
      <c r="AE22" s="328">
        <f t="shared" si="3"/>
        <v>0</v>
      </c>
    </row>
    <row r="23" spans="1:36" s="319" customFormat="1" ht="11.25">
      <c r="A23" s="326">
        <v>10</v>
      </c>
      <c r="C23" s="327" t="s">
        <v>636</v>
      </c>
      <c r="O23" s="328">
        <v>0</v>
      </c>
      <c r="P23" s="328"/>
      <c r="Q23" s="328">
        <v>0</v>
      </c>
      <c r="R23" s="328">
        <v>0</v>
      </c>
      <c r="S23" s="328">
        <v>0</v>
      </c>
      <c r="T23" s="328">
        <v>0</v>
      </c>
      <c r="U23" s="328">
        <v>0</v>
      </c>
      <c r="V23" s="328">
        <v>0</v>
      </c>
      <c r="W23" s="328">
        <v>0</v>
      </c>
      <c r="X23" s="328">
        <v>0</v>
      </c>
      <c r="Y23" s="328">
        <v>0</v>
      </c>
      <c r="Z23" s="328">
        <v>0</v>
      </c>
      <c r="AA23" s="328">
        <v>0</v>
      </c>
      <c r="AB23" s="328">
        <v>0</v>
      </c>
      <c r="AC23" s="328">
        <f>AVERAGE(O23:AB23)</f>
        <v>0</v>
      </c>
      <c r="AD23" s="328"/>
      <c r="AE23" s="328">
        <f t="shared" si="3"/>
        <v>0</v>
      </c>
    </row>
    <row r="24" spans="1:36" s="319" customFormat="1" ht="22.5" customHeight="1">
      <c r="A24" s="326">
        <v>11</v>
      </c>
      <c r="C24" s="327" t="s">
        <v>637</v>
      </c>
      <c r="O24" s="328"/>
      <c r="P24" s="328"/>
      <c r="Q24" s="328"/>
      <c r="R24" s="328"/>
      <c r="S24" s="328"/>
      <c r="T24" s="328"/>
      <c r="U24" s="328"/>
      <c r="V24" s="328"/>
      <c r="W24" s="328"/>
      <c r="X24" s="328"/>
      <c r="Y24" s="328"/>
      <c r="Z24" s="328"/>
      <c r="AA24" s="328"/>
      <c r="AB24" s="328"/>
      <c r="AC24" s="328"/>
      <c r="AD24" s="328"/>
      <c r="AE24" s="334">
        <f>'Projected Revenues &amp; Expenses'!AE19/8</f>
        <v>395.4144317084212</v>
      </c>
      <c r="AF24" s="332"/>
      <c r="AG24" s="461"/>
      <c r="AH24" s="461"/>
      <c r="AI24" s="461"/>
      <c r="AJ24" s="461"/>
    </row>
    <row r="25" spans="1:36" s="319" customFormat="1" ht="11.25">
      <c r="A25" s="326"/>
      <c r="C25" s="327"/>
      <c r="O25" s="328"/>
      <c r="P25" s="328"/>
      <c r="Q25" s="328"/>
      <c r="R25" s="328"/>
      <c r="S25" s="328"/>
      <c r="T25" s="328"/>
      <c r="U25" s="328"/>
      <c r="V25" s="328"/>
      <c r="W25" s="328"/>
      <c r="X25" s="328"/>
      <c r="Y25" s="328"/>
      <c r="Z25" s="328"/>
      <c r="AA25" s="328"/>
      <c r="AB25" s="328"/>
      <c r="AC25" s="328"/>
      <c r="AD25" s="328"/>
      <c r="AE25" s="328"/>
    </row>
    <row r="26" spans="1:36" s="319" customFormat="1" ht="11.25">
      <c r="A26" s="326">
        <v>12</v>
      </c>
      <c r="C26" s="325" t="s">
        <v>638</v>
      </c>
      <c r="O26" s="328"/>
      <c r="P26" s="328"/>
      <c r="Q26" s="328"/>
      <c r="R26" s="328"/>
      <c r="S26" s="328"/>
      <c r="T26" s="328"/>
      <c r="U26" s="328"/>
      <c r="V26" s="328"/>
      <c r="W26" s="328"/>
      <c r="X26" s="328"/>
      <c r="Y26" s="328"/>
      <c r="Z26" s="328"/>
      <c r="AA26" s="328"/>
      <c r="AB26" s="328"/>
      <c r="AC26" s="328"/>
      <c r="AD26" s="328"/>
      <c r="AE26" s="335">
        <f>AE13+AE15+SUM(AE18:AE24)</f>
        <v>221850.41443170843</v>
      </c>
    </row>
    <row r="27" spans="1:36" s="319" customFormat="1" ht="11.25">
      <c r="A27" s="326"/>
      <c r="C27" s="325"/>
      <c r="O27" s="328"/>
      <c r="P27" s="328"/>
      <c r="Q27" s="328"/>
      <c r="R27" s="328"/>
      <c r="S27" s="328"/>
      <c r="T27" s="328"/>
      <c r="U27" s="328"/>
      <c r="V27" s="328"/>
      <c r="W27" s="328"/>
      <c r="X27" s="328"/>
      <c r="Y27" s="328"/>
      <c r="Z27" s="328"/>
      <c r="AA27" s="328"/>
      <c r="AB27" s="328"/>
      <c r="AC27" s="328"/>
      <c r="AD27" s="328"/>
      <c r="AE27" s="328"/>
    </row>
    <row r="28" spans="1:36">
      <c r="A28" s="336"/>
      <c r="O28" s="338"/>
      <c r="P28" s="338"/>
      <c r="Q28" s="338"/>
      <c r="R28" s="338"/>
      <c r="S28" s="338"/>
      <c r="T28" s="338"/>
      <c r="U28" s="338"/>
      <c r="V28" s="338"/>
      <c r="W28" s="338"/>
      <c r="X28" s="338"/>
      <c r="Y28" s="338"/>
      <c r="Z28" s="338"/>
      <c r="AA28" s="338"/>
      <c r="AB28" s="338"/>
      <c r="AC28" s="338"/>
      <c r="AD28" s="338"/>
      <c r="AE28" s="338"/>
    </row>
    <row r="29" spans="1:36" s="340" customFormat="1">
      <c r="A29" s="339" t="s">
        <v>639</v>
      </c>
      <c r="C29" s="341" t="s">
        <v>744</v>
      </c>
      <c r="P29" s="342"/>
      <c r="Q29" s="342"/>
      <c r="R29" s="342"/>
      <c r="S29" s="342"/>
      <c r="T29" s="342"/>
      <c r="U29" s="342"/>
      <c r="V29" s="342"/>
      <c r="W29" s="342"/>
      <c r="X29" s="342"/>
      <c r="Y29" s="342"/>
      <c r="Z29" s="342"/>
      <c r="AA29" s="342"/>
      <c r="AB29" s="342"/>
      <c r="AC29" s="342"/>
      <c r="AD29" s="342"/>
      <c r="AE29" s="342"/>
    </row>
    <row r="30" spans="1:36" s="340" customFormat="1">
      <c r="A30" s="339" t="s">
        <v>640</v>
      </c>
      <c r="C30" s="341" t="s">
        <v>641</v>
      </c>
      <c r="O30" s="343"/>
      <c r="P30" s="343"/>
      <c r="Q30" s="343"/>
      <c r="R30" s="343"/>
      <c r="S30" s="343"/>
      <c r="T30" s="343"/>
      <c r="U30" s="343"/>
      <c r="V30" s="343"/>
      <c r="W30" s="343"/>
      <c r="X30" s="343"/>
      <c r="Y30" s="343"/>
      <c r="Z30" s="343"/>
      <c r="AA30" s="343"/>
      <c r="AB30" s="343"/>
    </row>
    <row r="31" spans="1:36">
      <c r="A31" s="336"/>
      <c r="O31" s="344"/>
      <c r="P31" s="344"/>
      <c r="Q31" s="344"/>
      <c r="R31" s="344"/>
      <c r="S31" s="344"/>
      <c r="T31" s="344"/>
      <c r="U31" s="344"/>
      <c r="V31" s="344"/>
      <c r="W31" s="344"/>
      <c r="X31" s="344"/>
      <c r="Y31" s="344"/>
      <c r="Z31" s="344"/>
      <c r="AA31" s="344"/>
      <c r="AB31" s="344"/>
    </row>
    <row r="32" spans="1:36">
      <c r="A32" s="336"/>
      <c r="O32" s="344"/>
      <c r="P32" s="344"/>
      <c r="Q32" s="344"/>
      <c r="R32" s="344"/>
      <c r="S32" s="344"/>
      <c r="T32" s="344"/>
      <c r="U32" s="344"/>
      <c r="V32" s="344"/>
      <c r="W32" s="344"/>
      <c r="X32" s="344"/>
      <c r="Y32" s="344"/>
      <c r="Z32" s="344"/>
      <c r="AA32" s="344"/>
      <c r="AB32" s="344"/>
    </row>
    <row r="33" spans="1:28">
      <c r="A33" s="336"/>
      <c r="O33" s="344"/>
      <c r="P33" s="344"/>
      <c r="Q33" s="344"/>
      <c r="R33" s="344"/>
      <c r="S33" s="344"/>
      <c r="T33" s="344"/>
      <c r="U33" s="344"/>
      <c r="V33" s="344"/>
      <c r="W33" s="344"/>
      <c r="X33" s="344"/>
      <c r="Y33" s="344"/>
      <c r="Z33" s="344"/>
      <c r="AA33" s="344"/>
      <c r="AB33" s="344"/>
    </row>
    <row r="34" spans="1:28">
      <c r="A34" s="336"/>
      <c r="O34" s="344"/>
      <c r="P34" s="344"/>
      <c r="Q34" s="344"/>
      <c r="R34" s="344"/>
      <c r="S34" s="344"/>
      <c r="T34" s="344"/>
      <c r="U34" s="344"/>
      <c r="V34" s="344"/>
      <c r="W34" s="344"/>
      <c r="X34" s="344"/>
      <c r="Y34" s="344"/>
      <c r="Z34" s="344"/>
      <c r="AA34" s="344"/>
      <c r="AB34" s="344"/>
    </row>
    <row r="35" spans="1:28">
      <c r="C35" s="345"/>
    </row>
  </sheetData>
  <mergeCells count="1">
    <mergeCell ref="AG24:AJ24"/>
  </mergeCells>
  <pageMargins left="0.7" right="0.7" top="0.75" bottom="0.75" header="0.3" footer="0.3"/>
  <pageSetup scale="93" orientation="landscape" r:id="rId1"/>
  <headerFoot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zoomScaleNormal="100" workbookViewId="0">
      <selection activeCell="C1" sqref="C1"/>
    </sheetView>
  </sheetViews>
  <sheetFormatPr defaultRowHeight="9"/>
  <cols>
    <col min="1" max="1" width="2.88671875" style="316" customWidth="1"/>
    <col min="2" max="2" width="0.6640625" style="316" customWidth="1"/>
    <col min="3" max="3" width="19.109375" style="337" customWidth="1"/>
    <col min="4" max="15" width="6" style="316" hidden="1" customWidth="1"/>
    <col min="16" max="16" width="0.33203125" style="316" hidden="1" customWidth="1"/>
    <col min="17" max="28" width="6" style="316" customWidth="1"/>
    <col min="29" max="29" width="6" style="316" hidden="1" customWidth="1"/>
    <col min="30" max="30" width="0.6640625" style="316" customWidth="1"/>
    <col min="31" max="31" width="6" style="316" customWidth="1"/>
    <col min="32" max="32" width="2.33203125" style="316" bestFit="1" customWidth="1"/>
    <col min="33" max="16384" width="8.88671875" style="316"/>
  </cols>
  <sheetData>
    <row r="1" spans="1:32" s="319" customFormat="1" ht="11.25">
      <c r="C1" s="327"/>
    </row>
    <row r="2" spans="1:32" s="319" customFormat="1" ht="11.25">
      <c r="C2" s="327"/>
    </row>
    <row r="3" spans="1:32" s="319" customFormat="1" ht="15.75">
      <c r="C3" s="317" t="s">
        <v>618</v>
      </c>
      <c r="AE3" s="318">
        <v>41518</v>
      </c>
    </row>
    <row r="4" spans="1:32" s="319" customFormat="1" ht="15.75">
      <c r="C4" s="320" t="s">
        <v>642</v>
      </c>
      <c r="AE4" s="321" t="s">
        <v>643</v>
      </c>
    </row>
    <row r="5" spans="1:32" s="323" customFormat="1" ht="12.75">
      <c r="C5" s="320" t="s">
        <v>679</v>
      </c>
    </row>
    <row r="6" spans="1:32" s="323" customFormat="1" ht="12.75">
      <c r="C6" s="320"/>
    </row>
    <row r="7" spans="1:32" s="319" customFormat="1" ht="11.25">
      <c r="A7" s="326"/>
      <c r="C7" s="327"/>
      <c r="O7" s="328"/>
      <c r="P7" s="328"/>
      <c r="Q7" s="328"/>
      <c r="R7" s="328"/>
      <c r="S7" s="328"/>
      <c r="T7" s="328"/>
      <c r="U7" s="328"/>
      <c r="V7" s="328"/>
      <c r="W7" s="328"/>
      <c r="X7" s="328"/>
      <c r="Y7" s="328"/>
      <c r="Z7" s="328"/>
      <c r="AA7" s="328"/>
      <c r="AB7" s="328"/>
      <c r="AC7" s="328"/>
      <c r="AD7" s="328"/>
      <c r="AE7" s="328"/>
    </row>
    <row r="8" spans="1:32" s="319" customFormat="1" ht="22.5">
      <c r="A8" s="324" t="s">
        <v>4</v>
      </c>
      <c r="C8" s="325"/>
      <c r="O8" s="323"/>
      <c r="P8" s="323"/>
      <c r="Q8" s="324" t="s">
        <v>680</v>
      </c>
      <c r="R8" s="324" t="s">
        <v>681</v>
      </c>
      <c r="S8" s="324" t="s">
        <v>682</v>
      </c>
      <c r="T8" s="324" t="s">
        <v>683</v>
      </c>
      <c r="U8" s="324" t="s">
        <v>684</v>
      </c>
      <c r="V8" s="324" t="s">
        <v>685</v>
      </c>
      <c r="W8" s="324" t="s">
        <v>686</v>
      </c>
      <c r="X8" s="324" t="s">
        <v>687</v>
      </c>
      <c r="Y8" s="324" t="s">
        <v>688</v>
      </c>
      <c r="Z8" s="324" t="s">
        <v>689</v>
      </c>
      <c r="AA8" s="324" t="s">
        <v>690</v>
      </c>
      <c r="AB8" s="324" t="s">
        <v>691</v>
      </c>
      <c r="AC8" s="323" t="s">
        <v>623</v>
      </c>
      <c r="AD8" s="323"/>
      <c r="AE8" s="324" t="s">
        <v>692</v>
      </c>
    </row>
    <row r="9" spans="1:32" s="319" customFormat="1" ht="11.25">
      <c r="A9" s="326"/>
      <c r="C9" s="327"/>
      <c r="O9" s="328"/>
      <c r="P9" s="328"/>
      <c r="Q9" s="328"/>
      <c r="R9" s="328"/>
      <c r="S9" s="328"/>
      <c r="T9" s="328"/>
      <c r="U9" s="328"/>
      <c r="V9" s="328"/>
      <c r="W9" s="328"/>
      <c r="X9" s="328"/>
      <c r="Y9" s="328"/>
      <c r="Z9" s="328"/>
      <c r="AA9" s="328"/>
      <c r="AB9" s="328"/>
      <c r="AC9" s="328"/>
      <c r="AD9" s="328"/>
      <c r="AE9" s="328"/>
    </row>
    <row r="10" spans="1:32" s="319" customFormat="1" ht="11.25">
      <c r="A10" s="326"/>
      <c r="C10" s="325" t="s">
        <v>644</v>
      </c>
      <c r="O10" s="328"/>
      <c r="P10" s="328"/>
      <c r="Q10" s="328"/>
      <c r="R10" s="328"/>
      <c r="S10" s="328"/>
      <c r="T10" s="328"/>
      <c r="U10" s="328"/>
      <c r="V10" s="328"/>
      <c r="W10" s="328"/>
      <c r="X10" s="328"/>
      <c r="Y10" s="328"/>
      <c r="Z10" s="328"/>
      <c r="AA10" s="328"/>
      <c r="AB10" s="328"/>
      <c r="AC10" s="328"/>
      <c r="AD10" s="328"/>
      <c r="AE10" s="328"/>
    </row>
    <row r="11" spans="1:32" s="319" customFormat="1" ht="11.25">
      <c r="A11" s="326">
        <v>1</v>
      </c>
      <c r="C11" s="327" t="s">
        <v>645</v>
      </c>
      <c r="O11" s="328"/>
      <c r="P11" s="328"/>
      <c r="Q11" s="334">
        <v>876.55150643073057</v>
      </c>
      <c r="R11" s="334">
        <v>877.45346845073891</v>
      </c>
      <c r="S11" s="334">
        <v>747.8933371807783</v>
      </c>
      <c r="T11" s="334">
        <v>734.26244158315023</v>
      </c>
      <c r="U11" s="334">
        <v>817.86512578783015</v>
      </c>
      <c r="V11" s="334">
        <v>1058.6576989989658</v>
      </c>
      <c r="W11" s="334">
        <v>1115.5773198909012</v>
      </c>
      <c r="X11" s="334">
        <v>1132.1598943450845</v>
      </c>
      <c r="Y11" s="334">
        <v>987.43111993314994</v>
      </c>
      <c r="Z11" s="334">
        <v>754.90457853948601</v>
      </c>
      <c r="AA11" s="334">
        <v>808.64627104733302</v>
      </c>
      <c r="AB11" s="334">
        <v>849.89123781185276</v>
      </c>
      <c r="AC11" s="334">
        <f t="shared" ref="AC11:AC22" si="0">SUM(Q11:AB11)</f>
        <v>10761.294000000002</v>
      </c>
      <c r="AD11" s="334"/>
      <c r="AE11" s="334">
        <f>SUM(Q11:AB11)</f>
        <v>10761.294000000002</v>
      </c>
      <c r="AF11" s="332"/>
    </row>
    <row r="12" spans="1:32" s="319" customFormat="1" ht="11.25">
      <c r="A12" s="326">
        <v>2</v>
      </c>
      <c r="C12" s="327" t="s">
        <v>646</v>
      </c>
      <c r="O12" s="328"/>
      <c r="P12" s="328"/>
      <c r="Q12" s="334">
        <v>48.388329630495633</v>
      </c>
      <c r="R12" s="334">
        <v>43.494453849854366</v>
      </c>
      <c r="S12" s="334">
        <v>48.157557167277098</v>
      </c>
      <c r="T12" s="334">
        <v>46.403408803606467</v>
      </c>
      <c r="U12" s="334">
        <v>50.094161103835582</v>
      </c>
      <c r="V12" s="334">
        <v>48.113400311375742</v>
      </c>
      <c r="W12" s="334">
        <v>41.565813700709271</v>
      </c>
      <c r="X12" s="334">
        <v>36.597363856173494</v>
      </c>
      <c r="Y12" s="334">
        <v>23.102070167473979</v>
      </c>
      <c r="Z12" s="334">
        <v>36.536562248838258</v>
      </c>
      <c r="AA12" s="334">
        <v>34.067132490299883</v>
      </c>
      <c r="AB12" s="334">
        <v>44.447147358702054</v>
      </c>
      <c r="AC12" s="334">
        <v>0</v>
      </c>
      <c r="AD12" s="334">
        <v>0</v>
      </c>
      <c r="AE12" s="334">
        <f>SUM(Q12:AB12)</f>
        <v>500.96740068864187</v>
      </c>
      <c r="AF12" s="332"/>
    </row>
    <row r="13" spans="1:32" s="319" customFormat="1" ht="11.25">
      <c r="A13" s="326">
        <v>3</v>
      </c>
      <c r="C13" s="333" t="s">
        <v>647</v>
      </c>
      <c r="D13" s="332"/>
      <c r="E13" s="332"/>
      <c r="F13" s="332"/>
      <c r="G13" s="332"/>
      <c r="H13" s="332"/>
      <c r="I13" s="332"/>
      <c r="J13" s="332"/>
      <c r="K13" s="332"/>
      <c r="L13" s="332"/>
      <c r="M13" s="332"/>
      <c r="N13" s="332"/>
      <c r="O13" s="334"/>
      <c r="P13" s="334"/>
      <c r="Q13" s="334">
        <f>'ATXI Attach MM'!$S$100/12/1000</f>
        <v>2120.1128232666861</v>
      </c>
      <c r="R13" s="334">
        <f>'ATXI Attach MM'!$S$100/12/1000</f>
        <v>2120.1128232666861</v>
      </c>
      <c r="S13" s="334">
        <f>'ATXI Attach MM'!$S$100/12/1000</f>
        <v>2120.1128232666861</v>
      </c>
      <c r="T13" s="334">
        <f>'ATXI Attach MM'!$S$100/12/1000</f>
        <v>2120.1128232666861</v>
      </c>
      <c r="U13" s="334">
        <f>'ATXI Attach MM'!$S$100/12/1000</f>
        <v>2120.1128232666861</v>
      </c>
      <c r="V13" s="334">
        <f>'ATXI Attach MM'!$S$100/12/1000</f>
        <v>2120.1128232666861</v>
      </c>
      <c r="W13" s="334">
        <f>'ATXI Attach MM'!$S$100/12/1000</f>
        <v>2120.1128232666861</v>
      </c>
      <c r="X13" s="334">
        <f>'ATXI Attach MM'!$S$100/12/1000</f>
        <v>2120.1128232666861</v>
      </c>
      <c r="Y13" s="334">
        <f>'ATXI Attach MM'!$S$100/12/1000</f>
        <v>2120.1128232666861</v>
      </c>
      <c r="Z13" s="334">
        <f>'ATXI Attach MM'!$S$100/12/1000</f>
        <v>2120.1128232666861</v>
      </c>
      <c r="AA13" s="334">
        <f>'ATXI Attach MM'!$S$100/12/1000</f>
        <v>2120.1128232666861</v>
      </c>
      <c r="AB13" s="334">
        <f>'ATXI Attach MM'!$S$100/12/1000</f>
        <v>2120.1128232666861</v>
      </c>
      <c r="AC13" s="334"/>
      <c r="AD13" s="334"/>
      <c r="AE13" s="334">
        <f>SUM(Q13:AB13)</f>
        <v>25441.353879200225</v>
      </c>
      <c r="AF13" s="332"/>
    </row>
    <row r="14" spans="1:32" s="319" customFormat="1" ht="11.25">
      <c r="A14" s="326">
        <v>4</v>
      </c>
      <c r="C14" s="325" t="s">
        <v>648</v>
      </c>
      <c r="O14" s="328"/>
      <c r="P14" s="328"/>
      <c r="Q14" s="410">
        <f>Q11+Q12+Q13</f>
        <v>3045.0526593279124</v>
      </c>
      <c r="R14" s="410">
        <f t="shared" ref="R14:AB14" si="1">R11+R12+R13</f>
        <v>3041.0607455672794</v>
      </c>
      <c r="S14" s="410">
        <f t="shared" si="1"/>
        <v>2916.1637176147415</v>
      </c>
      <c r="T14" s="410">
        <f t="shared" si="1"/>
        <v>2900.7786736534426</v>
      </c>
      <c r="U14" s="410">
        <f t="shared" si="1"/>
        <v>2988.0721101583517</v>
      </c>
      <c r="V14" s="410">
        <f t="shared" si="1"/>
        <v>3226.8839225770275</v>
      </c>
      <c r="W14" s="410">
        <f t="shared" si="1"/>
        <v>3277.2559568582965</v>
      </c>
      <c r="X14" s="410">
        <f t="shared" si="1"/>
        <v>3288.8700814679441</v>
      </c>
      <c r="Y14" s="410">
        <f t="shared" si="1"/>
        <v>3130.6460133673099</v>
      </c>
      <c r="Z14" s="410">
        <f t="shared" si="1"/>
        <v>2911.5539640550105</v>
      </c>
      <c r="AA14" s="410">
        <f t="shared" si="1"/>
        <v>2962.826226804319</v>
      </c>
      <c r="AB14" s="410">
        <f t="shared" si="1"/>
        <v>3014.4512084372409</v>
      </c>
      <c r="AC14" s="334">
        <f t="shared" si="0"/>
        <v>36703.615279888872</v>
      </c>
      <c r="AD14" s="334"/>
      <c r="AE14" s="410">
        <f t="shared" ref="AE14" si="2">AE11+AE12+AE13</f>
        <v>36703.615279888865</v>
      </c>
      <c r="AF14" s="332"/>
    </row>
    <row r="15" spans="1:32" s="319" customFormat="1" ht="11.25">
      <c r="A15" s="326"/>
      <c r="C15" s="327"/>
      <c r="O15" s="328"/>
      <c r="P15" s="328"/>
      <c r="Q15" s="346"/>
      <c r="R15" s="346"/>
      <c r="S15" s="346"/>
      <c r="T15" s="346"/>
      <c r="U15" s="346"/>
      <c r="V15" s="346"/>
      <c r="W15" s="346"/>
      <c r="X15" s="346"/>
      <c r="Y15" s="346"/>
      <c r="Z15" s="346"/>
      <c r="AA15" s="346"/>
      <c r="AB15" s="346"/>
      <c r="AC15" s="328"/>
      <c r="AD15" s="328"/>
      <c r="AE15" s="346"/>
    </row>
    <row r="16" spans="1:32" s="319" customFormat="1" ht="11.25">
      <c r="A16" s="326"/>
      <c r="C16" s="325" t="s">
        <v>649</v>
      </c>
      <c r="O16" s="328"/>
      <c r="P16" s="328"/>
      <c r="Q16" s="328"/>
      <c r="R16" s="328"/>
      <c r="S16" s="328"/>
      <c r="T16" s="328"/>
      <c r="U16" s="328"/>
      <c r="V16" s="328"/>
      <c r="W16" s="328"/>
      <c r="X16" s="328"/>
      <c r="Y16" s="328"/>
      <c r="Z16" s="328"/>
      <c r="AA16" s="328"/>
      <c r="AB16" s="328"/>
      <c r="AC16" s="328"/>
      <c r="AD16" s="328"/>
      <c r="AE16" s="328"/>
    </row>
    <row r="17" spans="1:32" s="319" customFormat="1" ht="11.25">
      <c r="A17" s="326">
        <v>5</v>
      </c>
      <c r="C17" s="327" t="s">
        <v>430</v>
      </c>
      <c r="O17" s="328"/>
      <c r="P17" s="328"/>
      <c r="Q17" s="405">
        <v>13.342273311440335</v>
      </c>
      <c r="R17" s="405">
        <v>15.814308354362156</v>
      </c>
      <c r="S17" s="405">
        <v>15.682957807942527</v>
      </c>
      <c r="T17" s="405">
        <v>13.858132144702875</v>
      </c>
      <c r="U17" s="405">
        <v>13.789631398149998</v>
      </c>
      <c r="V17" s="405">
        <v>23.480208514448261</v>
      </c>
      <c r="W17" s="405">
        <v>13.948712739321099</v>
      </c>
      <c r="X17" s="405">
        <v>13.737811569914207</v>
      </c>
      <c r="Y17" s="405">
        <v>17.017020771606354</v>
      </c>
      <c r="Z17" s="405">
        <v>14.0627158953705</v>
      </c>
      <c r="AA17" s="405">
        <v>14.052507446439366</v>
      </c>
      <c r="AB17" s="405">
        <v>15.000850046302221</v>
      </c>
      <c r="AC17" s="406">
        <f>SUM(Q17:AB17)</f>
        <v>183.78712999999991</v>
      </c>
      <c r="AD17" s="406"/>
      <c r="AE17" s="406">
        <f>SUM(Q17:AB17)</f>
        <v>183.78712999999991</v>
      </c>
      <c r="AF17" s="332"/>
    </row>
    <row r="18" spans="1:32" s="332" customFormat="1" ht="11.25">
      <c r="A18" s="331">
        <v>6</v>
      </c>
      <c r="C18" s="333" t="s">
        <v>650</v>
      </c>
      <c r="O18" s="334"/>
      <c r="P18" s="334"/>
      <c r="Q18" s="405">
        <v>132.85761280592655</v>
      </c>
      <c r="R18" s="405">
        <v>145.23039471091505</v>
      </c>
      <c r="S18" s="405">
        <v>461.25221163760477</v>
      </c>
      <c r="T18" s="405">
        <v>135.43953770864772</v>
      </c>
      <c r="U18" s="405">
        <v>135.09668464115001</v>
      </c>
      <c r="V18" s="405">
        <v>500.27822897758784</v>
      </c>
      <c r="W18" s="405">
        <v>135.89290261754917</v>
      </c>
      <c r="X18" s="405">
        <v>134.83732123327627</v>
      </c>
      <c r="Y18" s="405">
        <v>467.92932980556805</v>
      </c>
      <c r="Z18" s="405">
        <v>136.46349978214778</v>
      </c>
      <c r="AA18" s="405">
        <v>136.4124054772451</v>
      </c>
      <c r="AB18" s="405">
        <v>457.83819426975214</v>
      </c>
      <c r="AC18" s="407">
        <f>SUM(Q18:AB18)</f>
        <v>2979.5283236673699</v>
      </c>
      <c r="AD18" s="407"/>
      <c r="AE18" s="407">
        <f>SUM(Q18:AB18)</f>
        <v>2979.5283236673699</v>
      </c>
      <c r="AF18" s="408"/>
    </row>
    <row r="19" spans="1:32" s="319" customFormat="1" ht="11.25">
      <c r="A19" s="326">
        <v>7</v>
      </c>
      <c r="C19" s="327" t="s">
        <v>651</v>
      </c>
      <c r="O19" s="328"/>
      <c r="P19" s="328"/>
      <c r="Q19" s="330">
        <f t="shared" ref="Q19:AB19" si="3">Q17+Q18</f>
        <v>146.19988611736687</v>
      </c>
      <c r="R19" s="330">
        <f t="shared" si="3"/>
        <v>161.04470306527722</v>
      </c>
      <c r="S19" s="330">
        <f t="shared" si="3"/>
        <v>476.93516944554727</v>
      </c>
      <c r="T19" s="330">
        <f t="shared" si="3"/>
        <v>149.29766985335058</v>
      </c>
      <c r="U19" s="330">
        <f t="shared" si="3"/>
        <v>148.8863160393</v>
      </c>
      <c r="V19" s="410">
        <f t="shared" si="3"/>
        <v>523.75843749203614</v>
      </c>
      <c r="W19" s="330">
        <f t="shared" si="3"/>
        <v>149.84161535687028</v>
      </c>
      <c r="X19" s="330">
        <f t="shared" si="3"/>
        <v>148.57513280319048</v>
      </c>
      <c r="Y19" s="330">
        <f t="shared" si="3"/>
        <v>484.94635057717437</v>
      </c>
      <c r="Z19" s="330">
        <f t="shared" si="3"/>
        <v>150.52621567751828</v>
      </c>
      <c r="AA19" s="330">
        <f t="shared" si="3"/>
        <v>150.46491292368447</v>
      </c>
      <c r="AB19" s="330">
        <f t="shared" si="3"/>
        <v>472.83904431605436</v>
      </c>
      <c r="AC19" s="328"/>
      <c r="AD19" s="328"/>
      <c r="AE19" s="330">
        <f>AE17+AE18</f>
        <v>3163.3154536673696</v>
      </c>
    </row>
    <row r="20" spans="1:32" s="319" customFormat="1" ht="11.25">
      <c r="A20" s="326"/>
      <c r="C20" s="327"/>
      <c r="O20" s="328"/>
      <c r="P20" s="328"/>
      <c r="Q20" s="334"/>
      <c r="R20" s="334"/>
      <c r="S20" s="334"/>
      <c r="T20" s="334"/>
      <c r="U20" s="334"/>
      <c r="V20" s="334"/>
      <c r="W20" s="334"/>
      <c r="X20" s="334"/>
      <c r="Y20" s="334"/>
      <c r="Z20" s="334"/>
      <c r="AA20" s="334"/>
      <c r="AB20" s="334"/>
      <c r="AC20" s="328"/>
      <c r="AD20" s="328"/>
      <c r="AE20" s="328"/>
    </row>
    <row r="21" spans="1:32" s="319" customFormat="1" ht="11.25">
      <c r="A21" s="326">
        <v>8</v>
      </c>
      <c r="C21" s="327" t="s">
        <v>652</v>
      </c>
      <c r="O21" s="328"/>
      <c r="P21" s="328"/>
      <c r="Q21" s="334">
        <v>88.578203678131104</v>
      </c>
      <c r="R21" s="334">
        <v>88.578203678131104</v>
      </c>
      <c r="S21" s="334">
        <v>88.578203678131104</v>
      </c>
      <c r="T21" s="334">
        <v>88.578203678131104</v>
      </c>
      <c r="U21" s="334">
        <v>88.578203678131104</v>
      </c>
      <c r="V21" s="334">
        <v>88.578203678131104</v>
      </c>
      <c r="W21" s="334">
        <v>88.578203678131104</v>
      </c>
      <c r="X21" s="334">
        <v>88.578203678131104</v>
      </c>
      <c r="Y21" s="334">
        <v>88.578203678131104</v>
      </c>
      <c r="Z21" s="334">
        <v>88.578203678131104</v>
      </c>
      <c r="AA21" s="334">
        <v>88.578203678131104</v>
      </c>
      <c r="AB21" s="334">
        <v>89.672352790832505</v>
      </c>
      <c r="AC21" s="328">
        <f t="shared" si="0"/>
        <v>1064.0325932502747</v>
      </c>
      <c r="AD21" s="328"/>
      <c r="AE21" s="328">
        <f t="shared" ref="AE21:AE22" si="4">SUM(Q21:AB21)</f>
        <v>1064.0325932502747</v>
      </c>
    </row>
    <row r="22" spans="1:32" s="319" customFormat="1" ht="11.25">
      <c r="A22" s="326">
        <v>9</v>
      </c>
      <c r="C22" s="333" t="s">
        <v>653</v>
      </c>
      <c r="D22" s="332"/>
      <c r="E22" s="332"/>
      <c r="F22" s="332"/>
      <c r="G22" s="332"/>
      <c r="H22" s="332"/>
      <c r="I22" s="332"/>
      <c r="J22" s="332"/>
      <c r="K22" s="332"/>
      <c r="L22" s="332"/>
      <c r="M22" s="332"/>
      <c r="N22" s="332"/>
      <c r="O22" s="334"/>
      <c r="P22" s="334"/>
      <c r="Q22" s="334">
        <v>41</v>
      </c>
      <c r="R22" s="334">
        <v>41</v>
      </c>
      <c r="S22" s="334">
        <v>0</v>
      </c>
      <c r="T22" s="334">
        <v>0</v>
      </c>
      <c r="U22" s="334">
        <v>0</v>
      </c>
      <c r="V22" s="334">
        <v>0</v>
      </c>
      <c r="W22" s="334">
        <v>0</v>
      </c>
      <c r="X22" s="334">
        <v>0</v>
      </c>
      <c r="Y22" s="334">
        <v>0</v>
      </c>
      <c r="Z22" s="334">
        <v>0</v>
      </c>
      <c r="AA22" s="334">
        <v>0</v>
      </c>
      <c r="AB22" s="334">
        <v>0</v>
      </c>
      <c r="AC22" s="334">
        <f t="shared" si="0"/>
        <v>82</v>
      </c>
      <c r="AD22" s="334"/>
      <c r="AE22" s="334">
        <f t="shared" si="4"/>
        <v>82</v>
      </c>
    </row>
    <row r="23" spans="1:32" s="319" customFormat="1" ht="11.25">
      <c r="A23" s="326"/>
      <c r="C23" s="333"/>
      <c r="D23" s="332"/>
      <c r="E23" s="332"/>
      <c r="F23" s="332"/>
      <c r="G23" s="332"/>
      <c r="H23" s="332"/>
      <c r="I23" s="332"/>
      <c r="J23" s="332"/>
      <c r="K23" s="332"/>
      <c r="L23" s="332"/>
      <c r="M23" s="332"/>
      <c r="N23" s="332"/>
      <c r="O23" s="347"/>
      <c r="P23" s="347"/>
      <c r="Q23" s="347"/>
      <c r="R23" s="347"/>
      <c r="S23" s="347"/>
      <c r="T23" s="347"/>
      <c r="U23" s="347"/>
      <c r="V23" s="347"/>
      <c r="W23" s="347"/>
      <c r="X23" s="347"/>
      <c r="Y23" s="347"/>
      <c r="Z23" s="347"/>
      <c r="AA23" s="347"/>
      <c r="AB23" s="347"/>
      <c r="AC23" s="347"/>
      <c r="AD23" s="347"/>
      <c r="AE23" s="347"/>
    </row>
    <row r="24" spans="1:32" s="319" customFormat="1" ht="11.25">
      <c r="A24" s="326">
        <v>10</v>
      </c>
      <c r="C24" s="325" t="s">
        <v>654</v>
      </c>
      <c r="O24" s="348"/>
      <c r="P24" s="348"/>
      <c r="Q24" s="328">
        <f t="shared" ref="Q24:AB24" si="5">Q19+Q21+Q22</f>
        <v>275.77808979549798</v>
      </c>
      <c r="R24" s="328">
        <f t="shared" si="5"/>
        <v>290.62290674340829</v>
      </c>
      <c r="S24" s="328">
        <f t="shared" si="5"/>
        <v>565.51337312367832</v>
      </c>
      <c r="T24" s="328">
        <f t="shared" si="5"/>
        <v>237.87587353148169</v>
      </c>
      <c r="U24" s="328">
        <f t="shared" si="5"/>
        <v>237.4645197174311</v>
      </c>
      <c r="V24" s="328">
        <f t="shared" si="5"/>
        <v>612.33664117016724</v>
      </c>
      <c r="W24" s="328">
        <f t="shared" si="5"/>
        <v>238.41981903500138</v>
      </c>
      <c r="X24" s="328">
        <f t="shared" si="5"/>
        <v>237.15333648132159</v>
      </c>
      <c r="Y24" s="328">
        <f t="shared" si="5"/>
        <v>573.52455425530547</v>
      </c>
      <c r="Z24" s="328">
        <f t="shared" si="5"/>
        <v>239.10441935564938</v>
      </c>
      <c r="AA24" s="328">
        <f t="shared" si="5"/>
        <v>239.04311660181557</v>
      </c>
      <c r="AB24" s="328">
        <f t="shared" si="5"/>
        <v>562.51139710688688</v>
      </c>
      <c r="AC24" s="328"/>
      <c r="AD24" s="328"/>
      <c r="AE24" s="335">
        <f>AE19+AE21+AE22</f>
        <v>4309.3480469176448</v>
      </c>
    </row>
    <row r="25" spans="1:32" s="319" customFormat="1" ht="11.25">
      <c r="A25" s="326"/>
      <c r="Q25" s="328"/>
      <c r="R25" s="328"/>
      <c r="S25" s="328"/>
      <c r="T25" s="328"/>
      <c r="U25" s="328"/>
      <c r="V25" s="328"/>
      <c r="W25" s="328"/>
      <c r="X25" s="328"/>
      <c r="Y25" s="328"/>
      <c r="Z25" s="328"/>
      <c r="AA25" s="328"/>
      <c r="AB25" s="328"/>
      <c r="AC25" s="328"/>
      <c r="AD25" s="328"/>
      <c r="AE25" s="328"/>
    </row>
    <row r="26" spans="1:32" s="319" customFormat="1" ht="11.25">
      <c r="A26" s="326"/>
    </row>
    <row r="27" spans="1:32" s="319" customFormat="1" ht="11.25">
      <c r="A27" s="326"/>
      <c r="C27" s="325" t="s">
        <v>655</v>
      </c>
      <c r="Q27" s="324" t="s">
        <v>680</v>
      </c>
      <c r="R27" s="324" t="s">
        <v>681</v>
      </c>
      <c r="S27" s="324" t="s">
        <v>682</v>
      </c>
      <c r="T27" s="324" t="s">
        <v>683</v>
      </c>
      <c r="U27" s="324" t="s">
        <v>684</v>
      </c>
      <c r="V27" s="324" t="s">
        <v>685</v>
      </c>
      <c r="W27" s="324" t="s">
        <v>686</v>
      </c>
      <c r="X27" s="324" t="s">
        <v>687</v>
      </c>
      <c r="Y27" s="324" t="s">
        <v>688</v>
      </c>
      <c r="Z27" s="324" t="s">
        <v>689</v>
      </c>
      <c r="AA27" s="324" t="s">
        <v>690</v>
      </c>
      <c r="AB27" s="324" t="s">
        <v>691</v>
      </c>
      <c r="AC27" s="323" t="s">
        <v>623</v>
      </c>
      <c r="AD27" s="323"/>
      <c r="AE27" s="324" t="s">
        <v>692</v>
      </c>
    </row>
    <row r="28" spans="1:32" s="319" customFormat="1" ht="11.25">
      <c r="A28" s="326">
        <v>11</v>
      </c>
      <c r="C28" s="327" t="s">
        <v>656</v>
      </c>
      <c r="O28" s="328"/>
      <c r="P28" s="328"/>
      <c r="Q28" s="328">
        <v>0</v>
      </c>
      <c r="R28" s="328">
        <v>0</v>
      </c>
      <c r="S28" s="328">
        <v>0</v>
      </c>
      <c r="T28" s="328">
        <v>0</v>
      </c>
      <c r="U28" s="328">
        <v>0</v>
      </c>
      <c r="V28" s="328">
        <v>0</v>
      </c>
      <c r="W28" s="328">
        <v>0</v>
      </c>
      <c r="X28" s="328">
        <v>0</v>
      </c>
      <c r="Y28" s="328">
        <v>0</v>
      </c>
      <c r="Z28" s="328">
        <v>0</v>
      </c>
      <c r="AA28" s="328">
        <v>0</v>
      </c>
      <c r="AB28" s="328">
        <v>0</v>
      </c>
      <c r="AC28" s="328">
        <f>SUM(Q28:AB28)</f>
        <v>0</v>
      </c>
      <c r="AD28" s="328"/>
      <c r="AE28" s="328">
        <f>SUM(Q28:AB28)</f>
        <v>0</v>
      </c>
    </row>
    <row r="29" spans="1:32" s="319" customFormat="1" ht="11.25">
      <c r="A29" s="326">
        <v>12</v>
      </c>
      <c r="C29" s="327" t="s">
        <v>38</v>
      </c>
      <c r="O29" s="328"/>
      <c r="P29" s="328"/>
      <c r="Q29" s="405">
        <v>41.319952129999997</v>
      </c>
      <c r="R29" s="405">
        <v>41.68475067</v>
      </c>
      <c r="S29" s="405">
        <v>43.367948269999999</v>
      </c>
      <c r="T29" s="405">
        <v>43.105318140000001</v>
      </c>
      <c r="U29" s="405">
        <v>43.097062909999998</v>
      </c>
      <c r="V29" s="405">
        <v>43.774839810000003</v>
      </c>
      <c r="W29" s="405">
        <v>43.312987329999999</v>
      </c>
      <c r="X29" s="405">
        <v>42.438227390000002</v>
      </c>
      <c r="Y29" s="405">
        <v>44.07774654</v>
      </c>
      <c r="Z29" s="405">
        <v>43.409684630000001</v>
      </c>
      <c r="AA29" s="405">
        <v>43.15213043</v>
      </c>
      <c r="AB29" s="405">
        <v>44.318116719999999</v>
      </c>
      <c r="AC29" s="406"/>
      <c r="AD29" s="406"/>
      <c r="AE29" s="406">
        <f t="shared" ref="AE29:AE31" si="6">SUM(Q29:AB29)</f>
        <v>517.05876497000008</v>
      </c>
    </row>
    <row r="30" spans="1:32" s="319" customFormat="1" ht="11.25">
      <c r="A30" s="326">
        <v>13</v>
      </c>
      <c r="C30" s="327" t="s">
        <v>657</v>
      </c>
      <c r="O30" s="328"/>
      <c r="P30" s="328"/>
      <c r="Q30" s="328">
        <v>0</v>
      </c>
      <c r="R30" s="328">
        <v>0</v>
      </c>
      <c r="S30" s="328">
        <v>0</v>
      </c>
      <c r="T30" s="328">
        <v>0</v>
      </c>
      <c r="U30" s="328">
        <v>0</v>
      </c>
      <c r="V30" s="328">
        <v>0</v>
      </c>
      <c r="W30" s="328">
        <v>0</v>
      </c>
      <c r="X30" s="328">
        <v>0</v>
      </c>
      <c r="Y30" s="328">
        <v>0</v>
      </c>
      <c r="Z30" s="328">
        <v>0</v>
      </c>
      <c r="AA30" s="328">
        <v>0</v>
      </c>
      <c r="AB30" s="328">
        <v>0</v>
      </c>
      <c r="AC30" s="328"/>
      <c r="AD30" s="328"/>
      <c r="AE30" s="328">
        <f t="shared" si="6"/>
        <v>0</v>
      </c>
    </row>
    <row r="31" spans="1:32" s="319" customFormat="1" ht="11.25">
      <c r="A31" s="326">
        <v>14</v>
      </c>
      <c r="C31" s="327" t="s">
        <v>658</v>
      </c>
      <c r="O31" s="328"/>
      <c r="P31" s="328"/>
      <c r="Q31" s="328">
        <v>0</v>
      </c>
      <c r="R31" s="328">
        <v>0</v>
      </c>
      <c r="S31" s="328">
        <v>0</v>
      </c>
      <c r="T31" s="328">
        <v>0</v>
      </c>
      <c r="U31" s="328">
        <v>0</v>
      </c>
      <c r="V31" s="328">
        <v>0</v>
      </c>
      <c r="W31" s="328">
        <v>0</v>
      </c>
      <c r="X31" s="328">
        <v>0</v>
      </c>
      <c r="Y31" s="328">
        <v>0</v>
      </c>
      <c r="Z31" s="328">
        <v>0</v>
      </c>
      <c r="AA31" s="328">
        <v>0</v>
      </c>
      <c r="AB31" s="328">
        <v>0</v>
      </c>
      <c r="AC31" s="328">
        <f>SUM(Q31:AB31)</f>
        <v>0</v>
      </c>
      <c r="AD31" s="328"/>
      <c r="AE31" s="328">
        <f t="shared" si="6"/>
        <v>0</v>
      </c>
    </row>
    <row r="32" spans="1:32" s="319" customFormat="1" ht="11.25">
      <c r="A32" s="326">
        <v>15</v>
      </c>
      <c r="C32" s="327" t="s">
        <v>9</v>
      </c>
      <c r="O32" s="328"/>
      <c r="P32" s="328"/>
      <c r="Q32" s="330">
        <f t="shared" ref="Q32:AB32" si="7">Q28+Q31</f>
        <v>0</v>
      </c>
      <c r="R32" s="330">
        <f t="shared" si="7"/>
        <v>0</v>
      </c>
      <c r="S32" s="330">
        <f t="shared" si="7"/>
        <v>0</v>
      </c>
      <c r="T32" s="330">
        <f t="shared" si="7"/>
        <v>0</v>
      </c>
      <c r="U32" s="330">
        <f t="shared" si="7"/>
        <v>0</v>
      </c>
      <c r="V32" s="330">
        <f t="shared" si="7"/>
        <v>0</v>
      </c>
      <c r="W32" s="330">
        <f t="shared" si="7"/>
        <v>0</v>
      </c>
      <c r="X32" s="330">
        <f t="shared" si="7"/>
        <v>0</v>
      </c>
      <c r="Y32" s="330">
        <f t="shared" si="7"/>
        <v>0</v>
      </c>
      <c r="Z32" s="330">
        <f t="shared" si="7"/>
        <v>0</v>
      </c>
      <c r="AA32" s="330">
        <f t="shared" si="7"/>
        <v>0</v>
      </c>
      <c r="AB32" s="330">
        <f t="shared" si="7"/>
        <v>0</v>
      </c>
      <c r="AC32" s="328"/>
      <c r="AD32" s="328"/>
      <c r="AE32" s="330">
        <f>AE28+AE31</f>
        <v>0</v>
      </c>
    </row>
    <row r="33" spans="1:32" s="319" customFormat="1" ht="11.25">
      <c r="A33" s="326"/>
      <c r="C33" s="327"/>
      <c r="O33" s="328"/>
      <c r="P33" s="328"/>
      <c r="Q33" s="346"/>
      <c r="R33" s="346"/>
      <c r="S33" s="346"/>
      <c r="T33" s="346"/>
      <c r="U33" s="346"/>
      <c r="V33" s="346"/>
      <c r="W33" s="346"/>
      <c r="X33" s="346"/>
      <c r="Y33" s="346"/>
      <c r="Z33" s="346"/>
      <c r="AA33" s="346"/>
      <c r="AB33" s="346"/>
      <c r="AC33" s="328"/>
      <c r="AD33" s="328"/>
      <c r="AE33" s="346"/>
    </row>
    <row r="34" spans="1:32" s="332" customFormat="1" ht="11.25">
      <c r="A34" s="331">
        <v>16</v>
      </c>
      <c r="C34" s="333" t="s">
        <v>745</v>
      </c>
      <c r="O34" s="334"/>
      <c r="P34" s="334"/>
      <c r="R34" s="406"/>
      <c r="S34" s="406"/>
      <c r="T34" s="406"/>
      <c r="U34" s="406"/>
      <c r="V34" s="406"/>
      <c r="W34" s="406"/>
      <c r="X34" s="406"/>
      <c r="Y34" s="406"/>
      <c r="Z34" s="406"/>
      <c r="AA34" s="406"/>
      <c r="AB34" s="406"/>
      <c r="AC34" s="334"/>
      <c r="AD34" s="334"/>
      <c r="AE34" s="334">
        <v>68.72</v>
      </c>
    </row>
    <row r="35" spans="1:32" s="319" customFormat="1" ht="11.25">
      <c r="A35" s="326"/>
      <c r="Q35" s="332"/>
      <c r="R35" s="332"/>
      <c r="S35" s="332"/>
      <c r="T35" s="332"/>
      <c r="U35" s="332"/>
      <c r="V35" s="332"/>
      <c r="W35" s="332"/>
      <c r="X35" s="332"/>
      <c r="Y35" s="332"/>
      <c r="Z35" s="332"/>
      <c r="AA35" s="332"/>
      <c r="AB35" s="332"/>
      <c r="AC35" s="332"/>
      <c r="AD35" s="332"/>
      <c r="AE35" s="332"/>
      <c r="AF35" s="332"/>
    </row>
    <row r="36" spans="1:32" s="332" customFormat="1" ht="12.75">
      <c r="Q36" s="426"/>
      <c r="R36" s="426"/>
      <c r="S36" s="426"/>
      <c r="T36" s="426"/>
      <c r="U36" s="426"/>
      <c r="V36" s="426"/>
      <c r="W36" s="426"/>
      <c r="X36" s="426"/>
      <c r="Y36" s="426"/>
      <c r="Z36" s="426"/>
      <c r="AA36" s="426"/>
      <c r="AB36" s="426"/>
    </row>
    <row r="37" spans="1:32" s="319" customFormat="1" ht="12.75">
      <c r="C37" s="327"/>
      <c r="Q37" s="403"/>
      <c r="R37" s="403"/>
      <c r="S37" s="403"/>
      <c r="T37" s="403"/>
      <c r="U37" s="403"/>
      <c r="V37" s="403"/>
      <c r="W37" s="403"/>
      <c r="X37" s="403"/>
      <c r="Y37" s="403"/>
      <c r="Z37" s="403"/>
      <c r="AA37" s="403"/>
      <c r="AB37" s="403"/>
      <c r="AC37" s="332"/>
      <c r="AD37" s="332"/>
      <c r="AE37" s="332"/>
      <c r="AF37" s="332"/>
    </row>
    <row r="38" spans="1:32" s="319" customFormat="1" ht="12.75">
      <c r="C38" s="327"/>
      <c r="Q38" s="402"/>
      <c r="R38" s="402"/>
      <c r="S38" s="402"/>
      <c r="T38" s="402"/>
      <c r="U38" s="402"/>
      <c r="V38" s="402"/>
      <c r="W38" s="402"/>
      <c r="X38" s="402"/>
      <c r="Y38" s="402"/>
      <c r="Z38" s="402"/>
      <c r="AA38" s="402"/>
      <c r="AB38" s="402"/>
      <c r="AC38" s="332"/>
      <c r="AD38" s="332"/>
      <c r="AE38" s="332"/>
      <c r="AF38" s="332"/>
    </row>
    <row r="39" spans="1:32" s="319" customFormat="1" ht="11.25">
      <c r="C39" s="327"/>
      <c r="Q39" s="332"/>
      <c r="R39" s="332"/>
      <c r="S39" s="332"/>
      <c r="T39" s="332"/>
      <c r="U39" s="332"/>
      <c r="V39" s="332"/>
      <c r="W39" s="332"/>
      <c r="X39" s="332"/>
      <c r="Y39" s="332"/>
      <c r="Z39" s="332"/>
      <c r="AA39" s="332"/>
      <c r="AB39" s="332"/>
      <c r="AC39" s="332"/>
      <c r="AD39" s="332"/>
      <c r="AE39" s="332"/>
      <c r="AF39" s="332"/>
    </row>
    <row r="40" spans="1:32" s="319" customFormat="1" ht="11.25">
      <c r="C40" s="327"/>
      <c r="AC40" s="319">
        <f t="shared" ref="AC40:AD40" si="8">AC38/1000</f>
        <v>0</v>
      </c>
      <c r="AD40" s="319">
        <f t="shared" si="8"/>
        <v>0</v>
      </c>
    </row>
    <row r="41" spans="1:32" s="319" customFormat="1" ht="11.25">
      <c r="C41" s="327"/>
    </row>
    <row r="42" spans="1:32" s="319" customFormat="1" ht="11.25">
      <c r="C42" s="327"/>
    </row>
    <row r="43" spans="1:32" s="319" customFormat="1" ht="11.25">
      <c r="C43" s="327"/>
    </row>
  </sheetData>
  <pageMargins left="0.7" right="0.7" top="0.75" bottom="0.75" header="0.3" footer="0.3"/>
  <pageSetup orientation="landscape" r:id="rId1"/>
  <headerFoot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37"/>
  <sheetViews>
    <sheetView workbookViewId="0">
      <selection activeCell="C1" sqref="C1"/>
    </sheetView>
  </sheetViews>
  <sheetFormatPr defaultRowHeight="9"/>
  <cols>
    <col min="1" max="1" width="2.88671875" style="316" customWidth="1"/>
    <col min="2" max="2" width="0.6640625" style="316" customWidth="1"/>
    <col min="3" max="3" width="18" style="337" bestFit="1" customWidth="1"/>
    <col min="4" max="4" width="3.5546875" style="316" hidden="1" customWidth="1"/>
    <col min="5" max="5" width="3.6640625" style="316" hidden="1" customWidth="1"/>
    <col min="6" max="6" width="3.88671875" style="316" hidden="1" customWidth="1"/>
    <col min="7" max="7" width="3.5546875" style="316" hidden="1" customWidth="1"/>
    <col min="8" max="8" width="4" style="316" hidden="1" customWidth="1"/>
    <col min="9" max="9" width="3.5546875" style="316" hidden="1" customWidth="1"/>
    <col min="10" max="10" width="3.44140625" style="316" hidden="1" customWidth="1"/>
    <col min="11" max="12" width="3.6640625" style="316" hidden="1" customWidth="1"/>
    <col min="13" max="13" width="3.5546875" style="316" hidden="1" customWidth="1"/>
    <col min="14" max="14" width="5.6640625" style="316" hidden="1" customWidth="1"/>
    <col min="15" max="15" width="5.6640625" style="316" customWidth="1"/>
    <col min="16" max="16" width="0.88671875" style="316" customWidth="1"/>
    <col min="17" max="28" width="5.6640625" style="316" customWidth="1"/>
    <col min="29" max="29" width="6" style="316" hidden="1" customWidth="1"/>
    <col min="30" max="30" width="0.6640625" style="316" customWidth="1"/>
    <col min="31" max="31" width="6.44140625" style="316" customWidth="1"/>
    <col min="32" max="32" width="2.33203125" style="316" bestFit="1" customWidth="1"/>
    <col min="33" max="16384" width="8.88671875" style="316"/>
  </cols>
  <sheetData>
    <row r="3" spans="1:33" ht="15.75">
      <c r="C3" s="317" t="s">
        <v>618</v>
      </c>
      <c r="AE3" s="318">
        <v>41518</v>
      </c>
    </row>
    <row r="4" spans="1:33" s="319" customFormat="1" ht="15.75">
      <c r="C4" s="320" t="s">
        <v>659</v>
      </c>
      <c r="AE4" s="321" t="s">
        <v>660</v>
      </c>
    </row>
    <row r="5" spans="1:33" s="319" customFormat="1" ht="12.75">
      <c r="C5" s="320" t="s">
        <v>678</v>
      </c>
    </row>
    <row r="6" spans="1:33" s="319" customFormat="1" ht="11.25">
      <c r="C6" s="322"/>
    </row>
    <row r="7" spans="1:33" s="323" customFormat="1" ht="11.25">
      <c r="AE7" s="323" t="s">
        <v>621</v>
      </c>
    </row>
    <row r="8" spans="1:33" s="323" customFormat="1" ht="11.25" customHeight="1">
      <c r="A8" s="324" t="s">
        <v>4</v>
      </c>
      <c r="O8" s="324" t="s">
        <v>622</v>
      </c>
      <c r="P8" s="324"/>
      <c r="Q8" s="324" t="s">
        <v>680</v>
      </c>
      <c r="R8" s="324" t="s">
        <v>681</v>
      </c>
      <c r="S8" s="324" t="s">
        <v>682</v>
      </c>
      <c r="T8" s="324" t="s">
        <v>683</v>
      </c>
      <c r="U8" s="324" t="s">
        <v>684</v>
      </c>
      <c r="V8" s="324" t="s">
        <v>685</v>
      </c>
      <c r="W8" s="324" t="s">
        <v>686</v>
      </c>
      <c r="X8" s="324" t="s">
        <v>687</v>
      </c>
      <c r="Y8" s="324" t="s">
        <v>688</v>
      </c>
      <c r="Z8" s="324" t="s">
        <v>689</v>
      </c>
      <c r="AA8" s="324" t="s">
        <v>690</v>
      </c>
      <c r="AB8" s="324" t="s">
        <v>691</v>
      </c>
      <c r="AC8" s="323" t="s">
        <v>623</v>
      </c>
      <c r="AE8" s="324" t="s">
        <v>624</v>
      </c>
    </row>
    <row r="9" spans="1:33" s="319" customFormat="1" ht="11.25">
      <c r="A9" s="326"/>
      <c r="C9" s="325"/>
      <c r="O9" s="349"/>
      <c r="P9" s="349"/>
      <c r="Q9" s="349"/>
      <c r="R9" s="349"/>
      <c r="S9" s="349"/>
      <c r="T9" s="349"/>
      <c r="U9" s="349"/>
      <c r="V9" s="349"/>
      <c r="W9" s="349"/>
      <c r="X9" s="349"/>
      <c r="Y9" s="349"/>
      <c r="Z9" s="349"/>
      <c r="AA9" s="349"/>
      <c r="AB9" s="349"/>
      <c r="AC9" s="328"/>
      <c r="AD9" s="328"/>
      <c r="AE9" s="328"/>
    </row>
    <row r="10" spans="1:33" s="319" customFormat="1" ht="11.25">
      <c r="A10" s="326">
        <v>1</v>
      </c>
      <c r="C10" s="327" t="s">
        <v>661</v>
      </c>
      <c r="O10" s="346">
        <v>59818.4800325865</v>
      </c>
      <c r="P10" s="346"/>
      <c r="Q10" s="346">
        <v>61051.448785942201</v>
      </c>
      <c r="R10" s="346">
        <v>62197.9212471141</v>
      </c>
      <c r="S10" s="346">
        <v>95100.759399577801</v>
      </c>
      <c r="T10" s="346">
        <v>96140.237586573203</v>
      </c>
      <c r="U10" s="346">
        <v>97279.979529592296</v>
      </c>
      <c r="V10" s="346">
        <v>130494.088822705</v>
      </c>
      <c r="W10" s="346">
        <v>132348.844756718</v>
      </c>
      <c r="X10" s="346">
        <v>134216.48538666501</v>
      </c>
      <c r="Y10" s="346">
        <v>167525.10349638399</v>
      </c>
      <c r="Z10" s="346">
        <v>168801.04938480299</v>
      </c>
      <c r="AA10" s="346">
        <v>169827.799144082</v>
      </c>
      <c r="AB10" s="346">
        <v>202670.237782285</v>
      </c>
      <c r="AC10" s="328">
        <f t="shared" ref="AC10:AC11" si="0">AVERAGE(O10:AB10)</f>
        <v>121344.03348884832</v>
      </c>
      <c r="AD10" s="328"/>
      <c r="AE10" s="328">
        <f>ROUND((AVERAGE(O10:AB10)),0)</f>
        <v>121344</v>
      </c>
      <c r="AF10" s="350"/>
      <c r="AG10" s="352"/>
    </row>
    <row r="11" spans="1:33" s="319" customFormat="1" ht="11.25">
      <c r="A11" s="326">
        <v>2</v>
      </c>
      <c r="C11" s="327" t="s">
        <v>662</v>
      </c>
      <c r="O11" s="346">
        <v>56000</v>
      </c>
      <c r="P11" s="346"/>
      <c r="Q11" s="346">
        <v>56000</v>
      </c>
      <c r="R11" s="346">
        <v>56000</v>
      </c>
      <c r="S11" s="346">
        <v>56000</v>
      </c>
      <c r="T11" s="346">
        <v>56000</v>
      </c>
      <c r="U11" s="346">
        <v>56000</v>
      </c>
      <c r="V11" s="346">
        <v>113000</v>
      </c>
      <c r="W11" s="346">
        <v>113000</v>
      </c>
      <c r="X11" s="346">
        <v>113000</v>
      </c>
      <c r="Y11" s="346">
        <v>113000</v>
      </c>
      <c r="Z11" s="346">
        <v>113000</v>
      </c>
      <c r="AA11" s="346">
        <v>113000</v>
      </c>
      <c r="AB11" s="346">
        <v>170000</v>
      </c>
      <c r="AC11" s="328">
        <f t="shared" si="0"/>
        <v>91076.923076923078</v>
      </c>
      <c r="AD11" s="328"/>
      <c r="AE11" s="328">
        <f>ROUND((AVERAGE(O11:AB11)),0)</f>
        <v>91077</v>
      </c>
      <c r="AF11" s="350"/>
      <c r="AG11" s="352"/>
    </row>
    <row r="12" spans="1:33" s="319" customFormat="1" ht="11.25">
      <c r="A12" s="326">
        <v>3</v>
      </c>
      <c r="C12" s="327" t="s">
        <v>663</v>
      </c>
      <c r="O12" s="330">
        <f>O10+O11</f>
        <v>115818.48003258649</v>
      </c>
      <c r="P12" s="330"/>
      <c r="Q12" s="330">
        <f t="shared" ref="Q12:AE12" si="1">Q10+Q11</f>
        <v>117051.44878594219</v>
      </c>
      <c r="R12" s="330">
        <f t="shared" si="1"/>
        <v>118197.92124711411</v>
      </c>
      <c r="S12" s="330">
        <f t="shared" si="1"/>
        <v>151100.7593995778</v>
      </c>
      <c r="T12" s="330">
        <f t="shared" si="1"/>
        <v>152140.2375865732</v>
      </c>
      <c r="U12" s="330">
        <f t="shared" si="1"/>
        <v>153279.9795295923</v>
      </c>
      <c r="V12" s="330">
        <f t="shared" si="1"/>
        <v>243494.088822705</v>
      </c>
      <c r="W12" s="330">
        <f t="shared" si="1"/>
        <v>245348.844756718</v>
      </c>
      <c r="X12" s="330">
        <f t="shared" si="1"/>
        <v>247216.48538666501</v>
      </c>
      <c r="Y12" s="330">
        <f t="shared" si="1"/>
        <v>280525.10349638399</v>
      </c>
      <c r="Z12" s="330">
        <f t="shared" si="1"/>
        <v>281801.04938480299</v>
      </c>
      <c r="AA12" s="330">
        <f t="shared" si="1"/>
        <v>282827.799144082</v>
      </c>
      <c r="AB12" s="330">
        <f t="shared" si="1"/>
        <v>372670.23778228497</v>
      </c>
      <c r="AC12" s="330">
        <f t="shared" si="1"/>
        <v>212420.9565657714</v>
      </c>
      <c r="AD12" s="328"/>
      <c r="AE12" s="330">
        <f t="shared" si="1"/>
        <v>212421</v>
      </c>
    </row>
    <row r="13" spans="1:33" s="319" customFormat="1" ht="11.25">
      <c r="A13" s="326"/>
      <c r="C13" s="327"/>
      <c r="O13" s="346"/>
      <c r="P13" s="346"/>
      <c r="Q13" s="346"/>
      <c r="R13" s="346"/>
      <c r="S13" s="346"/>
      <c r="T13" s="346"/>
      <c r="U13" s="346"/>
      <c r="V13" s="346"/>
      <c r="W13" s="346"/>
      <c r="X13" s="346"/>
      <c r="Y13" s="346"/>
      <c r="Z13" s="346"/>
      <c r="AA13" s="346"/>
      <c r="AB13" s="346"/>
      <c r="AC13" s="346"/>
      <c r="AD13" s="328"/>
      <c r="AE13" s="346"/>
    </row>
    <row r="14" spans="1:33">
      <c r="A14" s="336"/>
      <c r="O14" s="338"/>
      <c r="P14" s="338"/>
      <c r="Q14" s="338"/>
      <c r="R14" s="338"/>
      <c r="S14" s="338"/>
      <c r="T14" s="338"/>
      <c r="U14" s="338"/>
      <c r="V14" s="338"/>
      <c r="W14" s="338"/>
      <c r="X14" s="338"/>
      <c r="Y14" s="338"/>
      <c r="Z14" s="338"/>
      <c r="AA14" s="338"/>
      <c r="AB14" s="338"/>
      <c r="AC14" s="338"/>
      <c r="AD14" s="338"/>
      <c r="AE14" s="338"/>
    </row>
    <row r="15" spans="1:33" ht="11.25">
      <c r="A15" s="336"/>
      <c r="O15" s="338"/>
      <c r="P15" s="338"/>
      <c r="Q15" s="324" t="s">
        <v>680</v>
      </c>
      <c r="R15" s="324" t="s">
        <v>681</v>
      </c>
      <c r="S15" s="324" t="s">
        <v>682</v>
      </c>
      <c r="T15" s="324" t="s">
        <v>683</v>
      </c>
      <c r="U15" s="324" t="s">
        <v>684</v>
      </c>
      <c r="V15" s="324" t="s">
        <v>685</v>
      </c>
      <c r="W15" s="324" t="s">
        <v>686</v>
      </c>
      <c r="X15" s="324" t="s">
        <v>687</v>
      </c>
      <c r="Y15" s="324" t="s">
        <v>688</v>
      </c>
      <c r="Z15" s="324" t="s">
        <v>689</v>
      </c>
      <c r="AA15" s="324" t="s">
        <v>690</v>
      </c>
      <c r="AB15" s="324" t="s">
        <v>691</v>
      </c>
      <c r="AC15" s="323" t="s">
        <v>623</v>
      </c>
      <c r="AD15" s="323"/>
      <c r="AE15" s="324" t="s">
        <v>693</v>
      </c>
    </row>
    <row r="16" spans="1:33" ht="11.25">
      <c r="A16" s="326">
        <v>4</v>
      </c>
      <c r="B16" s="319"/>
      <c r="C16" s="327" t="s">
        <v>664</v>
      </c>
      <c r="D16" s="319"/>
      <c r="E16" s="319"/>
      <c r="F16" s="319"/>
      <c r="G16" s="319"/>
      <c r="H16" s="319"/>
      <c r="I16" s="319"/>
      <c r="J16" s="319"/>
      <c r="K16" s="319"/>
      <c r="L16" s="319"/>
      <c r="M16" s="319"/>
      <c r="N16" s="319"/>
      <c r="O16" s="328"/>
      <c r="P16" s="328"/>
      <c r="Q16" s="401">
        <v>171.70916666666599</v>
      </c>
      <c r="R16" s="401">
        <v>171.70916666666599</v>
      </c>
      <c r="S16" s="401">
        <v>171.70916666666599</v>
      </c>
      <c r="T16" s="401">
        <v>171.70916666666599</v>
      </c>
      <c r="U16" s="401">
        <v>171.70916666666599</v>
      </c>
      <c r="V16" s="401">
        <v>352.20916666666602</v>
      </c>
      <c r="W16" s="401">
        <v>352.20916666666602</v>
      </c>
      <c r="X16" s="401">
        <v>352.20916666666602</v>
      </c>
      <c r="Y16" s="401">
        <v>352.20916666666602</v>
      </c>
      <c r="Z16" s="401">
        <v>352.20916666666602</v>
      </c>
      <c r="AA16" s="401">
        <v>352.20916666666602</v>
      </c>
      <c r="AB16" s="401">
        <v>542.20916666666596</v>
      </c>
      <c r="AC16" s="354">
        <v>3514.0099999999902</v>
      </c>
      <c r="AD16" s="328"/>
      <c r="AE16" s="328">
        <f>SUM(O16:AB16)</f>
        <v>3514.0099999999925</v>
      </c>
    </row>
    <row r="17" spans="1:28">
      <c r="A17" s="336"/>
      <c r="O17" s="344"/>
      <c r="P17" s="344"/>
      <c r="Q17" s="344"/>
      <c r="R17" s="344"/>
      <c r="S17" s="344"/>
      <c r="T17" s="344"/>
      <c r="U17" s="344"/>
      <c r="V17" s="344"/>
      <c r="W17" s="344"/>
      <c r="X17" s="344"/>
      <c r="Y17" s="344"/>
      <c r="Z17" s="344"/>
      <c r="AA17" s="344"/>
      <c r="AB17" s="344"/>
    </row>
    <row r="18" spans="1:28">
      <c r="A18" s="336"/>
      <c r="O18" s="344"/>
      <c r="P18" s="344"/>
      <c r="Q18" s="344"/>
      <c r="R18" s="344"/>
      <c r="S18" s="344"/>
      <c r="T18" s="344"/>
      <c r="U18" s="344"/>
      <c r="V18" s="344"/>
      <c r="W18" s="344"/>
      <c r="X18" s="344"/>
      <c r="Y18" s="344"/>
      <c r="Z18" s="344"/>
      <c r="AA18" s="344"/>
      <c r="AB18" s="344"/>
    </row>
    <row r="19" spans="1:28">
      <c r="A19" s="336"/>
      <c r="O19" s="344"/>
      <c r="P19" s="344"/>
      <c r="Q19" s="344"/>
      <c r="R19" s="344"/>
      <c r="S19" s="344"/>
      <c r="T19" s="344"/>
      <c r="U19" s="344"/>
      <c r="V19" s="344"/>
      <c r="W19" s="344"/>
      <c r="X19" s="344"/>
      <c r="Y19" s="344"/>
      <c r="Z19" s="344"/>
      <c r="AA19" s="344"/>
      <c r="AB19" s="344"/>
    </row>
    <row r="20" spans="1:28">
      <c r="A20" s="336"/>
      <c r="O20" s="344"/>
      <c r="P20" s="344"/>
      <c r="Q20" s="344"/>
      <c r="R20" s="344"/>
      <c r="S20" s="344"/>
      <c r="T20" s="344"/>
      <c r="U20" s="344"/>
      <c r="V20" s="344"/>
      <c r="W20" s="344"/>
      <c r="X20" s="344"/>
      <c r="Y20" s="344"/>
      <c r="Z20" s="344"/>
      <c r="AA20" s="344"/>
      <c r="AB20" s="344"/>
    </row>
    <row r="21" spans="1:28">
      <c r="A21" s="336"/>
      <c r="O21" s="344"/>
      <c r="P21" s="344"/>
      <c r="Q21" s="344"/>
      <c r="R21" s="344"/>
      <c r="S21" s="344"/>
      <c r="T21" s="344"/>
      <c r="U21" s="344"/>
      <c r="V21" s="344"/>
      <c r="W21" s="344"/>
      <c r="X21" s="344"/>
      <c r="Y21" s="344"/>
      <c r="Z21" s="344"/>
      <c r="AA21" s="344"/>
      <c r="AB21" s="344"/>
    </row>
    <row r="22" spans="1:28">
      <c r="A22" s="336"/>
      <c r="O22" s="344"/>
      <c r="P22" s="344"/>
      <c r="Q22" s="344"/>
      <c r="R22" s="344"/>
      <c r="S22" s="344"/>
      <c r="T22" s="344"/>
      <c r="U22" s="344"/>
      <c r="V22" s="344"/>
      <c r="W22" s="344"/>
      <c r="X22" s="344"/>
      <c r="Y22" s="344"/>
      <c r="Z22" s="344"/>
      <c r="AA22" s="344"/>
      <c r="AB22" s="344"/>
    </row>
    <row r="23" spans="1:28">
      <c r="A23" s="336"/>
      <c r="O23" s="344"/>
      <c r="P23" s="344"/>
      <c r="Q23" s="344"/>
      <c r="R23" s="344"/>
      <c r="S23" s="344"/>
      <c r="T23" s="344"/>
      <c r="U23" s="344"/>
      <c r="V23" s="344"/>
      <c r="W23" s="344"/>
      <c r="X23" s="344"/>
      <c r="Y23" s="344"/>
      <c r="Z23" s="344"/>
      <c r="AA23" s="344"/>
      <c r="AB23" s="344"/>
    </row>
    <row r="24" spans="1:28">
      <c r="A24" s="336"/>
      <c r="O24" s="344"/>
      <c r="P24" s="344"/>
      <c r="Q24" s="344"/>
      <c r="R24" s="344"/>
      <c r="S24" s="344"/>
      <c r="T24" s="344"/>
      <c r="U24" s="344"/>
      <c r="V24" s="344"/>
      <c r="W24" s="344"/>
      <c r="X24" s="344"/>
      <c r="Y24" s="344"/>
      <c r="Z24" s="344"/>
      <c r="AA24" s="344"/>
      <c r="AB24" s="344"/>
    </row>
    <row r="25" spans="1:28">
      <c r="A25" s="336"/>
      <c r="O25" s="344"/>
      <c r="P25" s="344"/>
      <c r="Q25" s="344"/>
      <c r="R25" s="344"/>
      <c r="S25" s="344"/>
      <c r="T25" s="344"/>
      <c r="U25" s="344"/>
      <c r="V25" s="344"/>
      <c r="W25" s="344"/>
      <c r="X25" s="344"/>
      <c r="Y25" s="344"/>
      <c r="Z25" s="344"/>
      <c r="AA25" s="344"/>
      <c r="AB25" s="344"/>
    </row>
    <row r="26" spans="1:28">
      <c r="A26" s="336"/>
      <c r="O26" s="344"/>
      <c r="P26" s="344"/>
      <c r="Q26" s="344"/>
      <c r="R26" s="344"/>
      <c r="S26" s="344"/>
      <c r="T26" s="344"/>
      <c r="U26" s="344"/>
      <c r="V26" s="344"/>
      <c r="W26" s="344"/>
      <c r="X26" s="344"/>
      <c r="Y26" s="344"/>
      <c r="Z26" s="344"/>
      <c r="AA26" s="344"/>
      <c r="AB26" s="344"/>
    </row>
    <row r="27" spans="1:28">
      <c r="A27" s="336"/>
      <c r="O27" s="344"/>
      <c r="P27" s="344"/>
      <c r="Q27" s="344"/>
      <c r="R27" s="344"/>
      <c r="S27" s="344"/>
      <c r="T27" s="344"/>
      <c r="U27" s="344"/>
      <c r="V27" s="344"/>
      <c r="W27" s="344"/>
      <c r="X27" s="344"/>
      <c r="Y27" s="344"/>
      <c r="Z27" s="344"/>
      <c r="AA27" s="344"/>
      <c r="AB27" s="344"/>
    </row>
    <row r="28" spans="1:28">
      <c r="A28" s="336"/>
      <c r="O28" s="344"/>
      <c r="P28" s="344"/>
      <c r="Q28" s="344"/>
      <c r="R28" s="344"/>
      <c r="S28" s="344"/>
      <c r="T28" s="344"/>
      <c r="U28" s="344"/>
      <c r="V28" s="344"/>
      <c r="W28" s="344"/>
      <c r="X28" s="344"/>
      <c r="Y28" s="344"/>
      <c r="Z28" s="344"/>
      <c r="AA28" s="344"/>
      <c r="AB28" s="344"/>
    </row>
    <row r="29" spans="1:28">
      <c r="A29" s="336"/>
      <c r="O29" s="344"/>
      <c r="P29" s="344"/>
      <c r="Q29" s="344"/>
      <c r="R29" s="344"/>
      <c r="S29" s="344"/>
      <c r="T29" s="344"/>
      <c r="U29" s="344"/>
      <c r="V29" s="344"/>
      <c r="W29" s="344"/>
      <c r="X29" s="344"/>
      <c r="Y29" s="344"/>
      <c r="Z29" s="344"/>
      <c r="AA29" s="344"/>
      <c r="AB29" s="344"/>
    </row>
    <row r="30" spans="1:28">
      <c r="A30" s="336"/>
      <c r="O30" s="344"/>
      <c r="P30" s="344"/>
      <c r="Q30" s="344"/>
      <c r="R30" s="344"/>
      <c r="S30" s="344"/>
      <c r="T30" s="344"/>
      <c r="U30" s="344"/>
      <c r="V30" s="344"/>
      <c r="W30" s="344"/>
      <c r="X30" s="344"/>
      <c r="Y30" s="344"/>
      <c r="Z30" s="344"/>
      <c r="AA30" s="344"/>
      <c r="AB30" s="344"/>
    </row>
    <row r="31" spans="1:28">
      <c r="A31" s="336"/>
      <c r="O31" s="344"/>
      <c r="P31" s="344"/>
      <c r="Q31" s="344"/>
      <c r="R31" s="344"/>
      <c r="S31" s="344"/>
      <c r="T31" s="344"/>
      <c r="U31" s="344"/>
      <c r="V31" s="344"/>
      <c r="W31" s="344"/>
      <c r="X31" s="344"/>
      <c r="Y31" s="344"/>
      <c r="Z31" s="344"/>
      <c r="AA31" s="344"/>
      <c r="AB31" s="344"/>
    </row>
    <row r="32" spans="1:28">
      <c r="A32" s="336"/>
      <c r="O32" s="344"/>
      <c r="P32" s="344"/>
      <c r="Q32" s="344"/>
      <c r="R32" s="344"/>
      <c r="S32" s="344"/>
      <c r="T32" s="344"/>
      <c r="U32" s="344"/>
      <c r="V32" s="344"/>
      <c r="W32" s="344"/>
      <c r="X32" s="344"/>
      <c r="Y32" s="344"/>
      <c r="Z32" s="344"/>
      <c r="AA32" s="344"/>
      <c r="AB32" s="344"/>
    </row>
    <row r="33" spans="1:31">
      <c r="A33" s="336"/>
      <c r="O33" s="344"/>
      <c r="P33" s="344"/>
      <c r="Q33" s="344"/>
      <c r="R33" s="344"/>
      <c r="S33" s="344"/>
      <c r="T33" s="344"/>
      <c r="U33" s="344"/>
      <c r="V33" s="344"/>
      <c r="W33" s="344"/>
      <c r="X33" s="344"/>
      <c r="Y33" s="344"/>
      <c r="Z33" s="344"/>
      <c r="AA33" s="344"/>
      <c r="AB33" s="344"/>
    </row>
    <row r="34" spans="1:31">
      <c r="A34" s="336"/>
      <c r="O34" s="344"/>
      <c r="P34" s="344"/>
      <c r="Q34" s="344"/>
      <c r="R34" s="344"/>
      <c r="S34" s="344"/>
      <c r="T34" s="344"/>
      <c r="U34" s="344"/>
      <c r="V34" s="344"/>
      <c r="W34" s="344"/>
      <c r="X34" s="344"/>
      <c r="Y34" s="344"/>
      <c r="Z34" s="344"/>
      <c r="AA34" s="344"/>
      <c r="AB34" s="344"/>
    </row>
    <row r="35" spans="1:31">
      <c r="C35" s="345"/>
    </row>
    <row r="37" spans="1:31">
      <c r="O37" s="351"/>
      <c r="AE37" s="351"/>
    </row>
  </sheetData>
  <pageMargins left="0.7" right="0.7" top="0.75" bottom="0.75" header="0.3" footer="0.3"/>
  <pageSetup scale="99" orientation="landscape" r:id="rId1"/>
  <headerFoot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heetViews>
  <sheetFormatPr defaultRowHeight="15"/>
  <cols>
    <col min="1" max="1" width="10.88671875" customWidth="1"/>
    <col min="2" max="2" width="7.21875" bestFit="1" customWidth="1"/>
    <col min="3" max="3" width="8.33203125" bestFit="1" customWidth="1"/>
    <col min="4" max="4" width="5.6640625" bestFit="1" customWidth="1"/>
    <col min="5" max="15" width="6.5546875" bestFit="1" customWidth="1"/>
  </cols>
  <sheetData>
    <row r="1" spans="1:15" s="374" customFormat="1">
      <c r="A1" s="453"/>
      <c r="B1" s="454"/>
      <c r="C1" s="454"/>
      <c r="D1" s="454"/>
      <c r="E1" s="454"/>
      <c r="F1" s="454"/>
      <c r="G1" s="454"/>
      <c r="H1" s="454"/>
      <c r="I1" s="454"/>
      <c r="J1" s="454"/>
      <c r="K1" s="454"/>
      <c r="L1" s="454"/>
      <c r="M1" s="454"/>
      <c r="N1" s="454"/>
      <c r="O1" s="455"/>
    </row>
    <row r="2" spans="1:15" ht="18.75">
      <c r="A2" s="411" t="s">
        <v>733</v>
      </c>
      <c r="B2" s="412"/>
      <c r="C2" s="413"/>
      <c r="D2" s="412"/>
      <c r="E2" s="412"/>
      <c r="F2" s="412"/>
      <c r="G2" s="412"/>
      <c r="H2" s="412"/>
      <c r="I2" s="412"/>
      <c r="J2" s="412"/>
      <c r="K2" s="412"/>
      <c r="L2" s="412"/>
      <c r="M2" s="412"/>
      <c r="N2" s="412"/>
      <c r="O2" s="414"/>
    </row>
    <row r="3" spans="1:15" ht="18.75">
      <c r="A3" s="411"/>
      <c r="B3" s="412"/>
      <c r="C3" s="413"/>
      <c r="D3" s="412"/>
      <c r="E3" s="412"/>
      <c r="F3" s="412"/>
      <c r="G3" s="412"/>
      <c r="H3" s="412"/>
      <c r="I3" s="412"/>
      <c r="J3" s="412"/>
      <c r="K3" s="412"/>
      <c r="L3" s="412"/>
      <c r="M3" s="412"/>
      <c r="N3" s="412"/>
      <c r="O3" s="414"/>
    </row>
    <row r="4" spans="1:15" ht="15.75">
      <c r="A4" s="415"/>
      <c r="B4" s="416" t="s">
        <v>734</v>
      </c>
      <c r="C4" s="463">
        <v>41639</v>
      </c>
      <c r="D4" s="416" t="s">
        <v>666</v>
      </c>
      <c r="E4" s="416" t="s">
        <v>667</v>
      </c>
      <c r="F4" s="416" t="s">
        <v>668</v>
      </c>
      <c r="G4" s="416" t="s">
        <v>669</v>
      </c>
      <c r="H4" s="416" t="s">
        <v>670</v>
      </c>
      <c r="I4" s="416" t="s">
        <v>671</v>
      </c>
      <c r="J4" s="416" t="s">
        <v>672</v>
      </c>
      <c r="K4" s="416" t="s">
        <v>673</v>
      </c>
      <c r="L4" s="416" t="s">
        <v>674</v>
      </c>
      <c r="M4" s="416" t="s">
        <v>675</v>
      </c>
      <c r="N4" s="416" t="s">
        <v>676</v>
      </c>
      <c r="O4" s="417" t="s">
        <v>677</v>
      </c>
    </row>
    <row r="5" spans="1:15" ht="15.75">
      <c r="A5" s="418" t="s">
        <v>735</v>
      </c>
      <c r="B5" s="412"/>
      <c r="C5" s="413"/>
      <c r="D5" s="412"/>
      <c r="E5" s="412"/>
      <c r="F5" s="412"/>
      <c r="G5" s="412"/>
      <c r="H5" s="412"/>
      <c r="I5" s="412"/>
      <c r="J5" s="412"/>
      <c r="K5" s="412"/>
      <c r="L5" s="412"/>
      <c r="M5" s="412"/>
      <c r="N5" s="412"/>
      <c r="O5" s="414"/>
    </row>
    <row r="6" spans="1:15">
      <c r="A6" s="429" t="s">
        <v>736</v>
      </c>
      <c r="B6" s="430">
        <f>AVERAGE(C6:O6)</f>
        <v>1357.13681</v>
      </c>
      <c r="C6" s="431">
        <v>1357.13681</v>
      </c>
      <c r="D6" s="431">
        <v>1357.13681</v>
      </c>
      <c r="E6" s="431">
        <v>1357.13681</v>
      </c>
      <c r="F6" s="431">
        <v>1357.13681</v>
      </c>
      <c r="G6" s="431">
        <v>1357.13681</v>
      </c>
      <c r="H6" s="431">
        <v>1357.13681</v>
      </c>
      <c r="I6" s="431">
        <v>1357.13681</v>
      </c>
      <c r="J6" s="431">
        <v>1357.13681</v>
      </c>
      <c r="K6" s="431">
        <v>1357.13681</v>
      </c>
      <c r="L6" s="431">
        <v>1357.13681</v>
      </c>
      <c r="M6" s="431">
        <v>1357.13681</v>
      </c>
      <c r="N6" s="431">
        <v>1357.13681</v>
      </c>
      <c r="O6" s="432">
        <v>1357.13681</v>
      </c>
    </row>
    <row r="7" spans="1:15">
      <c r="A7" s="429" t="s">
        <v>737</v>
      </c>
      <c r="B7" s="430">
        <f t="shared" ref="B7:B13" si="0">AVERAGE(C7:O7)</f>
        <v>800.36048999999991</v>
      </c>
      <c r="C7" s="431">
        <v>800.36049000000003</v>
      </c>
      <c r="D7" s="431">
        <v>800.36049000000003</v>
      </c>
      <c r="E7" s="431">
        <v>800.36049000000003</v>
      </c>
      <c r="F7" s="431">
        <v>800.36049000000003</v>
      </c>
      <c r="G7" s="431">
        <v>800.36049000000003</v>
      </c>
      <c r="H7" s="431">
        <v>800.36049000000003</v>
      </c>
      <c r="I7" s="431">
        <v>800.36049000000003</v>
      </c>
      <c r="J7" s="431">
        <v>800.36049000000003</v>
      </c>
      <c r="K7" s="431">
        <v>800.36049000000003</v>
      </c>
      <c r="L7" s="431">
        <v>800.36049000000003</v>
      </c>
      <c r="M7" s="431">
        <v>800.36049000000003</v>
      </c>
      <c r="N7" s="431">
        <v>800.36049000000003</v>
      </c>
      <c r="O7" s="432">
        <v>800.36049000000003</v>
      </c>
    </row>
    <row r="8" spans="1:15">
      <c r="A8" s="429" t="s">
        <v>738</v>
      </c>
      <c r="B8" s="430">
        <f t="shared" si="0"/>
        <v>519.42046153846161</v>
      </c>
      <c r="C8" s="431">
        <v>0</v>
      </c>
      <c r="D8" s="431">
        <v>0</v>
      </c>
      <c r="E8" s="431">
        <v>0</v>
      </c>
      <c r="F8" s="431">
        <v>0</v>
      </c>
      <c r="G8" s="431">
        <v>750.274</v>
      </c>
      <c r="H8" s="431">
        <v>750.274</v>
      </c>
      <c r="I8" s="431">
        <v>750.274</v>
      </c>
      <c r="J8" s="431">
        <v>750.274</v>
      </c>
      <c r="K8" s="431">
        <v>750.274</v>
      </c>
      <c r="L8" s="431">
        <v>750.274</v>
      </c>
      <c r="M8" s="431">
        <v>750.274</v>
      </c>
      <c r="N8" s="431">
        <v>750.274</v>
      </c>
      <c r="O8" s="432">
        <v>750.274</v>
      </c>
    </row>
    <row r="9" spans="1:15">
      <c r="A9" s="429" t="s">
        <v>739</v>
      </c>
      <c r="B9" s="430">
        <f t="shared" si="0"/>
        <v>7709.953840000001</v>
      </c>
      <c r="C9" s="431">
        <v>7709.9538400000001</v>
      </c>
      <c r="D9" s="431">
        <v>7709.9538400000001</v>
      </c>
      <c r="E9" s="431">
        <v>7709.9538400000001</v>
      </c>
      <c r="F9" s="431">
        <v>7709.9538400000001</v>
      </c>
      <c r="G9" s="431">
        <v>7709.9538400000001</v>
      </c>
      <c r="H9" s="431">
        <v>7709.9538400000001</v>
      </c>
      <c r="I9" s="431">
        <v>7709.9538400000001</v>
      </c>
      <c r="J9" s="431">
        <v>7709.9538400000001</v>
      </c>
      <c r="K9" s="431">
        <v>7709.9538400000001</v>
      </c>
      <c r="L9" s="431">
        <v>7709.9538400000001</v>
      </c>
      <c r="M9" s="431">
        <v>7709.9538400000001</v>
      </c>
      <c r="N9" s="431">
        <v>7709.9538400000001</v>
      </c>
      <c r="O9" s="432">
        <v>7709.9538400000001</v>
      </c>
    </row>
    <row r="10" spans="1:15">
      <c r="A10" s="429" t="s">
        <v>740</v>
      </c>
      <c r="B10" s="430">
        <f t="shared" si="0"/>
        <v>3224.1796472999999</v>
      </c>
      <c r="C10" s="431">
        <v>3224.1796472999999</v>
      </c>
      <c r="D10" s="431">
        <v>3224.1796472999999</v>
      </c>
      <c r="E10" s="431">
        <v>3224.1796472999999</v>
      </c>
      <c r="F10" s="431">
        <v>3224.1796472999999</v>
      </c>
      <c r="G10" s="431">
        <v>3224.1796472999999</v>
      </c>
      <c r="H10" s="431">
        <v>3224.1796472999999</v>
      </c>
      <c r="I10" s="431">
        <v>3224.1796472999999</v>
      </c>
      <c r="J10" s="431">
        <v>3224.1796472999999</v>
      </c>
      <c r="K10" s="431">
        <v>3224.1796472999999</v>
      </c>
      <c r="L10" s="431">
        <v>3224.1796472999999</v>
      </c>
      <c r="M10" s="431">
        <v>3224.1796472999999</v>
      </c>
      <c r="N10" s="431">
        <v>3224.1796472999999</v>
      </c>
      <c r="O10" s="432">
        <v>3224.1796472999999</v>
      </c>
    </row>
    <row r="11" spans="1:15">
      <c r="A11" s="429" t="s">
        <v>741</v>
      </c>
      <c r="B11" s="430">
        <f t="shared" si="0"/>
        <v>2812.78107</v>
      </c>
      <c r="C11" s="431">
        <v>2812.7810699999995</v>
      </c>
      <c r="D11" s="431">
        <v>2812.7810699999995</v>
      </c>
      <c r="E11" s="431">
        <v>2812.7810699999995</v>
      </c>
      <c r="F11" s="431">
        <v>2812.7810699999995</v>
      </c>
      <c r="G11" s="431">
        <v>2812.7810699999995</v>
      </c>
      <c r="H11" s="431">
        <v>2812.7810699999995</v>
      </c>
      <c r="I11" s="431">
        <v>2812.7810699999995</v>
      </c>
      <c r="J11" s="431">
        <v>2812.7810699999995</v>
      </c>
      <c r="K11" s="431">
        <v>2812.7810699999995</v>
      </c>
      <c r="L11" s="431">
        <v>2812.7810699999995</v>
      </c>
      <c r="M11" s="431">
        <v>2812.7810699999995</v>
      </c>
      <c r="N11" s="431">
        <v>2812.7810699999995</v>
      </c>
      <c r="O11" s="432">
        <v>2812.7810699999995</v>
      </c>
    </row>
    <row r="12" spans="1:15">
      <c r="A12" s="429" t="s">
        <v>742</v>
      </c>
      <c r="B12" s="430">
        <f t="shared" si="0"/>
        <v>769.37104999999985</v>
      </c>
      <c r="C12" s="431">
        <v>769.37105000000008</v>
      </c>
      <c r="D12" s="431">
        <v>769.37105000000008</v>
      </c>
      <c r="E12" s="431">
        <v>769.37105000000008</v>
      </c>
      <c r="F12" s="431">
        <v>769.37105000000008</v>
      </c>
      <c r="G12" s="431">
        <v>769.37105000000008</v>
      </c>
      <c r="H12" s="431">
        <v>769.37105000000008</v>
      </c>
      <c r="I12" s="431">
        <v>769.37105000000008</v>
      </c>
      <c r="J12" s="431">
        <v>769.37105000000008</v>
      </c>
      <c r="K12" s="431">
        <v>769.37105000000008</v>
      </c>
      <c r="L12" s="431">
        <v>769.37105000000008</v>
      </c>
      <c r="M12" s="431">
        <v>769.37105000000008</v>
      </c>
      <c r="N12" s="431">
        <v>769.37105000000008</v>
      </c>
      <c r="O12" s="432">
        <v>769.37105000000008</v>
      </c>
    </row>
    <row r="13" spans="1:15">
      <c r="A13" s="433" t="s">
        <v>612</v>
      </c>
      <c r="B13" s="434">
        <f t="shared" si="0"/>
        <v>17193.203368838458</v>
      </c>
      <c r="C13" s="434">
        <f>SUM(C6:C12)</f>
        <v>16673.782907299999</v>
      </c>
      <c r="D13" s="434">
        <f t="shared" ref="D13:O13" si="1">SUM(D6:D12)</f>
        <v>16673.782907299999</v>
      </c>
      <c r="E13" s="434">
        <f t="shared" si="1"/>
        <v>16673.782907299999</v>
      </c>
      <c r="F13" s="434">
        <f t="shared" si="1"/>
        <v>16673.782907299999</v>
      </c>
      <c r="G13" s="434">
        <f t="shared" si="1"/>
        <v>17424.056907300001</v>
      </c>
      <c r="H13" s="434">
        <f t="shared" si="1"/>
        <v>17424.056907300001</v>
      </c>
      <c r="I13" s="434">
        <f t="shared" si="1"/>
        <v>17424.056907300001</v>
      </c>
      <c r="J13" s="434">
        <f t="shared" si="1"/>
        <v>17424.056907300001</v>
      </c>
      <c r="K13" s="434">
        <f t="shared" si="1"/>
        <v>17424.056907300001</v>
      </c>
      <c r="L13" s="434">
        <f t="shared" si="1"/>
        <v>17424.056907300001</v>
      </c>
      <c r="M13" s="434">
        <f t="shared" si="1"/>
        <v>17424.056907300001</v>
      </c>
      <c r="N13" s="434">
        <f t="shared" si="1"/>
        <v>17424.056907300001</v>
      </c>
      <c r="O13" s="435">
        <f t="shared" si="1"/>
        <v>17424.056907300001</v>
      </c>
    </row>
    <row r="14" spans="1:15" ht="15.75">
      <c r="A14" s="418"/>
      <c r="B14" s="412"/>
      <c r="C14" s="413"/>
      <c r="D14" s="413"/>
      <c r="E14" s="413"/>
      <c r="F14" s="413"/>
      <c r="G14" s="413"/>
      <c r="H14" s="413"/>
      <c r="I14" s="413"/>
      <c r="J14" s="413"/>
      <c r="K14" s="413"/>
      <c r="L14" s="413"/>
      <c r="M14" s="413"/>
      <c r="N14" s="413"/>
      <c r="O14" s="419"/>
    </row>
    <row r="15" spans="1:15" ht="15.75">
      <c r="A15" s="418" t="s">
        <v>665</v>
      </c>
      <c r="B15" s="412"/>
      <c r="C15" s="413"/>
      <c r="D15" s="413"/>
      <c r="E15" s="413"/>
      <c r="F15" s="413"/>
      <c r="G15" s="413"/>
      <c r="H15" s="413"/>
      <c r="I15" s="413"/>
      <c r="J15" s="413"/>
      <c r="K15" s="413"/>
      <c r="L15" s="413"/>
      <c r="M15" s="413"/>
      <c r="N15" s="413"/>
      <c r="O15" s="419"/>
    </row>
    <row r="16" spans="1:15">
      <c r="A16" s="429" t="s">
        <v>736</v>
      </c>
      <c r="B16" s="430">
        <f>AVERAGE(C16:O16)</f>
        <v>40917.314440216716</v>
      </c>
      <c r="C16" s="431">
        <v>13613.64562747056</v>
      </c>
      <c r="D16" s="431">
        <v>16119.874304770561</v>
      </c>
      <c r="E16" s="431">
        <v>18793.175778970563</v>
      </c>
      <c r="F16" s="431">
        <v>23771.536531770562</v>
      </c>
      <c r="G16" s="431">
        <v>27489.774502070562</v>
      </c>
      <c r="H16" s="431">
        <v>31741.84387117056</v>
      </c>
      <c r="I16" s="431">
        <v>35965.795769670563</v>
      </c>
      <c r="J16" s="431">
        <v>44445.401371070562</v>
      </c>
      <c r="K16" s="431">
        <v>50592.045217770559</v>
      </c>
      <c r="L16" s="431">
        <v>57840.731876470563</v>
      </c>
      <c r="M16" s="431">
        <v>63531.600002370564</v>
      </c>
      <c r="N16" s="431">
        <v>70128.794726370572</v>
      </c>
      <c r="O16" s="432">
        <v>77890.868142870575</v>
      </c>
    </row>
    <row r="17" spans="1:15">
      <c r="A17" s="429" t="s">
        <v>737</v>
      </c>
      <c r="B17" s="430">
        <f t="shared" ref="B17:B23" si="2">AVERAGE(C17:O17)</f>
        <v>9533.4388009248269</v>
      </c>
      <c r="C17" s="431">
        <v>2682.6952459709823</v>
      </c>
      <c r="D17" s="431">
        <v>3588.765412770982</v>
      </c>
      <c r="E17" s="431">
        <v>4778.9866408709822</v>
      </c>
      <c r="F17" s="431">
        <v>5929.5602740709819</v>
      </c>
      <c r="G17" s="431">
        <v>6723.2569677709816</v>
      </c>
      <c r="H17" s="431">
        <v>7506.9625760709814</v>
      </c>
      <c r="I17" s="431">
        <v>8319.0665506709811</v>
      </c>
      <c r="J17" s="431">
        <v>11218.423095070983</v>
      </c>
      <c r="K17" s="431">
        <v>11647.891157670982</v>
      </c>
      <c r="L17" s="431">
        <v>13071.258803270983</v>
      </c>
      <c r="M17" s="431">
        <v>13922.587990970982</v>
      </c>
      <c r="N17" s="431">
        <v>16867.083141470983</v>
      </c>
      <c r="O17" s="432">
        <v>17678.166555370983</v>
      </c>
    </row>
    <row r="18" spans="1:15">
      <c r="A18" s="429" t="s">
        <v>738</v>
      </c>
      <c r="B18" s="430">
        <f t="shared" si="2"/>
        <v>528.00274388461526</v>
      </c>
      <c r="C18" s="431">
        <v>0</v>
      </c>
      <c r="D18" s="431">
        <v>0</v>
      </c>
      <c r="E18" s="431">
        <v>0</v>
      </c>
      <c r="F18" s="431">
        <v>0</v>
      </c>
      <c r="G18" s="431">
        <v>40.17912069999997</v>
      </c>
      <c r="H18" s="431">
        <v>192.76000949999994</v>
      </c>
      <c r="I18" s="431">
        <v>345.25971989999994</v>
      </c>
      <c r="J18" s="431">
        <v>497.82452859999984</v>
      </c>
      <c r="K18" s="431">
        <v>650.47926669999981</v>
      </c>
      <c r="L18" s="431">
        <v>802.97472579999965</v>
      </c>
      <c r="M18" s="431">
        <v>955.55526249999969</v>
      </c>
      <c r="N18" s="431">
        <v>1548.2236170999995</v>
      </c>
      <c r="O18" s="432">
        <v>1830.7794196999996</v>
      </c>
    </row>
    <row r="19" spans="1:15">
      <c r="A19" s="429" t="s">
        <v>739</v>
      </c>
      <c r="B19" s="430">
        <f t="shared" si="2"/>
        <v>90215.716736417962</v>
      </c>
      <c r="C19" s="431">
        <v>31269.033786933345</v>
      </c>
      <c r="D19" s="431">
        <v>40696.713820133344</v>
      </c>
      <c r="E19" s="431">
        <v>49711.095361633343</v>
      </c>
      <c r="F19" s="431">
        <v>59361.698771533353</v>
      </c>
      <c r="G19" s="431">
        <v>72430.419127833346</v>
      </c>
      <c r="H19" s="431">
        <v>84084.730136533355</v>
      </c>
      <c r="I19" s="431">
        <v>94416.434422733349</v>
      </c>
      <c r="J19" s="431">
        <v>102509.53920133335</v>
      </c>
      <c r="K19" s="431">
        <v>110542.31287703334</v>
      </c>
      <c r="L19" s="431">
        <v>117998.46150193334</v>
      </c>
      <c r="M19" s="431">
        <v>126037.64583503334</v>
      </c>
      <c r="N19" s="431">
        <v>139308.18720683333</v>
      </c>
      <c r="O19" s="432">
        <v>144438.04552393331</v>
      </c>
    </row>
    <row r="20" spans="1:15">
      <c r="A20" s="429" t="s">
        <v>740</v>
      </c>
      <c r="B20" s="430">
        <f t="shared" si="2"/>
        <v>4265.5986092230778</v>
      </c>
      <c r="C20" s="431">
        <v>45.392344899999912</v>
      </c>
      <c r="D20" s="431">
        <v>667.38657450000005</v>
      </c>
      <c r="E20" s="431">
        <v>1294.3841860000002</v>
      </c>
      <c r="F20" s="431">
        <v>1951.3252790000006</v>
      </c>
      <c r="G20" s="431">
        <v>2623.2448106000011</v>
      </c>
      <c r="H20" s="431">
        <v>3360.2007362000008</v>
      </c>
      <c r="I20" s="431">
        <v>4057.1402855000006</v>
      </c>
      <c r="J20" s="431">
        <v>4824.0271622999999</v>
      </c>
      <c r="K20" s="431">
        <v>5681.0291975000018</v>
      </c>
      <c r="L20" s="431">
        <v>6432.9693272000013</v>
      </c>
      <c r="M20" s="431">
        <v>7264.9606360000016</v>
      </c>
      <c r="N20" s="431">
        <v>8221.861987100001</v>
      </c>
      <c r="O20" s="432">
        <v>9028.8593931000014</v>
      </c>
    </row>
    <row r="21" spans="1:15">
      <c r="A21" s="429" t="s">
        <v>741</v>
      </c>
      <c r="B21" s="430">
        <f t="shared" si="2"/>
        <v>7377.6992852526828</v>
      </c>
      <c r="C21" s="431">
        <v>2562.6483200911453</v>
      </c>
      <c r="D21" s="431">
        <v>2654.696795891145</v>
      </c>
      <c r="E21" s="431">
        <v>2781.7638649911451</v>
      </c>
      <c r="F21" s="431">
        <v>3524.2710350911448</v>
      </c>
      <c r="G21" s="431">
        <v>3988.239641491145</v>
      </c>
      <c r="H21" s="431">
        <v>4410.199262791145</v>
      </c>
      <c r="I21" s="431">
        <v>5682.1993068911443</v>
      </c>
      <c r="J21" s="431">
        <v>7290.1690321911437</v>
      </c>
      <c r="K21" s="431">
        <v>8945.2477103911406</v>
      </c>
      <c r="L21" s="431">
        <v>10661.394832991142</v>
      </c>
      <c r="M21" s="431">
        <v>12368.314871291142</v>
      </c>
      <c r="N21" s="431">
        <v>14715.023412091143</v>
      </c>
      <c r="O21" s="432">
        <v>16325.922622091144</v>
      </c>
    </row>
    <row r="22" spans="1:15">
      <c r="A22" s="429" t="s">
        <v>742</v>
      </c>
      <c r="B22" s="430">
        <f t="shared" si="2"/>
        <v>13341.659136264729</v>
      </c>
      <c r="C22" s="431">
        <v>7072.2927673339609</v>
      </c>
      <c r="D22" s="431">
        <v>7296.0672234339609</v>
      </c>
      <c r="E22" s="431">
        <v>7532.0772195339614</v>
      </c>
      <c r="F22" s="431">
        <v>8216.1432047339604</v>
      </c>
      <c r="G22" s="431">
        <v>8779.9810030339595</v>
      </c>
      <c r="H22" s="431">
        <v>9494.3790159339605</v>
      </c>
      <c r="I22" s="431">
        <v>10945.425436333962</v>
      </c>
      <c r="J22" s="431">
        <v>14545.754871933961</v>
      </c>
      <c r="K22" s="431">
        <v>15924.013152733962</v>
      </c>
      <c r="L22" s="431">
        <v>17608.681498333961</v>
      </c>
      <c r="M22" s="431">
        <v>19221.190705233959</v>
      </c>
      <c r="N22" s="431">
        <v>22525.067199133959</v>
      </c>
      <c r="O22" s="432">
        <v>24280.495473733958</v>
      </c>
    </row>
    <row r="23" spans="1:15">
      <c r="A23" s="433" t="s">
        <v>612</v>
      </c>
      <c r="B23" s="434">
        <f t="shared" si="2"/>
        <v>166179.42975218457</v>
      </c>
      <c r="C23" s="434">
        <f>SUM(C16:C22)</f>
        <v>57245.708092699992</v>
      </c>
      <c r="D23" s="434">
        <f t="shared" ref="D23:O23" si="3">SUM(D16:D22)</f>
        <v>71023.504131499998</v>
      </c>
      <c r="E23" s="434">
        <f t="shared" si="3"/>
        <v>84891.483051999981</v>
      </c>
      <c r="F23" s="434">
        <f t="shared" si="3"/>
        <v>102754.53509620001</v>
      </c>
      <c r="G23" s="434">
        <f t="shared" si="3"/>
        <v>122075.09517350001</v>
      </c>
      <c r="H23" s="434">
        <f t="shared" si="3"/>
        <v>140791.07560819999</v>
      </c>
      <c r="I23" s="434">
        <f t="shared" si="3"/>
        <v>159731.32149170002</v>
      </c>
      <c r="J23" s="434">
        <f t="shared" si="3"/>
        <v>185331.13926249996</v>
      </c>
      <c r="K23" s="434">
        <f t="shared" si="3"/>
        <v>203983.0185798</v>
      </c>
      <c r="L23" s="434">
        <f t="shared" si="3"/>
        <v>224416.47256599998</v>
      </c>
      <c r="M23" s="434">
        <f t="shared" si="3"/>
        <v>243301.85530339996</v>
      </c>
      <c r="N23" s="434">
        <f t="shared" si="3"/>
        <v>273314.24129009998</v>
      </c>
      <c r="O23" s="435">
        <f t="shared" si="3"/>
        <v>291473.13713079994</v>
      </c>
    </row>
    <row r="24" spans="1:15">
      <c r="A24" s="429"/>
      <c r="B24" s="436"/>
      <c r="C24" s="431"/>
      <c r="D24" s="436"/>
      <c r="E24" s="436"/>
      <c r="F24" s="436"/>
      <c r="G24" s="436"/>
      <c r="H24" s="436"/>
      <c r="I24" s="436"/>
      <c r="J24" s="436"/>
      <c r="K24" s="436"/>
      <c r="L24" s="436"/>
      <c r="M24" s="436"/>
      <c r="N24" s="436"/>
      <c r="O24" s="437"/>
    </row>
    <row r="25" spans="1:15">
      <c r="A25" s="429" t="s">
        <v>743</v>
      </c>
      <c r="B25" s="438">
        <f>B13+B23</f>
        <v>183372.63312102304</v>
      </c>
      <c r="C25" s="438">
        <f t="shared" ref="C25:O25" si="4">C13+C23</f>
        <v>73919.490999999995</v>
      </c>
      <c r="D25" s="438">
        <f t="shared" si="4"/>
        <v>87697.287038800001</v>
      </c>
      <c r="E25" s="438">
        <f t="shared" si="4"/>
        <v>101565.26595929998</v>
      </c>
      <c r="F25" s="438">
        <f t="shared" si="4"/>
        <v>119428.31800350001</v>
      </c>
      <c r="G25" s="438">
        <f t="shared" si="4"/>
        <v>139499.15208080001</v>
      </c>
      <c r="H25" s="438">
        <f t="shared" si="4"/>
        <v>158215.13251549998</v>
      </c>
      <c r="I25" s="438">
        <f t="shared" si="4"/>
        <v>177155.37839900001</v>
      </c>
      <c r="J25" s="438">
        <f t="shared" si="4"/>
        <v>202755.19616979995</v>
      </c>
      <c r="K25" s="438">
        <f t="shared" si="4"/>
        <v>221407.0754871</v>
      </c>
      <c r="L25" s="438">
        <f t="shared" si="4"/>
        <v>241840.52947329998</v>
      </c>
      <c r="M25" s="438">
        <f t="shared" si="4"/>
        <v>260725.91221069996</v>
      </c>
      <c r="N25" s="438">
        <f t="shared" si="4"/>
        <v>290738.2981974</v>
      </c>
      <c r="O25" s="439">
        <f t="shared" si="4"/>
        <v>308897.19403809996</v>
      </c>
    </row>
    <row r="26" spans="1:15" ht="15.75" thickBot="1">
      <c r="A26" s="420"/>
      <c r="B26" s="421"/>
      <c r="C26" s="422"/>
      <c r="D26" s="421"/>
      <c r="E26" s="421"/>
      <c r="F26" s="421"/>
      <c r="G26" s="421"/>
      <c r="H26" s="421"/>
      <c r="I26" s="421"/>
      <c r="J26" s="421"/>
      <c r="K26" s="421"/>
      <c r="L26" s="421"/>
      <c r="M26" s="421"/>
      <c r="N26" s="421"/>
      <c r="O26" s="423"/>
    </row>
  </sheetData>
  <pageMargins left="0.7" right="0.7" top="0.75" bottom="0.75" header="0.3" footer="0.3"/>
  <pageSetup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heetViews>
  <sheetFormatPr defaultRowHeight="15"/>
  <cols>
    <col min="1" max="1" width="40.33203125" style="376" bestFit="1" customWidth="1"/>
    <col min="2" max="2" width="14.77734375" style="376" customWidth="1"/>
    <col min="3" max="3" width="14.77734375" style="377" customWidth="1"/>
    <col min="4" max="4" width="13.6640625" style="376" bestFit="1" customWidth="1"/>
    <col min="5" max="5" width="11.88671875" style="377" bestFit="1" customWidth="1"/>
    <col min="6" max="6" width="2.77734375" style="377" customWidth="1"/>
    <col min="7" max="7" width="11" style="376" customWidth="1"/>
    <col min="8" max="8" width="9.88671875" style="376" customWidth="1"/>
    <col min="9" max="14" width="8.88671875" style="376"/>
    <col min="15" max="15" width="27.88671875" style="376" customWidth="1"/>
    <col min="16" max="18" width="10.77734375" style="376" customWidth="1"/>
    <col min="19" max="16384" width="8.88671875" style="376"/>
  </cols>
  <sheetData>
    <row r="1" spans="1:5" s="376" customFormat="1" ht="18.75">
      <c r="A1" s="355" t="s">
        <v>618</v>
      </c>
      <c r="C1" s="377"/>
      <c r="E1" s="377"/>
    </row>
    <row r="2" spans="1:5" s="376" customFormat="1" ht="15.75">
      <c r="A2" s="317" t="s">
        <v>708</v>
      </c>
      <c r="C2" s="377"/>
      <c r="E2" s="377"/>
    </row>
    <row r="3" spans="1:5" s="376" customFormat="1" ht="15.75">
      <c r="A3" s="317"/>
      <c r="B3" s="378"/>
      <c r="C3" s="377"/>
      <c r="D3" s="378"/>
      <c r="E3" s="377"/>
    </row>
    <row r="4" spans="1:5" s="376" customFormat="1">
      <c r="A4" s="378"/>
      <c r="B4" s="378"/>
      <c r="C4" s="377"/>
      <c r="D4" s="378"/>
      <c r="E4" s="377"/>
    </row>
    <row r="5" spans="1:5" s="376" customFormat="1" ht="15.75">
      <c r="A5" s="379" t="s">
        <v>709</v>
      </c>
      <c r="B5" s="380" t="s">
        <v>710</v>
      </c>
      <c r="C5" s="380" t="s">
        <v>711</v>
      </c>
      <c r="D5" s="380" t="s">
        <v>712</v>
      </c>
      <c r="E5" s="380" t="s">
        <v>624</v>
      </c>
    </row>
    <row r="6" spans="1:5" s="376" customFormat="1">
      <c r="A6" s="381" t="s">
        <v>713</v>
      </c>
      <c r="B6" s="377">
        <v>2</v>
      </c>
      <c r="C6" s="377">
        <v>3</v>
      </c>
      <c r="D6" s="377">
        <v>7</v>
      </c>
      <c r="E6" s="382">
        <f>C6+D6+B6</f>
        <v>12</v>
      </c>
    </row>
    <row r="7" spans="1:5" s="376" customFormat="1">
      <c r="A7" s="381" t="s">
        <v>714</v>
      </c>
      <c r="B7" s="383">
        <v>7723571.2104228046</v>
      </c>
      <c r="C7" s="383">
        <v>7179601</v>
      </c>
      <c r="D7" s="383">
        <v>7179601</v>
      </c>
      <c r="E7" s="383">
        <f>(((B7*$B$6)+(C7*$C$6)+(D7*$D$6))/$E$6)</f>
        <v>7270262.7017371347</v>
      </c>
    </row>
    <row r="8" spans="1:5" s="376" customFormat="1">
      <c r="A8" s="381" t="s">
        <v>715</v>
      </c>
      <c r="B8" s="377">
        <v>7188902</v>
      </c>
      <c r="C8" s="377">
        <v>7188902</v>
      </c>
      <c r="D8" s="377">
        <v>7256406</v>
      </c>
      <c r="E8" s="377">
        <f>(((B8*$B$6)+(C8*$C$6)+(D8*$D$6))/$E$6)</f>
        <v>7228279.333333333</v>
      </c>
    </row>
    <row r="9" spans="1:5" s="376" customFormat="1">
      <c r="A9" s="381" t="s">
        <v>716</v>
      </c>
      <c r="B9" s="384">
        <f>B7/B8</f>
        <v>1.0743742522046906</v>
      </c>
      <c r="C9" s="384">
        <f>C7/C8</f>
        <v>0.99870620019580181</v>
      </c>
      <c r="D9" s="384">
        <f>D7/D8</f>
        <v>0.98941555916248347</v>
      </c>
      <c r="E9" s="384">
        <f>ROUND(E7/E8,4)</f>
        <v>1.0058</v>
      </c>
    </row>
    <row r="10" spans="1:5" s="376" customFormat="1">
      <c r="A10" s="385"/>
      <c r="B10" s="385"/>
      <c r="C10" s="377"/>
      <c r="D10" s="385"/>
      <c r="E10" s="377"/>
    </row>
    <row r="11" spans="1:5" s="376" customFormat="1">
      <c r="A11" s="386"/>
      <c r="B11" s="386"/>
      <c r="C11" s="377"/>
      <c r="D11" s="385"/>
      <c r="E11" s="377"/>
    </row>
    <row r="12" spans="1:5" s="376" customFormat="1">
      <c r="A12" s="386" t="s">
        <v>393</v>
      </c>
      <c r="B12" s="386"/>
      <c r="C12" s="382">
        <f>'[4]AMIL Load'!E20*1000</f>
        <v>7197583.333333333</v>
      </c>
      <c r="D12" s="385"/>
      <c r="E12" s="377"/>
    </row>
    <row r="13" spans="1:5" s="376" customFormat="1">
      <c r="A13" s="386" t="s">
        <v>394</v>
      </c>
      <c r="B13" s="386"/>
      <c r="C13" s="387">
        <f>E8</f>
        <v>7228279.333333333</v>
      </c>
      <c r="D13" s="385"/>
      <c r="E13" s="377"/>
    </row>
    <row r="14" spans="1:5" s="376" customFormat="1">
      <c r="A14" s="386" t="s">
        <v>395</v>
      </c>
      <c r="B14" s="386"/>
      <c r="C14" s="377">
        <f>C13-C12</f>
        <v>30696</v>
      </c>
      <c r="D14" s="385"/>
      <c r="E14" s="377"/>
    </row>
    <row r="15" spans="1:5" s="376" customFormat="1">
      <c r="A15" s="386" t="s">
        <v>396</v>
      </c>
      <c r="B15" s="386"/>
      <c r="C15" s="384">
        <f>E9</f>
        <v>1.0058</v>
      </c>
      <c r="D15" s="385"/>
      <c r="E15" s="377"/>
    </row>
    <row r="16" spans="1:5" s="376" customFormat="1">
      <c r="A16" s="386" t="s">
        <v>331</v>
      </c>
      <c r="B16" s="386"/>
      <c r="C16" s="383">
        <f>C14*C15</f>
        <v>30874.036800000002</v>
      </c>
      <c r="D16" s="385"/>
      <c r="E16" s="377"/>
    </row>
    <row r="17" spans="1:5" s="376" customFormat="1">
      <c r="A17" s="385"/>
      <c r="B17" s="385"/>
      <c r="C17" s="377"/>
      <c r="D17" s="385"/>
      <c r="E17" s="377"/>
    </row>
    <row r="19" spans="1:5" s="376" customFormat="1" ht="14.25">
      <c r="A19" s="462" t="s">
        <v>717</v>
      </c>
      <c r="B19" s="462"/>
      <c r="C19" s="462"/>
      <c r="D19" s="462"/>
      <c r="E19" s="462"/>
    </row>
    <row r="20" spans="1:5" s="376" customFormat="1" ht="14.25">
      <c r="A20" s="462"/>
      <c r="B20" s="462"/>
      <c r="C20" s="462"/>
      <c r="D20" s="462"/>
      <c r="E20" s="462"/>
    </row>
    <row r="21" spans="1:5" s="376" customFormat="1" ht="14.25">
      <c r="A21" s="462"/>
      <c r="B21" s="462"/>
      <c r="C21" s="462"/>
      <c r="D21" s="462"/>
      <c r="E21" s="462"/>
    </row>
  </sheetData>
  <mergeCells count="1">
    <mergeCell ref="A19:E2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defaultRowHeight="15"/>
  <cols>
    <col min="1" max="2" width="8.88671875" style="307"/>
    <col min="3" max="3" width="15.21875" style="307" customWidth="1"/>
    <col min="4" max="4" width="14" style="307" bestFit="1" customWidth="1"/>
    <col min="5" max="5" width="8.88671875" style="307"/>
    <col min="6" max="6" width="9.88671875" style="307" bestFit="1" customWidth="1"/>
    <col min="7" max="16384" width="8.88671875" style="307"/>
  </cols>
  <sheetData>
    <row r="1" spans="1:7" ht="18.75">
      <c r="A1" s="355" t="s">
        <v>618</v>
      </c>
    </row>
    <row r="2" spans="1:7" ht="15.75">
      <c r="A2" s="317" t="s">
        <v>699</v>
      </c>
    </row>
    <row r="5" spans="1:7">
      <c r="A5" s="307" t="s">
        <v>700</v>
      </c>
      <c r="D5" s="370">
        <v>3.2500000000000001E-2</v>
      </c>
      <c r="F5" s="307" t="s">
        <v>701</v>
      </c>
    </row>
    <row r="6" spans="1:7">
      <c r="D6" s="371"/>
    </row>
    <row r="7" spans="1:7">
      <c r="A7" s="307" t="s">
        <v>702</v>
      </c>
      <c r="D7" s="372">
        <f>'2012 Interest Rates'!E113</f>
        <v>6.6832653557169662E-3</v>
      </c>
      <c r="F7" s="307" t="s">
        <v>703</v>
      </c>
    </row>
    <row r="8" spans="1:7" ht="15.75">
      <c r="A8" s="358" t="s">
        <v>718</v>
      </c>
      <c r="F8" s="373"/>
      <c r="G8" s="374"/>
    </row>
    <row r="10" spans="1:7">
      <c r="A10" s="307" t="s">
        <v>704</v>
      </c>
      <c r="D10" s="371">
        <f>IF(D7&gt;=D5,D5,D7)</f>
        <v>6.6832653557169662E-3</v>
      </c>
    </row>
    <row r="11" spans="1:7">
      <c r="A11" s="307" t="s">
        <v>705</v>
      </c>
      <c r="D11" s="371">
        <f>ROUND(D10/12,6)</f>
        <v>5.5699999999999999E-4</v>
      </c>
    </row>
    <row r="13" spans="1:7">
      <c r="A13" s="307" t="s">
        <v>706</v>
      </c>
      <c r="D13" s="307">
        <f>[4]ATXI!J23+[4]ATXI!J24</f>
        <v>2653328.4703543894</v>
      </c>
    </row>
    <row r="15" spans="1:7" ht="15.75">
      <c r="A15" s="375" t="s">
        <v>707</v>
      </c>
      <c r="B15" s="375"/>
      <c r="C15" s="375"/>
      <c r="D15" s="375">
        <f>ROUND((D13*D11*24),2)</f>
        <v>35469.69</v>
      </c>
    </row>
    <row r="18" spans="1:4">
      <c r="A18" s="360"/>
      <c r="B18" s="360"/>
      <c r="C18" s="360"/>
      <c r="D18" s="36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ATXI</vt:lpstr>
      <vt:lpstr>ATXI Attach MM</vt:lpstr>
      <vt:lpstr>ATXI 2012 Attach MM true up</vt:lpstr>
      <vt:lpstr>Projected Rate Base</vt:lpstr>
      <vt:lpstr>Projected Revenues &amp; Expenses</vt:lpstr>
      <vt:lpstr>Projected Capitalization</vt:lpstr>
      <vt:lpstr>MVPs</vt:lpstr>
      <vt:lpstr>2012 Load True Up</vt:lpstr>
      <vt:lpstr>Interest Calc on 2012 True up</vt:lpstr>
      <vt:lpstr>2012 Interest Rates</vt:lpstr>
      <vt:lpstr>ATXI!Print_Area</vt:lpstr>
      <vt:lpstr>'ATXI 2012 Attach MM true up'!Print_Area</vt:lpstr>
      <vt:lpstr>'ATXI Attach MM'!Print_Area</vt:lpstr>
      <vt:lpstr>'Projected Rate Base'!Print_Area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Gudeman, Greg M</cp:lastModifiedBy>
  <cp:lastPrinted>2013-08-30T21:03:52Z</cp:lastPrinted>
  <dcterms:created xsi:type="dcterms:W3CDTF">2008-03-20T17:17:47Z</dcterms:created>
  <dcterms:modified xsi:type="dcterms:W3CDTF">2013-08-30T21:04:24Z</dcterms:modified>
</cp:coreProperties>
</file>