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270" tabRatio="884" activeTab="0"/>
  </bookViews>
  <sheets>
    <sheet name="Table of Contents" sheetId="1" r:id="rId1"/>
    <sheet name="Actual Net Rev Req" sheetId="2" r:id="rId2"/>
    <sheet name="Actual Gross Rev" sheetId="3" r:id="rId3"/>
    <sheet name="A-1 (Rev. Credit)" sheetId="4" r:id="rId4"/>
    <sheet name="A-2 (Divisor)" sheetId="5" r:id="rId5"/>
    <sheet name="A-3 (Retail Adder)" sheetId="6" r:id="rId6"/>
    <sheet name="A-4 (WEN O&amp;M Exclusions)" sheetId="7" r:id="rId7"/>
    <sheet name="A-5 (WEN ADIT)" sheetId="8" r:id="rId8"/>
    <sheet name="A-6 (WES O&amp;M Exclusions)" sheetId="9" r:id="rId9"/>
    <sheet name="A-7 (WES ADIT)" sheetId="10" r:id="rId10"/>
    <sheet name="A-8 (Depr Calc-Opt.)" sheetId="11" r:id="rId11"/>
    <sheet name="A-9 (Act. BPF Projects)" sheetId="12" r:id="rId12"/>
    <sheet name="A-10 (Wages &amp; Salaries)" sheetId="13" r:id="rId13"/>
    <sheet name="A-11 (Incentive Plant)" sheetId="14" r:id="rId14"/>
    <sheet name="A-12 (Act. Econ Projects)" sheetId="15" r:id="rId15"/>
    <sheet name="TU (True-up)" sheetId="16" r:id="rId16"/>
    <sheet name="BPF (BPF Summary)" sheetId="17" r:id="rId17"/>
    <sheet name="EPP (Econ Proj Sum)" sheetId="18" r:id="rId18"/>
    <sheet name="Projected Net Rev Req" sheetId="19" r:id="rId19"/>
    <sheet name="Projected Gross Rev Req" sheetId="20" r:id="rId20"/>
    <sheet name="P-1 (Trans Plant)" sheetId="21" r:id="rId21"/>
    <sheet name="P-2 (Exp. &amp; Rev. Credits)" sheetId="22" r:id="rId22"/>
    <sheet name="P-3 (Trans. Network Load)" sheetId="23" r:id="rId23"/>
    <sheet name="P-4 (BPF Projects)" sheetId="24" r:id="rId24"/>
    <sheet name="P-5 (Econ. Projects)" sheetId="25" r:id="rId25"/>
  </sheets>
  <definedNames>
    <definedName name="CE">'Actual Gross Rev'!$N$213</definedName>
    <definedName name="DA">'Actual Gross Rev'!$J$43</definedName>
    <definedName name="GP">'Actual Gross Rev'!$J$169</definedName>
    <definedName name="NP">'Actual Gross Rev'!$J$185</definedName>
    <definedName name="PRet">'Projected Gross Rev Req'!$L$228</definedName>
    <definedName name="_xlnm.Print_Area" localSheetId="3">'A-1 (Rev. Credit)'!$A$1:$V$164</definedName>
    <definedName name="_xlnm.Print_Area" localSheetId="13">'A-11 (Incentive Plant)'!$A$1:$S$134</definedName>
    <definedName name="_xlnm.Print_Area" localSheetId="14">'A-12 (Act. Econ Projects)'!$A$1:$U$57</definedName>
    <definedName name="_xlnm.Print_Area" localSheetId="5">'A-3 (Retail Adder)'!$A$1:$J$37</definedName>
    <definedName name="_xlnm.Print_Area" localSheetId="6">'A-4 (WEN O&amp;M Exclusions)'!$A$1:$J$13</definedName>
    <definedName name="_xlnm.Print_Area" localSheetId="7">'A-5 (WEN ADIT)'!$A$1:$K$221</definedName>
    <definedName name="_xlnm.Print_Area" localSheetId="8">'A-6 (WES O&amp;M Exclusions)'!$A$1:$L$13</definedName>
    <definedName name="_xlnm.Print_Area" localSheetId="9">'A-7 (WES ADIT)'!$A$1:$K$198</definedName>
    <definedName name="_xlnm.Print_Area" localSheetId="10">'A-8 (Depr Calc-Opt.)'!$A$1:$S$110</definedName>
    <definedName name="_xlnm.Print_Area" localSheetId="11">'A-9 (Act. BPF Projects)'!$A$1:$BN$47</definedName>
    <definedName name="_xlnm.Print_Area" localSheetId="2">'Actual Gross Rev'!$A$1:$O$315</definedName>
    <definedName name="_xlnm.Print_Area" localSheetId="1">'Actual Net Rev Req'!$A$1:$J$42</definedName>
    <definedName name="_xlnm.Print_Area" localSheetId="16">'BPF (BPF Summary)'!$A$1:$U$124</definedName>
    <definedName name="_xlnm.Print_Area" localSheetId="17">'EPP (Econ Proj Sum)'!$A$1:$U$105</definedName>
    <definedName name="_xlnm.Print_Area" localSheetId="20">'P-1 (Trans Plant)'!$A$1:$R$96</definedName>
    <definedName name="_xlnm.Print_Area" localSheetId="22">'P-3 (Trans. Network Load)'!$A$1:$L$26</definedName>
    <definedName name="_xlnm.Print_Area" localSheetId="24">'P-5 (Econ. Projects)'!$A$1:$U$48</definedName>
    <definedName name="_xlnm.Print_Area" localSheetId="19">'Projected Gross Rev Req'!$A$1:$N$291</definedName>
    <definedName name="_xlnm.Print_Area" localSheetId="18">'Projected Net Rev Req'!$A$1:$J$66</definedName>
    <definedName name="_xlnm.Print_Titles" localSheetId="3">'A-1 (Rev. Credit)'!$B:$D</definedName>
    <definedName name="_xlnm.Print_Titles" localSheetId="15">'TU (True-up)'!$1:$3</definedName>
    <definedName name="PTitle">'Projected Net Rev Req'!$C$4</definedName>
    <definedName name="TE">'Actual Gross Rev'!$L$159</definedName>
    <definedName name="tp">'Actual Gross Rev'!$L$158</definedName>
    <definedName name="TU">'TU (True-up)'!$H$43</definedName>
    <definedName name="WCLTD">'Actual Gross Rev'!$L$234</definedName>
    <definedName name="WS">'Actual Gross Rev'!$L$207</definedName>
    <definedName name="Z_3FE91E53_AE54_4838_9D5E_3328D34C162F_.wvu.PrintArea" localSheetId="2" hidden="1">'Actual Gross Rev'!$A$1:$N$305</definedName>
    <definedName name="Z_3FE91E53_AE54_4838_9D5E_3328D34C162F_.wvu.PrintArea" localSheetId="19" hidden="1">'Projected Gross Rev Req'!$A$1:$N$291</definedName>
    <definedName name="Z_5356EC15_DBFE_4279_B78E_7488D0A96C59_.wvu.PrintArea" localSheetId="3" hidden="1">'A-1 (Rev. Credit)'!$A$1:$U$164</definedName>
    <definedName name="Z_5356EC15_DBFE_4279_B78E_7488D0A96C59_.wvu.PrintArea" localSheetId="4" hidden="1">'A-2 (Divisor)'!$A$1:$Q$194</definedName>
    <definedName name="Z_5356EC15_DBFE_4279_B78E_7488D0A96C59_.wvu.PrintArea" localSheetId="5" hidden="1">'A-3 (Retail Adder)'!$A$1:$J$37</definedName>
    <definedName name="Z_5356EC15_DBFE_4279_B78E_7488D0A96C59_.wvu.PrintArea" localSheetId="6" hidden="1">'A-4 (WEN O&amp;M Exclusions)'!$A$1:$J$13</definedName>
    <definedName name="Z_5356EC15_DBFE_4279_B78E_7488D0A96C59_.wvu.PrintArea" localSheetId="7" hidden="1">'A-5 (WEN ADIT)'!$B$1:$K$221</definedName>
    <definedName name="Z_5356EC15_DBFE_4279_B78E_7488D0A96C59_.wvu.PrintArea" localSheetId="8" hidden="1">'A-6 (WES O&amp;M Exclusions)'!$A$1:$L$12</definedName>
    <definedName name="Z_5356EC15_DBFE_4279_B78E_7488D0A96C59_.wvu.PrintArea" localSheetId="9" hidden="1">'A-7 (WES ADIT)'!$B$1:$K$198</definedName>
    <definedName name="Z_5356EC15_DBFE_4279_B78E_7488D0A96C59_.wvu.PrintArea" localSheetId="10" hidden="1">'A-8 (Depr Calc-Opt.)'!$A$1:$S$93</definedName>
    <definedName name="Z_5356EC15_DBFE_4279_B78E_7488D0A96C59_.wvu.PrintArea" localSheetId="2" hidden="1">'Actual Gross Rev'!$A$1:$N$305</definedName>
    <definedName name="Z_5356EC15_DBFE_4279_B78E_7488D0A96C59_.wvu.PrintArea" localSheetId="1" hidden="1">'Actual Net Rev Req'!$A$1:$L$42</definedName>
    <definedName name="Z_5356EC15_DBFE_4279_B78E_7488D0A96C59_.wvu.PrintArea" localSheetId="19" hidden="1">'Projected Gross Rev Req'!$A$1:$N$291</definedName>
    <definedName name="Z_5356EC15_DBFE_4279_B78E_7488D0A96C59_.wvu.PrintArea" localSheetId="18" hidden="1">'Projected Net Rev Req'!$A$1:$L$66</definedName>
    <definedName name="Z_5356EC15_DBFE_4279_B78E_7488D0A96C59_.wvu.PrintTitles" localSheetId="3" hidden="1">'A-1 (Rev. Credit)'!$B:$D</definedName>
    <definedName name="Z_F1AD2142_F88C_45E8_AE25_B4DB8B7DDA1B_.wvu.PrintArea" localSheetId="3" hidden="1">'A-1 (Rev. Credit)'!$A$1:$U$164</definedName>
    <definedName name="Z_F1AD2142_F88C_45E8_AE25_B4DB8B7DDA1B_.wvu.PrintArea" localSheetId="4" hidden="1">'A-2 (Divisor)'!$A$1:$Q$194</definedName>
    <definedName name="Z_F1AD2142_F88C_45E8_AE25_B4DB8B7DDA1B_.wvu.PrintArea" localSheetId="5" hidden="1">'A-3 (Retail Adder)'!$A$1:$J$37</definedName>
    <definedName name="Z_F1AD2142_F88C_45E8_AE25_B4DB8B7DDA1B_.wvu.PrintArea" localSheetId="6" hidden="1">'A-4 (WEN O&amp;M Exclusions)'!$A$1:$J$13</definedName>
    <definedName name="Z_F1AD2142_F88C_45E8_AE25_B4DB8B7DDA1B_.wvu.PrintArea" localSheetId="7" hidden="1">'A-5 (WEN ADIT)'!$B$1:$K$221</definedName>
    <definedName name="Z_F1AD2142_F88C_45E8_AE25_B4DB8B7DDA1B_.wvu.PrintArea" localSheetId="8" hidden="1">'A-6 (WES O&amp;M Exclusions)'!$A$1:$L$12</definedName>
    <definedName name="Z_F1AD2142_F88C_45E8_AE25_B4DB8B7DDA1B_.wvu.PrintArea" localSheetId="9" hidden="1">'A-7 (WES ADIT)'!$B$1:$K$198</definedName>
    <definedName name="Z_F1AD2142_F88C_45E8_AE25_B4DB8B7DDA1B_.wvu.PrintArea" localSheetId="10" hidden="1">'A-8 (Depr Calc-Opt.)'!$A$1:$S$93</definedName>
    <definedName name="Z_F1AD2142_F88C_45E8_AE25_B4DB8B7DDA1B_.wvu.PrintArea" localSheetId="2" hidden="1">'Actual Gross Rev'!$A$1:$M$305</definedName>
    <definedName name="Z_F1AD2142_F88C_45E8_AE25_B4DB8B7DDA1B_.wvu.PrintArea" localSheetId="1" hidden="1">'Actual Net Rev Req'!$A$1:$L$42</definedName>
    <definedName name="Z_F1AD2142_F88C_45E8_AE25_B4DB8B7DDA1B_.wvu.PrintArea" localSheetId="19" hidden="1">'Projected Gross Rev Req'!$A$1:$M$291</definedName>
    <definedName name="Z_F1AD2142_F88C_45E8_AE25_B4DB8B7DDA1B_.wvu.PrintArea" localSheetId="18" hidden="1">'Projected Net Rev Req'!$A$1:$L$66</definedName>
    <definedName name="Z_F1AD2142_F88C_45E8_AE25_B4DB8B7DDA1B_.wvu.PrintTitles" localSheetId="3" hidden="1">'A-1 (Rev. Credit)'!$B:$D</definedName>
    <definedName name="Z_F5EDB0F5_DEA3_41A6_BB5C_F312B97C176E_.wvu.PrintArea" localSheetId="3" hidden="1">'A-1 (Rev. Credit)'!$A$1:$U$164</definedName>
    <definedName name="Z_F5EDB0F5_DEA3_41A6_BB5C_F312B97C176E_.wvu.PrintArea" localSheetId="4" hidden="1">'A-2 (Divisor)'!$A$1:$Q$194</definedName>
    <definedName name="Z_F5EDB0F5_DEA3_41A6_BB5C_F312B97C176E_.wvu.PrintArea" localSheetId="5" hidden="1">'A-3 (Retail Adder)'!$A$1:$J$37</definedName>
    <definedName name="Z_F5EDB0F5_DEA3_41A6_BB5C_F312B97C176E_.wvu.PrintArea" localSheetId="6" hidden="1">'A-4 (WEN O&amp;M Exclusions)'!$A$1:$J$13</definedName>
    <definedName name="Z_F5EDB0F5_DEA3_41A6_BB5C_F312B97C176E_.wvu.PrintArea" localSheetId="7" hidden="1">'A-5 (WEN ADIT)'!$B$1:$K$221</definedName>
    <definedName name="Z_F5EDB0F5_DEA3_41A6_BB5C_F312B97C176E_.wvu.PrintArea" localSheetId="8" hidden="1">'A-6 (WES O&amp;M Exclusions)'!$A$1:$L$12</definedName>
    <definedName name="Z_F5EDB0F5_DEA3_41A6_BB5C_F312B97C176E_.wvu.PrintArea" localSheetId="9" hidden="1">'A-7 (WES ADIT)'!$B$1:$K$198</definedName>
    <definedName name="Z_F5EDB0F5_DEA3_41A6_BB5C_F312B97C176E_.wvu.PrintArea" localSheetId="10" hidden="1">'A-8 (Depr Calc-Opt.)'!$A$1:$S$93</definedName>
    <definedName name="Z_F5EDB0F5_DEA3_41A6_BB5C_F312B97C176E_.wvu.PrintArea" localSheetId="1" hidden="1">'Actual Net Rev Req'!$A$1:$L$42</definedName>
    <definedName name="Z_F5EDB0F5_DEA3_41A6_BB5C_F312B97C176E_.wvu.PrintArea" localSheetId="18" hidden="1">'Projected Net Rev Req'!$A$1:$L$66</definedName>
    <definedName name="Z_F5EDB0F5_DEA3_41A6_BB5C_F312B97C176E_.wvu.PrintTitles" localSheetId="3" hidden="1">'A-1 (Rev. Credit)'!$B:$D</definedName>
    <definedName name="Z_F98E7EC9_962F_471E_9B7D_C8DDC081625A_.wvu.PrintArea" localSheetId="3" hidden="1">'A-1 (Rev. Credit)'!$A$1:$U$164</definedName>
    <definedName name="Z_F98E7EC9_962F_471E_9B7D_C8DDC081625A_.wvu.PrintArea" localSheetId="4" hidden="1">'A-2 (Divisor)'!$A$1:$Q$194</definedName>
    <definedName name="Z_F98E7EC9_962F_471E_9B7D_C8DDC081625A_.wvu.PrintArea" localSheetId="5" hidden="1">'A-3 (Retail Adder)'!$A$1:$J$37</definedName>
    <definedName name="Z_F98E7EC9_962F_471E_9B7D_C8DDC081625A_.wvu.PrintArea" localSheetId="6" hidden="1">'A-4 (WEN O&amp;M Exclusions)'!$A$1:$J$13</definedName>
    <definedName name="Z_F98E7EC9_962F_471E_9B7D_C8DDC081625A_.wvu.PrintArea" localSheetId="7" hidden="1">'A-5 (WEN ADIT)'!$B$1:$K$221</definedName>
    <definedName name="Z_F98E7EC9_962F_471E_9B7D_C8DDC081625A_.wvu.PrintArea" localSheetId="8" hidden="1">'A-6 (WES O&amp;M Exclusions)'!$A$1:$L$12</definedName>
    <definedName name="Z_F98E7EC9_962F_471E_9B7D_C8DDC081625A_.wvu.PrintArea" localSheetId="9" hidden="1">'A-7 (WES ADIT)'!$B$1:$K$198</definedName>
    <definedName name="Z_F98E7EC9_962F_471E_9B7D_C8DDC081625A_.wvu.PrintArea" localSheetId="10" hidden="1">'A-8 (Depr Calc-Opt.)'!$A$1:$O$5</definedName>
    <definedName name="Z_F98E7EC9_962F_471E_9B7D_C8DDC081625A_.wvu.PrintArea" localSheetId="1" hidden="1">'Actual Net Rev Req'!$A$1:$L$42</definedName>
    <definedName name="Z_F98E7EC9_962F_471E_9B7D_C8DDC081625A_.wvu.PrintArea" localSheetId="16" hidden="1">'BPF (BPF Summary)'!$B$1:$W$132</definedName>
    <definedName name="Z_F98E7EC9_962F_471E_9B7D_C8DDC081625A_.wvu.PrintArea" localSheetId="17" hidden="1">'EPP (Econ Proj Sum)'!$B$1:$R$114</definedName>
    <definedName name="Z_F98E7EC9_962F_471E_9B7D_C8DDC081625A_.wvu.PrintArea" localSheetId="18" hidden="1">'Projected Net Rev Req'!$A$1:$L$66</definedName>
    <definedName name="Z_F98E7EC9_962F_471E_9B7D_C8DDC081625A_.wvu.PrintTitles" localSheetId="3" hidden="1">'A-1 (Rev. Credit)'!$B:$D</definedName>
  </definedNames>
  <calcPr fullCalcOnLoad="1"/>
</workbook>
</file>

<file path=xl/comments5.xml><?xml version="1.0" encoding="utf-8"?>
<comments xmlns="http://schemas.openxmlformats.org/spreadsheetml/2006/main">
  <authors>
    <author>Westar Energy</author>
  </authors>
  <commentList>
    <comment ref="M24" authorId="0">
      <text>
        <r>
          <rPr>
            <sz val="8"/>
            <rFont val="Tahoma"/>
            <family val="2"/>
          </rPr>
          <t>RFO:   This is the load that should be used as the DIVISOR in the Westar Energy tab.</t>
        </r>
      </text>
    </comment>
  </commentList>
</comments>
</file>

<file path=xl/sharedStrings.xml><?xml version="1.0" encoding="utf-8"?>
<sst xmlns="http://schemas.openxmlformats.org/spreadsheetml/2006/main" count="4860" uniqueCount="1817">
  <si>
    <t>(Actual Gross Rev., Page 4, line 7)</t>
  </si>
  <si>
    <t>(Actual Gross Rev., Page 4, line 8)</t>
  </si>
  <si>
    <t>(Actual Gross Rev, Page 1, line 4)</t>
  </si>
  <si>
    <t>(Actual Gross Rev, Page 1, line 14)</t>
  </si>
  <si>
    <t>Actual Gross Rev</t>
  </si>
  <si>
    <t>Schedule "Actual Net Rev Req (page 1)</t>
  </si>
  <si>
    <t>Schedule Actual Gross Rev Req (1-5 pages)</t>
  </si>
  <si>
    <t>A-9 (Actual BPF Summary)</t>
  </si>
  <si>
    <t>BPF Summary</t>
  </si>
  <si>
    <t xml:space="preserve">BPF (BPF Summary) </t>
  </si>
  <si>
    <t>Total Actual and Projected BPF projects</t>
  </si>
  <si>
    <t>P-4 (BPF Projects)'!A1</t>
  </si>
  <si>
    <t>Worksheet P-4</t>
  </si>
  <si>
    <t>Projected Base Plan Funded Projects</t>
  </si>
  <si>
    <t>(line 6 / line 9)</t>
  </si>
  <si>
    <t>(line 5)</t>
  </si>
  <si>
    <t>NOTES</t>
  </si>
  <si>
    <t>Per Attachments</t>
  </si>
  <si>
    <t>Page 1 of 1</t>
  </si>
  <si>
    <t>Distribution rental developed as follows:</t>
  </si>
  <si>
    <t xml:space="preserve">  Distribution pole attachment ratio</t>
  </si>
  <si>
    <t xml:space="preserve">  Distribution rental</t>
  </si>
  <si>
    <t xml:space="preserve">  Distribution rental (see below)</t>
  </si>
  <si>
    <t>Page 1 of 5</t>
  </si>
  <si>
    <t>Page 2 of 5</t>
  </si>
  <si>
    <t>Page 3 of 5</t>
  </si>
  <si>
    <t>Page 4 of 5</t>
  </si>
  <si>
    <t>Page 5 of 5</t>
  </si>
  <si>
    <t>WEN</t>
  </si>
  <si>
    <t>WES</t>
  </si>
  <si>
    <t>May</t>
  </si>
  <si>
    <t xml:space="preserve">  Land rental for Gordon Evans CTs</t>
  </si>
  <si>
    <t xml:space="preserve">  Other Electric Property Rents</t>
  </si>
  <si>
    <t xml:space="preserve">Transmission </t>
  </si>
  <si>
    <t xml:space="preserve">         Other</t>
  </si>
  <si>
    <t>Revenue Requirement of SPP Base Plan Funded Projects (BPF) included in Westar Projected Revenue Requirements [Note: (E)]</t>
  </si>
  <si>
    <t>Note E:  This tab shows the amount in column q that SPP is required to recover for each BPF project.</t>
  </si>
  <si>
    <t>Revenue Requirement of SPP Economic Portfolio Funded Projects (EPP) included in Westar's Projected Revenue Requirements [Note:(E)]</t>
  </si>
  <si>
    <t>SPP BASE PLAN FUNDED REVENUE REQUIREMENT Collected under SPP Schedule 11 (A-9, page 1, line 5)</t>
  </si>
  <si>
    <t>SPP ECONOMIC PORTFOLIO FUNDED REVENUE REQUIREMENT Collected under SPP Schedule 11 (A12, page 1, line 5)</t>
  </si>
  <si>
    <r>
      <t xml:space="preserve">Revenue from Grandfathered Agreements involving interzonal transactions whose rates have </t>
    </r>
    <r>
      <rPr>
        <u val="single"/>
        <sz val="12"/>
        <rFont val="Arial MT"/>
        <family val="0"/>
      </rPr>
      <t>not</t>
    </r>
    <r>
      <rPr>
        <sz val="12"/>
        <rFont val="Arial MT"/>
        <family val="0"/>
      </rPr>
      <t xml:space="preserve"> been changed to eliminate or mitigate pancaking are </t>
    </r>
    <r>
      <rPr>
        <u val="single"/>
        <sz val="12"/>
        <rFont val="Arial MT"/>
        <family val="0"/>
      </rPr>
      <t>not</t>
    </r>
    <r>
      <rPr>
        <sz val="12"/>
        <rFont val="Arial MT"/>
        <family val="0"/>
      </rPr>
      <t xml:space="preserve"> included in Section </t>
    </r>
    <r>
      <rPr>
        <sz val="13.5"/>
        <rFont val="MS Serif"/>
        <family val="1"/>
      </rPr>
      <t>III</t>
    </r>
    <r>
      <rPr>
        <sz val="12"/>
        <rFont val="Arial MT"/>
        <family val="0"/>
      </rPr>
      <t xml:space="preserve"> above and the corresponding</t>
    </r>
  </si>
  <si>
    <r>
      <t xml:space="preserve">Revenue from Grandfathered Agreements involving interzonal transactions whose rates have been changed to eliminate or mitigate pancaking are included in Section </t>
    </r>
    <r>
      <rPr>
        <sz val="13.5"/>
        <rFont val="MS Serif"/>
        <family val="1"/>
      </rPr>
      <t>III</t>
    </r>
    <r>
      <rPr>
        <sz val="12"/>
        <rFont val="Arial MT"/>
        <family val="0"/>
      </rPr>
      <t xml:space="preserve"> above and the corresponding</t>
    </r>
  </si>
  <si>
    <t xml:space="preserve">                        References to data from FERC Form 1 are indicated as:  page#.line#.col</t>
  </si>
  <si>
    <t>23a</t>
  </si>
  <si>
    <t>227.16.c (Note B)</t>
  </si>
  <si>
    <t>If the annual update is for a partial year, interest will be multiplied by 18 plus one-half of the months in the partial year.</t>
  </si>
  <si>
    <t>If the annual update is for a partial year, not 12 months, then the amount on line 25 shall be number of months in the partial year/12.</t>
  </si>
  <si>
    <t>True-Up Amount (line 8c) (Note F)</t>
  </si>
  <si>
    <t>True-up Adjustment (Note G)</t>
  </si>
  <si>
    <t>Zonal True-up</t>
  </si>
  <si>
    <t>BPF True-up</t>
  </si>
  <si>
    <t>EPP True-up</t>
  </si>
  <si>
    <t>Total True-up</t>
  </si>
  <si>
    <t xml:space="preserve">  Long Term Debt (112, sum of 18.c., 19c and 21.c)</t>
  </si>
  <si>
    <t>(Projected Gross Rev Req, page 4, line 28a)</t>
  </si>
  <si>
    <t>(Projected Gross Rev Req, page 1, line 1)</t>
  </si>
  <si>
    <t>(Projected Gross Rev Req, page 1, line 6)</t>
  </si>
  <si>
    <t>(Projected Gross Rev Req, page 2, line 29)</t>
  </si>
  <si>
    <t>[A5, pg 1, line 4 &amp; A7, pg1, line4)</t>
  </si>
  <si>
    <t>[Actual Gross Rev, pg 4, line 24)</t>
  </si>
  <si>
    <t>(Actual Gross Rev, pg 3, line 17)</t>
  </si>
  <si>
    <t>[Actual Gross Rev, pg 2, line 24)</t>
  </si>
  <si>
    <t>* All future accruals of transmission storm damage reserves will be subtracted from rate base until they are applied to offset the December 2007 ice storm damage expenses.</t>
  </si>
  <si>
    <t>BPF Rev Req.</t>
  </si>
  <si>
    <t>(Page 2, line 1, col 5)</t>
  </si>
  <si>
    <t>(Note L) (Page 2, line 2, col 5)</t>
  </si>
  <si>
    <t>(Actual Gross Rev. Page 3, line 13)</t>
  </si>
  <si>
    <t>Short term Interest Rate</t>
  </si>
  <si>
    <t xml:space="preserve">Average of the last 4 quarters </t>
  </si>
  <si>
    <t>(Lines 15-18 / 4)</t>
  </si>
  <si>
    <t>(Projected Gross Rev Req, page 4, line 27)</t>
  </si>
  <si>
    <t>(line 5 / line 7)</t>
  </si>
  <si>
    <t>(line 9 / line 7)</t>
  </si>
  <si>
    <t>(line 7 / line 7)</t>
  </si>
  <si>
    <t>(Projected Gross Rev Req, page 4, line 24)</t>
  </si>
  <si>
    <t>(line 13 / line 7)</t>
  </si>
  <si>
    <t>Ratio of Common Stock to Total Debt</t>
  </si>
  <si>
    <t xml:space="preserve">  Common Stock </t>
  </si>
  <si>
    <t xml:space="preserve">Total  </t>
  </si>
  <si>
    <t>(sum lines 21-23)</t>
  </si>
  <si>
    <t>(Projected Gross Rev Req, Page 5, line 23)</t>
  </si>
  <si>
    <t>(Worksheet P-5)</t>
  </si>
  <si>
    <t>Qtr 4 (Form 1 Year)</t>
  </si>
  <si>
    <t>Qtr 1 (Previous Year)</t>
  </si>
  <si>
    <t>Qtr 2 (Previous Year)</t>
  </si>
  <si>
    <t>Qtr 3 (Previous Year)</t>
  </si>
  <si>
    <t>WEN &amp; WES</t>
  </si>
  <si>
    <t>Accum. Dep.</t>
  </si>
  <si>
    <t>Gross Plant</t>
  </si>
  <si>
    <t>12 Mon Tot</t>
  </si>
  <si>
    <t>Total Incentive Return:</t>
  </si>
  <si>
    <t>Accrual(A)</t>
  </si>
  <si>
    <t>Total Plant</t>
  </si>
  <si>
    <t>Total  (sum lines 21-23)</t>
  </si>
  <si>
    <t>(Actual Gross Rev., Page 4, line 10)</t>
  </si>
  <si>
    <t>(Actual Gross Rev., Page 4, line 11)</t>
  </si>
  <si>
    <t>(Actual Gross Rev., Page 4, line 12)</t>
  </si>
  <si>
    <t>(Actual Gross Rev., Page 4, line 13)</t>
  </si>
  <si>
    <t>(Actual Gross Rev., Page 4, line 14)</t>
  </si>
  <si>
    <t>(Actual Gross Rev. Page 3, line 12)</t>
  </si>
  <si>
    <t>(Actual Gross Rev. Page 3, line 14)</t>
  </si>
  <si>
    <t>(Actual Gross Rev. Page 3, line 15)</t>
  </si>
  <si>
    <t>Interest Calculation</t>
  </si>
  <si>
    <t>Other Interest Exp.(Acct. 431)</t>
  </si>
  <si>
    <t>No. of Days</t>
  </si>
  <si>
    <t>(Actual Gross Rev. Page 3, line 19)</t>
  </si>
  <si>
    <t xml:space="preserve">                                                Less Account 216.1 </t>
  </si>
  <si>
    <t xml:space="preserve">                                                Proprietary Capital </t>
  </si>
  <si>
    <t>(Actual Gross Rev. Page 4, line 17)</t>
  </si>
  <si>
    <t xml:space="preserve">                                                Less Preferred Stock </t>
  </si>
  <si>
    <t>(line 22)</t>
  </si>
  <si>
    <t>(Actual Gross Rev. Page 4, line 19)</t>
  </si>
  <si>
    <t>(Actual Gross Rev., Page 4, line 16)</t>
  </si>
  <si>
    <t xml:space="preserve">Preferred Dividends (positive number) </t>
  </si>
  <si>
    <t>(Peak:  (line 17 / 16 hours) times 1000);</t>
  </si>
  <si>
    <t>Off Peak; (line 17 / 24 hours) times 1000</t>
  </si>
  <si>
    <t>Transmission plant included in rates</t>
  </si>
  <si>
    <t>Plant in Service</t>
  </si>
  <si>
    <t>Accumulated</t>
  </si>
  <si>
    <t>Projected</t>
  </si>
  <si>
    <t>12-Month Depreciation Accrual</t>
  </si>
  <si>
    <t>Reconciliation details</t>
  </si>
  <si>
    <t>Rev Req based on Year 1 data</t>
  </si>
  <si>
    <t>Year 1</t>
  </si>
  <si>
    <t>Westar populates the formula rate using projected costs for Year 1</t>
  </si>
  <si>
    <t>Westar populates the formula rate using projected costs for Year 2</t>
  </si>
  <si>
    <t>Year 0</t>
  </si>
  <si>
    <t>Post results of Step 1</t>
  </si>
  <si>
    <t>Results of Step 2 go into effect.</t>
  </si>
  <si>
    <t>Post results of Step 4</t>
  </si>
  <si>
    <t>Results of Step 5 go into effect.</t>
  </si>
  <si>
    <t>Westar populates the formula rate using projected costs for Year 3, including true-up adjustment for Year 1</t>
  </si>
  <si>
    <t>Timeline</t>
  </si>
  <si>
    <t>Actual Revenue Requirements from Step 7</t>
  </si>
  <si>
    <t>FERC Account Number</t>
  </si>
  <si>
    <t>Depreciation Rate</t>
  </si>
  <si>
    <t>350 Land and Land Rights</t>
  </si>
  <si>
    <t>351 (reserved)</t>
  </si>
  <si>
    <t>352  Structures and Improvements</t>
  </si>
  <si>
    <t>353  Station Equipment</t>
  </si>
  <si>
    <t xml:space="preserve">  rate base, must reduce its income tax expense by the amount of the Amortized Investment Tax Credit (Form 1, 266.8.f) multiplied by (1/1-T) (page 3, line 28).  When FIT or SIT statutory tax rate changes take effect on other than a calendar year basis, the statutory</t>
  </si>
  <si>
    <t xml:space="preserve">  rates to be used in the formula rate template shall be weighted averages for the calendar year determined by weighting the statutory tax rates by the number days each such tax rate was in effect during the calendar year for which the costs are being determined.</t>
  </si>
  <si>
    <t>Page 1</t>
  </si>
  <si>
    <t>Page 2</t>
  </si>
  <si>
    <t>Page 3</t>
  </si>
  <si>
    <t>Hold for future use.</t>
  </si>
  <si>
    <t>Projected net revenue requirements for next calendar year</t>
  </si>
  <si>
    <t>Projected gross revenue requirements for next calendar year</t>
  </si>
  <si>
    <t>Projected transmission plant for next calendar year</t>
  </si>
  <si>
    <t>Projected expenses and revenue credits for next calendar year</t>
  </si>
  <si>
    <t xml:space="preserve"> (line 12 less line 18)</t>
  </si>
  <si>
    <t xml:space="preserve"> (line 13 less line 19)</t>
  </si>
  <si>
    <t xml:space="preserve"> (line 14 less line 20)</t>
  </si>
  <si>
    <t xml:space="preserve"> (line 15 less line 21)</t>
  </si>
  <si>
    <t xml:space="preserve"> (line 16 less line 22)</t>
  </si>
  <si>
    <t>(line 25 less line 26)</t>
  </si>
  <si>
    <t xml:space="preserve">   The approved ROE is 11.3%, no change in ROE may be made absent a filing with FERC.  Any incentive ROEs approved by the Commission are shown by project in Worksheet A-11.</t>
  </si>
  <si>
    <t xml:space="preserve">  Long Term Debt </t>
  </si>
  <si>
    <t>(Actual Gross Rev, page 4, line 21)</t>
  </si>
  <si>
    <t xml:space="preserve">  Preferred Stock  </t>
  </si>
  <si>
    <t>(Actual Gross Rev. page 4, line 22)</t>
  </si>
  <si>
    <t>June</t>
  </si>
  <si>
    <t>July</t>
  </si>
  <si>
    <t>August</t>
  </si>
  <si>
    <t>September</t>
  </si>
  <si>
    <t>October</t>
  </si>
  <si>
    <t>November</t>
  </si>
  <si>
    <t>December</t>
  </si>
  <si>
    <t>Projected Transmission Network Load (Col 2 x Line 1)</t>
  </si>
  <si>
    <t>Worksheet P2 - Projected Expenses and Revenue Credits</t>
  </si>
  <si>
    <t>Worksheet P1 - Projected Transmission Plant</t>
  </si>
  <si>
    <t>b</t>
  </si>
  <si>
    <t>c</t>
  </si>
  <si>
    <t>a</t>
  </si>
  <si>
    <t>MW</t>
  </si>
  <si>
    <t>Maximum Trans Network Load During the Summer of</t>
  </si>
  <si>
    <t>Less 19001 Tax Reclass</t>
  </si>
  <si>
    <t>Percentage of transmission plant included in rates</t>
  </si>
  <si>
    <t xml:space="preserve"> (line 4 divided by line 1)</t>
  </si>
  <si>
    <t>First year adjustment is to allow for any adjustments in the Revenue Requirement  for the change from an historic to a projected test period.</t>
  </si>
  <si>
    <t>One time, first year adjustment (proj. year 2009) (Note B)</t>
  </si>
  <si>
    <t>The currently effective income tax rate,  where FIT is the Federal income tax rate; SIT is the State income tax rate, and p =</t>
  </si>
  <si>
    <t>Total Income Taxes</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</si>
  <si>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</si>
  <si>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</si>
  <si>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</si>
  <si>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expense incurred in the year absent an appropriate filing with FERC.</t>
  </si>
  <si>
    <t>and Justification</t>
  </si>
  <si>
    <t>Account 454 (Rent from Electric Property)</t>
  </si>
  <si>
    <t>Notes to the Determination of WEN's and WES' Contribution to Transmission Network Load (MW, unless otherwise noted)</t>
  </si>
  <si>
    <t>O</t>
  </si>
  <si>
    <t>C</t>
  </si>
  <si>
    <t>E</t>
  </si>
  <si>
    <t>F</t>
  </si>
  <si>
    <t>D</t>
  </si>
  <si>
    <t xml:space="preserve">P-to-P Rate ($/kW/Mo) </t>
  </si>
  <si>
    <t>Percentage of transmission expenses included in rates (line 9 times line 10)</t>
  </si>
  <si>
    <t>Account 456</t>
  </si>
  <si>
    <t>Account 454</t>
  </si>
  <si>
    <t>II.</t>
  </si>
  <si>
    <t>III.</t>
  </si>
  <si>
    <t>IV.</t>
  </si>
  <si>
    <t>Notes</t>
  </si>
  <si>
    <t>Revenue from Grandfathered Interzonal Transactions and service provided by the RTO at a discount in Account 454</t>
  </si>
  <si>
    <t>Account 454 (Rent from Electric Property) includes income related only to transmission facilities, such as pole attachments, rentals and special use.</t>
  </si>
  <si>
    <t>219.26c</t>
  </si>
  <si>
    <t>219.28.c</t>
  </si>
  <si>
    <t>6a</t>
  </si>
  <si>
    <t>Total Rev. Req.</t>
  </si>
  <si>
    <t>BPF Rev. Req.</t>
  </si>
  <si>
    <t>EPP Rev. Req</t>
  </si>
  <si>
    <t>Zonal Rev. Req.</t>
  </si>
  <si>
    <t>"GFA PTP Scheduled Load" is the load in MW scheduled by Grandfathered Agreements' (GFA) customers taking firm point-to-point (PTP) service at the time of Westar's monthly transmission system</t>
  </si>
  <si>
    <t xml:space="preserve">       January </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</si>
  <si>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</si>
  <si>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</si>
  <si>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</si>
  <si>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</si>
  <si>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</si>
  <si>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</si>
  <si>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</si>
  <si>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</si>
  <si>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</si>
  <si>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</si>
  <si>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</si>
  <si>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Total</t>
  </si>
  <si>
    <t>Wages &amp; Salary Allocator</t>
  </si>
  <si>
    <t xml:space="preserve">     Less Account 565  (Note E)</t>
  </si>
  <si>
    <t>TAXES OTHER THAN INCOME TAXES  (Note G)</t>
  </si>
  <si>
    <t xml:space="preserve"> (Note H)</t>
  </si>
  <si>
    <t xml:space="preserve">       and FIT, SIT &amp; p are as given in Note H.</t>
  </si>
  <si>
    <t>COMMON PLANT ALLOCATOR  (CE)   (Note M)</t>
  </si>
  <si>
    <t>(Note O)</t>
  </si>
  <si>
    <t>[ line 7 + line 9 + line 15 ]</t>
  </si>
  <si>
    <t>Description</t>
  </si>
  <si>
    <t>Page 3 of 3</t>
  </si>
  <si>
    <t>Page 2 of 3</t>
  </si>
  <si>
    <t>Page 1 of 3</t>
  </si>
  <si>
    <t>REVENUE REQUIREMENTS</t>
  </si>
  <si>
    <t>Actual Depreciation Rate Calculation</t>
  </si>
  <si>
    <t>Actual Base Plan Funded Projects</t>
  </si>
  <si>
    <t>Actual Retail Adder</t>
  </si>
  <si>
    <t>Economic Portfolio Projects</t>
  </si>
  <si>
    <t>Worksheet A-12 - Actual Economic Portfolio Funded Plant (non-incentive)</t>
  </si>
  <si>
    <t>(A) Special depreciation rates may be utilized for specific incentive transmission projects if approved by the FERC.</t>
  </si>
  <si>
    <t>(Note A)</t>
  </si>
  <si>
    <t>The projected O&amp;M and plant balances are calculated in Tabs P-1 thru P-5.  These sheets feed into the Projected Gross Rev Req tab and ultimately into the Projected Net Rev Req tab.  The BPF tab retrieves project specific data from A-9, A-11 and P-4 to calculate the amount of revenue requirements associated with those projects which are contained in the total Projected Net Revenue Requirement amount.  The EPP tab does the same process for Economic Portfolio projects by combining data from A-11, A-12 and P-5.  The total revenue requirements for these two groups of upgrades (lines 9 and 9a) are subtracted from the Westar Revenue Requirement (line 8) to obtain the Zonal ATRR (line 10).  This calculation is shown on the Projected Net Rev Req tab.  The Westar tariff rates are calculated based on the Westar Revenue Requirements and the specific point-to-point charges are shown on the same tab.  The SPP rates are set on the BPF Revenue Requirements, Economic Portfolio Revenue Requirements and the Zonal Revenue requirements.  The specific charges are calculated in the SPP tariff.</t>
  </si>
  <si>
    <t xml:space="preserve">   peak load.  These amounts are assigned equally between WEN and WES in Sections II and III above.  Details are as follows:</t>
  </si>
  <si>
    <t>Utilizing FERC Form 1 Data</t>
  </si>
  <si>
    <t xml:space="preserve"> Utilizing FERC Form 1 Data</t>
  </si>
  <si>
    <t>Reserved for future use.</t>
  </si>
  <si>
    <t>Transmission O&amp;M expense does not include any SPP charges for Schedule 1-A of the SPP OATT.</t>
  </si>
  <si>
    <t>Page, Line, Col.</t>
  </si>
  <si>
    <t>Company Total</t>
  </si>
  <si>
    <t xml:space="preserve">                  Allocator</t>
  </si>
  <si>
    <t>RATE BASE:</t>
  </si>
  <si>
    <t xml:space="preserve">  Production</t>
  </si>
  <si>
    <t>NA</t>
  </si>
  <si>
    <t xml:space="preserve">  Transmission</t>
  </si>
  <si>
    <t>(Wksht. P-2, line 24)</t>
  </si>
  <si>
    <t>(Wksht. P-2, line 27)</t>
  </si>
  <si>
    <t>(Actual Gross Rev, p2, ln 3a, col 3 &amp; 4)</t>
  </si>
  <si>
    <t>(Actual Gross Rev, p2, ln 16, col 3 &amp; 4)</t>
  </si>
  <si>
    <t>8a</t>
  </si>
  <si>
    <t>8b</t>
  </si>
  <si>
    <t>8c</t>
  </si>
  <si>
    <t>(all load data in these notes comes from Westar's "NETWORK BILLING DETERMINANTS" spreadsheet or successor spreadsheet)</t>
  </si>
  <si>
    <t xml:space="preserve">These are the WEN and WES values that, when added together, equal the transmission system peak load in Westar's Energy Accounting System, Monthly Min/Max Load Values report.  </t>
  </si>
  <si>
    <t>Allocation of ADIT</t>
  </si>
  <si>
    <t>19a</t>
  </si>
  <si>
    <t>SPP ZONAL REVENUE REQUIREMENT (line 8 - line 9 - line 9a - line 9b)</t>
  </si>
  <si>
    <t>SPP BASE PLAN FUNDED REVENUE REQUIREMENT Collected under SPP Schedule 11 (Worksheet BPF, p. 2, line T9)</t>
  </si>
  <si>
    <t>SPP ECONOMIC PORTFOLIO FUNDED REVENUE REQUIREMENT Collected under SPP Schedule 11 (Worksheet EPP, p. 2, line T9)</t>
  </si>
  <si>
    <t>Cash Working Capital assigned to transmission is one-eighth of O&amp;M allocated to transmission at page 2, line 11, col. 7.</t>
  </si>
  <si>
    <t xml:space="preserve">  (Federal Income Tax Rate)</t>
  </si>
  <si>
    <t>(A) Actual transmission depreciation expense (Actual Gross Rev Req, page 2, line 12) divided by actual transmission plant in service (Actual Gross Rev Req, page 1, line 2)</t>
  </si>
  <si>
    <t>Worksheet TU - True-up Adjustment and Timeline</t>
  </si>
  <si>
    <t>Rate</t>
  </si>
  <si>
    <t>Project X</t>
  </si>
  <si>
    <t>Project Y</t>
  </si>
  <si>
    <t>(Projected Gross Revenue, page 3, line 32)</t>
  </si>
  <si>
    <t>The Facility Carrying Charge and Monthly Facility Carrying Charge on Page 1, lines 21 and 22 are to be used to compute the revenue requirements for facilities directly assigned to a customer.</t>
  </si>
  <si>
    <t xml:space="preserve"> (Sum 454.01-.05)</t>
  </si>
  <si>
    <t>Worksheet EPP - Economic Portfolio Project (EPP) Summary</t>
  </si>
  <si>
    <t>P.xxx</t>
  </si>
  <si>
    <t>Actual Projects (Inputs from Worksheet A-12)</t>
  </si>
  <si>
    <t>Projected projects (Inputs from Worksheet P-5)</t>
  </si>
  <si>
    <t>Zonal Projects</t>
  </si>
  <si>
    <t>Project A1</t>
  </si>
  <si>
    <t>Project B1</t>
  </si>
  <si>
    <t>Project C1</t>
  </si>
  <si>
    <t>Project C2</t>
  </si>
  <si>
    <t>Project B2</t>
  </si>
  <si>
    <t>Project A2</t>
  </si>
  <si>
    <t>9a</t>
  </si>
  <si>
    <t>CONTINUE ADIT-190</t>
  </si>
  <si>
    <t>100%</t>
  </si>
  <si>
    <t>Long-Tm Incentive Prog PWR MKT</t>
  </si>
  <si>
    <t>Book accrual for long term incentives vs. actual payments for tax</t>
  </si>
  <si>
    <t>Cash Flow Hedge</t>
  </si>
  <si>
    <t>Taxable income from hedge transaction amortized to income for book purposes</t>
  </si>
  <si>
    <t>Reg Liab #6 Oil Sale</t>
  </si>
  <si>
    <t xml:space="preserve">Book accrual for refund to customers for gain on sale of #6 oil; not recognized for tax </t>
  </si>
  <si>
    <t>BOA Office &amp; Call CTR Lease</t>
  </si>
  <si>
    <t>Book accrual office lease expense vs. prescribed costs for tax per IRC Sec 467</t>
  </si>
  <si>
    <t>Accrued Interest</t>
  </si>
  <si>
    <t>Book accrual for interest on tax receivable</t>
  </si>
  <si>
    <t>Miscellaneous Accruals</t>
  </si>
  <si>
    <t>Property Insurance - Transm</t>
  </si>
  <si>
    <t>Book accrual for property insurance vs. actual costs for tax - Transmission allocation</t>
  </si>
  <si>
    <t>Environmental Reserve - Transm</t>
  </si>
  <si>
    <t>Book accrual for bad debts vs direct write off method for tax</t>
  </si>
  <si>
    <t>Bond Premium/discount</t>
  </si>
  <si>
    <t>Unamortized debt issue costs, discount/premium, and loss on reacquired debt deducted for tax vs. for books, these costs are added to and amortized over the life of the new issue</t>
  </si>
  <si>
    <t>ONEOK Purchase Power Agreement</t>
  </si>
  <si>
    <t>Book-tax basis difference Spring Creek power purchase agreement.</t>
  </si>
  <si>
    <t>Software Development Costs</t>
  </si>
  <si>
    <t>June 15</t>
  </si>
  <si>
    <t>Westar Energy Inc. (Westar)</t>
  </si>
  <si>
    <t>Qtr 4 (Previous Year)</t>
  </si>
  <si>
    <t>Qtr 1 (Current Year)</t>
  </si>
  <si>
    <t>Qtr 2 (Current Year)</t>
  </si>
  <si>
    <t>Qtr 3 (Current Year)</t>
  </si>
  <si>
    <t>Interest on True-up Amount ([Average Interest Rate / 12 months]*24 months]</t>
  </si>
  <si>
    <t>True-up Amount (before interest)</t>
  </si>
  <si>
    <t>October 15</t>
  </si>
  <si>
    <t>(line 8 / line 13)</t>
  </si>
  <si>
    <t>(line 14 / 12 months)</t>
  </si>
  <si>
    <t>(Peak:  line 16 / 5 days, Off Peak:   line 16 / 7 days)</t>
  </si>
  <si>
    <t xml:space="preserve">Less transmission expenses included in OATT Anc. Srvc   </t>
  </si>
  <si>
    <t xml:space="preserve">Transmission expenses </t>
  </si>
  <si>
    <r>
      <t>NOTE 1</t>
    </r>
    <r>
      <rPr>
        <sz val="12"/>
        <rFont val="Arial"/>
        <family val="2"/>
      </rPr>
      <t xml:space="preserve">: </t>
    </r>
  </si>
  <si>
    <r>
      <t>NOTE 2</t>
    </r>
    <r>
      <rPr>
        <sz val="12"/>
        <rFont val="Arial"/>
        <family val="2"/>
      </rPr>
      <t xml:space="preserve">: </t>
    </r>
  </si>
  <si>
    <t>I.   Westar Energy</t>
  </si>
  <si>
    <t>II.   WEN</t>
  </si>
  <si>
    <t>"GFA PTP Contract Demand" is the contract demand in MW for these customers.  These amounts are assigned equally between WEN and WES in Sections II and III above.  Details are as follows:</t>
  </si>
  <si>
    <t>"Non-Control Area Transmission Load" in kW is load on Westar's transmission system that is electronically transferred to control areas other than Westar.  Details are as follows:</t>
  </si>
  <si>
    <t>ADIT - Retail</t>
  </si>
  <si>
    <t>Alloc. Fact. - Gross Plant</t>
  </si>
  <si>
    <t>[ line 3  x  line 4 ]</t>
  </si>
  <si>
    <t>[ line 5  x  line 6 ]</t>
  </si>
  <si>
    <t>[ line 7  x  line 8 ]</t>
  </si>
  <si>
    <t>[ sum of lines 11 through 14 ]</t>
  </si>
  <si>
    <t>Cells highlighted in green signify that the data is pulled from other worksheets in the formula and that the reference is static.</t>
  </si>
  <si>
    <t>Cells highlighted in yellow are data input cells, however, some cells may reference the results from other worksheets in the formula.  Such cell references  may change from year to year requiring manual adjustment of the reference or the direct entry of the proper value.</t>
  </si>
  <si>
    <t xml:space="preserve">  SWPP Allocated NITS:  Includes Cities of Alma, Altamont, Enterprise, Marion, Morrill, Muscotah, Scranton, Troy, Waterville and Wathena.  Scranton moved to PTP effective 10/01/2007.</t>
  </si>
  <si>
    <t xml:space="preserve">  SWPP Individual NITS:  Includes Cities of Erie, Fredonia, Iola and Mulvane.  Erie and Fredonia moved to "Bought by Others" June 2006.  Iola moved to NITS Bought by Others effective 4/1/2007.</t>
  </si>
  <si>
    <t xml:space="preserve">  SWPP NITS Bought by Others:  Includes KEPCO and City of Augusta.  Cities of Erie and Fredonia moved to this group June 2006.  Iola moved to this group effective 4/1/2007.</t>
  </si>
  <si>
    <t xml:space="preserve">  Cities of Burlington, Neodesha, Wellington and Winfield {KPP} agreements shown below are not included as a revenue credit because the monthly loads are included in the DIVISOR.</t>
  </si>
  <si>
    <t>Nemaha-Marshall</t>
  </si>
  <si>
    <t>Neodesha</t>
  </si>
  <si>
    <t>GPPA</t>
  </si>
  <si>
    <t>Sch P</t>
  </si>
  <si>
    <t>(Wksht. A-1, p. 1, Sec. I, ln. 22, Total)</t>
  </si>
  <si>
    <t xml:space="preserve">  Revenues from Grandfathered Interzonal Transactions   (Wksht. A-1, p. 2, Sec. III)</t>
  </si>
  <si>
    <t xml:space="preserve">  Revenues from service provided by the ISO at a discount   (Wksht. A-1, p. 2, Sec. III)</t>
  </si>
  <si>
    <t>[Actual Gross Rev, p. 3, ln. 32, col. 7]</t>
  </si>
  <si>
    <t>21a</t>
  </si>
  <si>
    <t>21b</t>
  </si>
  <si>
    <t>Ratio of Rev Credit to Trans Rev. [(line 20/(line1+line2)]</t>
  </si>
  <si>
    <t>Rev. Adj. Alloc. To Rev Credit.</t>
  </si>
  <si>
    <t>(line 21a * 21b)</t>
  </si>
  <si>
    <t>Book-tax basis difference Spring Creek plant</t>
  </si>
  <si>
    <t>FIN 48 Def Tax - Fed Benefit on ST Liability</t>
  </si>
  <si>
    <t>Book accrual for federal tax benefit on state taxes on uncertain income tax positions .</t>
  </si>
  <si>
    <t>FIN 48 Liab - Contra (Tax Credits)</t>
  </si>
  <si>
    <t>Book accrual for federal tax benefits on uncertain income tax positions.</t>
  </si>
  <si>
    <t>FIN 48 Interest Exp - Federal</t>
  </si>
  <si>
    <t>Wolf Creek Form 1 354.18.b</t>
  </si>
  <si>
    <t>(line 3 less line 5)</t>
  </si>
  <si>
    <t>(line 2 less line 4)</t>
  </si>
  <si>
    <t>(line 9 + line 9a - line 9b)</t>
  </si>
  <si>
    <t xml:space="preserve">TOTAL OTHER TAXES  </t>
  </si>
  <si>
    <t>(sum lines 16 - 21)</t>
  </si>
  <si>
    <t xml:space="preserve">TOTAL DEPRECIATION </t>
  </si>
  <si>
    <t>(Sum lines 12 - 14a)</t>
  </si>
  <si>
    <t xml:space="preserve"> Total</t>
  </si>
  <si>
    <t>(Sum lines 3,6,8,13,14,15&amp;16 less lines 4,5,7,9,10,11,12)</t>
  </si>
  <si>
    <t>(Sum lines 18 thru 23)</t>
  </si>
  <si>
    <t xml:space="preserve"> (sum lines 1, 3, 4, 7-10 less lines 2, 2a, 3a, 5- 6b)</t>
  </si>
  <si>
    <r>
      <t xml:space="preserve"> (sum lines </t>
    </r>
    <r>
      <rPr>
        <sz val="12"/>
        <rFont val="Arial"/>
        <family val="2"/>
      </rPr>
      <t>11,15, 22, 29, 30 &amp; 31)</t>
    </r>
  </si>
  <si>
    <t>SWPA</t>
  </si>
  <si>
    <t>McPherson</t>
  </si>
  <si>
    <t>Energy</t>
  </si>
  <si>
    <t>Schedules</t>
  </si>
  <si>
    <t>Jan</t>
  </si>
  <si>
    <t>Feb</t>
  </si>
  <si>
    <t>Mar</t>
  </si>
  <si>
    <t>Apr</t>
  </si>
  <si>
    <t>Jun</t>
  </si>
  <si>
    <t>Jul</t>
  </si>
  <si>
    <t>Aug</t>
  </si>
  <si>
    <t>Sep</t>
  </si>
  <si>
    <t>Oct</t>
  </si>
  <si>
    <t>Nov</t>
  </si>
  <si>
    <t>Dec</t>
  </si>
  <si>
    <t>Total Part. Req.</t>
  </si>
  <si>
    <t>Mulvane</t>
  </si>
  <si>
    <t>Demand (MW)</t>
  </si>
  <si>
    <t>111.57.c  (Note C)</t>
  </si>
  <si>
    <t xml:space="preserve">  Prepayments are the electric related prepayments booked to Account No. 165 and reported on FERC Form 1, p. 111, ln. 57.c.</t>
  </si>
  <si>
    <t>Less:              GFA PTP Scheduled Load</t>
  </si>
  <si>
    <t>Plus:              GFA PTP Contract Demand</t>
  </si>
  <si>
    <r>
      <t>Less:              GFA PTP Scheduled Load</t>
    </r>
    <r>
      <rPr>
        <b/>
        <vertAlign val="superscript"/>
        <sz val="10"/>
        <rFont val="Arial"/>
        <family val="2"/>
      </rPr>
      <t>4</t>
    </r>
  </si>
  <si>
    <r>
      <t>Plus:              GFA PTP Contract Demand</t>
    </r>
    <r>
      <rPr>
        <b/>
        <vertAlign val="superscript"/>
        <sz val="10"/>
        <rFont val="Arial"/>
        <family val="2"/>
      </rPr>
      <t>5</t>
    </r>
  </si>
  <si>
    <t xml:space="preserve">Depr Rate used in Formula </t>
  </si>
  <si>
    <t>FR Transmission Depreciation Expense</t>
  </si>
  <si>
    <t xml:space="preserve">     Less Total Regulatory Commission Expenses</t>
  </si>
  <si>
    <t xml:space="preserve">     Less Total Advertising Costs</t>
  </si>
  <si>
    <t xml:space="preserve">  [ Rate Base (page 2, line 16) * Rate of Return (page 4, line 24) plus Incentive Return (page 4, line 28)]</t>
  </si>
  <si>
    <t>Net Plant for the Form 1 year</t>
  </si>
  <si>
    <t>Actual Facility Carrying Charge</t>
  </si>
  <si>
    <t>(line 7 / line 11)</t>
  </si>
  <si>
    <t>(Act. Net RR, line 12)</t>
  </si>
  <si>
    <t>(line 1 * line 2)</t>
  </si>
  <si>
    <t>Act. Incentive Rev Req.</t>
  </si>
  <si>
    <t>Tot. Act. BPF Rev Req.</t>
  </si>
  <si>
    <t>(line 3 + line 4)</t>
  </si>
  <si>
    <t>Calculation of Revenue Requirements for BPF projects</t>
  </si>
  <si>
    <t>(from A-11, pg 2)</t>
  </si>
  <si>
    <t>(from A-11, pg 3)</t>
  </si>
  <si>
    <t>Calculation of Revenue Requirements for EPP projects</t>
  </si>
  <si>
    <t>Act. EPP Rev Req.</t>
  </si>
  <si>
    <t>Tot. Act. EPP Rev Req.</t>
  </si>
  <si>
    <t>Revenues from Grandfathered Interzonal Transactions</t>
  </si>
  <si>
    <t>Revenues from service provided by the ISO at a discount</t>
  </si>
  <si>
    <t>This is the difference between "Company Transmission Peak Load" and "Load at Transmission System Peak Load."</t>
  </si>
  <si>
    <t>General Note:  References to pages in this formula rate are indicated as:  (page#, line#, col.#).</t>
  </si>
  <si>
    <t>Included in template</t>
  </si>
  <si>
    <t xml:space="preserve">  Included in template</t>
  </si>
  <si>
    <t>214.x.d  (Note B)</t>
  </si>
  <si>
    <t>WORKING CAPITAL</t>
  </si>
  <si>
    <t xml:space="preserve">  Materials &amp; Supplies</t>
  </si>
  <si>
    <t>calculated  (Note C)</t>
  </si>
  <si>
    <t>Ratio of</t>
  </si>
  <si>
    <t>Costs</t>
  </si>
  <si>
    <t>Actual</t>
  </si>
  <si>
    <t>Operation and Maintenance Expenses</t>
  </si>
  <si>
    <t>Expense</t>
  </si>
  <si>
    <t>To Net</t>
  </si>
  <si>
    <t>Other Taxes</t>
  </si>
  <si>
    <t>Revenue Credits</t>
  </si>
  <si>
    <t>Non-incentive Plant</t>
  </si>
  <si>
    <t>Wichita-to-Reno-to-Summit</t>
  </si>
  <si>
    <t>Projected Net Rev Req (1 page)</t>
  </si>
  <si>
    <t>Projected Gross Rev Req (5 pages)</t>
  </si>
  <si>
    <t>Less transmission plant included in OATT Anc. Srvc</t>
  </si>
  <si>
    <t>(line 1 less lines 2 &amp; 3)</t>
  </si>
  <si>
    <t xml:space="preserve">Percentage of transmission plant included in rates </t>
  </si>
  <si>
    <t>FIN 48 Liab - Contra LT</t>
  </si>
  <si>
    <t>Depreciation - Non Cost of Services</t>
  </si>
  <si>
    <t>Deferred Income Tax Depreciation - KCC Difference 4/1/02</t>
  </si>
  <si>
    <t>KCC portion of depreciation expense difference for the period 04/01/02 through 12/21/04 resulting from KCC approved depreciation rates as of 07/01/01 vs the longer life pre-07/01/01 rates for Wolf Creek Generating Station and LaCygne Unit 2.</t>
  </si>
  <si>
    <t>Depreciation expense difference for the period 07/01/01 through 03/31/02 resulting from KCC approved depreciation rates as of 07/01/01 vs the longer life pre-07/01/01 rates</t>
  </si>
  <si>
    <t>Current Deferred Tax Liability Reclass</t>
  </si>
  <si>
    <t>-</t>
  </si>
  <si>
    <t>Amax and Pandm Settlement</t>
  </si>
  <si>
    <t xml:space="preserve">Book amortization of AMAX coal contract buyout costs vs deducted for tax when paid in 1993.  </t>
  </si>
  <si>
    <t>Lacygne</t>
  </si>
  <si>
    <t xml:space="preserve">Accrued book expense for lease payments vs actual lease payments for tax. </t>
  </si>
  <si>
    <t>Wcnoc Outage Expense</t>
  </si>
  <si>
    <t xml:space="preserve">Nuclear refueling expenses amortized on books vs. actual expenses deducted for tax.  </t>
  </si>
  <si>
    <t>Regulatory asset recorded for ad valorem taxes not recognized for tax purposes</t>
  </si>
  <si>
    <t>Acquisition related costs disallowed for tax purposes</t>
  </si>
  <si>
    <t>Regulatory Energy Cost Adj</t>
  </si>
  <si>
    <t>FIN 48 Interest Federal LT</t>
  </si>
  <si>
    <t>Wcnoc Design Basis Costs</t>
  </si>
  <si>
    <t>Costs capitalized on books vs. deducted for tax.</t>
  </si>
  <si>
    <t>Flour Daniel Settlement</t>
  </si>
  <si>
    <t xml:space="preserve">WCOC related settlement proceeds recorded as income on books vs. recorded as basis adjustment for tax. </t>
  </si>
  <si>
    <t>Income Tax Audit Fees</t>
  </si>
  <si>
    <t>Balance of book vs. tax difference related to previous income tax audit fees</t>
  </si>
  <si>
    <t>Swap Fees</t>
  </si>
  <si>
    <t>Balance of book vs. tax difference related to swap fees (hedging fees)</t>
  </si>
  <si>
    <t>Amortization Of Acquisition Adjustment</t>
  </si>
  <si>
    <t>Deferred Income Tax   Mark to Market</t>
  </si>
  <si>
    <t>Less AC 28301 Tax Reclass</t>
  </si>
  <si>
    <t>Network transmission for firm wholesale and retail service sinking on Westar's transmission</t>
  </si>
  <si>
    <t>system, plus long-term P-T-P Contract Demands that are not under the SPP OATT</t>
  </si>
  <si>
    <t>335 (Note F)</t>
  </si>
  <si>
    <t>323.191(b) (Note F)</t>
  </si>
  <si>
    <t>323.189(b) (Note F)</t>
  </si>
  <si>
    <t>Project B</t>
  </si>
  <si>
    <t>Project C</t>
  </si>
  <si>
    <t>Incentive Projects (D)</t>
  </si>
  <si>
    <t>Included as part of line 6b</t>
  </si>
  <si>
    <t>(Page 2, line 1, col. 7)</t>
  </si>
  <si>
    <t>Transmission expenses</t>
  </si>
  <si>
    <t>Less transmission other expenses included in Anc. Srvc</t>
  </si>
  <si>
    <t>(Note L)  (Page 2, line 2, col 7)</t>
  </si>
  <si>
    <t>to Ratebase</t>
  </si>
  <si>
    <t>The formula is calculated in two steps.  The first step is to fill out Tabs A-1 thru A-12, and the Actual Gross Rev. Req.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no later than June 15 each year.</t>
  </si>
  <si>
    <t xml:space="preserve">Industry Association Dues are capped at $1,000,000.  Line 6 - EPRI Annual Membership Dues listed in Form 1 at p. 335, </t>
  </si>
  <si>
    <t xml:space="preserve">  multiplied by (1/1-T) (page 3, line 28).</t>
  </si>
  <si>
    <t xml:space="preserve">  Total  (sum lines 1-4)</t>
  </si>
  <si>
    <t>Total (Included in Sch. WEN, p. 2, ln. 1, col. 3)</t>
  </si>
  <si>
    <r>
      <t xml:space="preserve">P.026208         </t>
    </r>
    <r>
      <rPr>
        <sz val="10"/>
        <rFont val="Arial MT"/>
        <family val="0"/>
      </rPr>
      <t xml:space="preserve">      S.28 (U.10031)</t>
    </r>
  </si>
  <si>
    <t>2006-12</t>
  </si>
  <si>
    <t>Morris-McDowell 230 kV</t>
  </si>
  <si>
    <r>
      <t xml:space="preserve">P.113148                   </t>
    </r>
    <r>
      <rPr>
        <sz val="10"/>
        <rFont val="Arial MT"/>
        <family val="0"/>
      </rPr>
      <t>S.26 (U.10027, 10028)</t>
    </r>
  </si>
  <si>
    <t>2006-03</t>
  </si>
  <si>
    <t>2006-02</t>
  </si>
  <si>
    <t>2006-04</t>
  </si>
  <si>
    <t>XFR-Butler 138/69 kV</t>
  </si>
  <si>
    <r>
      <t xml:space="preserve">P.116101                   </t>
    </r>
    <r>
      <rPr>
        <sz val="10"/>
        <rFont val="Arial MT"/>
        <family val="0"/>
      </rPr>
      <t>S.25 (U.10026)</t>
    </r>
  </si>
  <si>
    <t>2006-06</t>
  </si>
  <si>
    <t>HTI Jct-Circleville 115kV</t>
  </si>
  <si>
    <t>Device-Udall 2 69 kV Capacitor</t>
  </si>
  <si>
    <t>Device-Parsons</t>
  </si>
  <si>
    <t>Device-Clearwater 138 kV</t>
  </si>
  <si>
    <t>Device-NE Parsons</t>
  </si>
  <si>
    <r>
      <t>P.027205</t>
    </r>
    <r>
      <rPr>
        <sz val="10"/>
        <rFont val="Arial MT"/>
        <family val="0"/>
      </rPr>
      <t xml:space="preserve">                    S.85 (U.10109)</t>
    </r>
  </si>
  <si>
    <t>2007-01</t>
  </si>
  <si>
    <r>
      <t>P.114108</t>
    </r>
    <r>
      <rPr>
        <sz val="10"/>
        <rFont val="Arial MT"/>
        <family val="0"/>
      </rPr>
      <t xml:space="preserve">                     S.30020 (U.50026)</t>
    </r>
  </si>
  <si>
    <t>2007-02</t>
  </si>
  <si>
    <r>
      <t xml:space="preserve">P.115102                  </t>
    </r>
    <r>
      <rPr>
        <sz val="10"/>
        <rFont val="Arial MT"/>
        <family val="0"/>
      </rPr>
      <t>S.30023 (U.50029)</t>
    </r>
  </si>
  <si>
    <t>2007-03</t>
  </si>
  <si>
    <r>
      <t>P.116102</t>
    </r>
    <r>
      <rPr>
        <sz val="10"/>
        <rFont val="Arial MT"/>
        <family val="0"/>
      </rPr>
      <t xml:space="preserve">                    S.30005 (U.50006)</t>
    </r>
  </si>
  <si>
    <t>2007-04</t>
  </si>
  <si>
    <r>
      <t>P.117105</t>
    </r>
    <r>
      <rPr>
        <sz val="10"/>
        <rFont val="Arial MT"/>
        <family val="0"/>
      </rPr>
      <t xml:space="preserve">                   S.30022 (U.50028)</t>
    </r>
  </si>
  <si>
    <t>2007-05</t>
  </si>
  <si>
    <t>2007-10</t>
  </si>
  <si>
    <t>2007-06</t>
  </si>
  <si>
    <t>2007-12</t>
  </si>
  <si>
    <t>Xfr-County Line 115/69</t>
  </si>
  <si>
    <r>
      <t>P.117122</t>
    </r>
    <r>
      <rPr>
        <sz val="10"/>
        <rFont val="Arial MT"/>
        <family val="0"/>
      </rPr>
      <t xml:space="preserve">                    S.181 (U.10230)</t>
    </r>
  </si>
  <si>
    <t>2008-12</t>
  </si>
  <si>
    <t>Current Deferred Tax Asset Reclass</t>
  </si>
  <si>
    <t>Accumulated Deferred Income Tax Utility Oper Other</t>
  </si>
  <si>
    <t>Vulcan Contracts</t>
  </si>
  <si>
    <t>Consideration payment related to 2003 unit participation agreement tax deductible when paid; amortized for books.</t>
  </si>
  <si>
    <t>KS Dept Revenue Excavation Refund</t>
  </si>
  <si>
    <t>Taxable refunds not recognized on books.</t>
  </si>
  <si>
    <t>Pensions</t>
  </si>
  <si>
    <t>SFAS 87 pension accrual per books vs. actual contributions for tax</t>
  </si>
  <si>
    <t>Deferred Compensation salaried WE</t>
  </si>
  <si>
    <t>Deferred compensation interest accrued on books, deductible for tax when paid</t>
  </si>
  <si>
    <t>Bad Debts</t>
  </si>
  <si>
    <t>Book accrual for bad debts vs. direct write off method for tax</t>
  </si>
  <si>
    <t>Property Insurance</t>
  </si>
  <si>
    <t>Book accrual for property insurance vs. actual costs for tax</t>
  </si>
  <si>
    <t>Injuries and Damages</t>
  </si>
  <si>
    <t>Book accrual for 3rd party injuries and damages vs. actual costs for tax</t>
  </si>
  <si>
    <t>Group Medical Insurance</t>
  </si>
  <si>
    <t>Book accrual for group medical claims vs. actual costs for tax</t>
  </si>
  <si>
    <t>Environmental</t>
  </si>
  <si>
    <t>Book accrual for environmental reserve vs. actual costs for tax</t>
  </si>
  <si>
    <t>Vacation Pay Accrual</t>
  </si>
  <si>
    <t>Accrued vacation pay per books vs. vacations paid within 2 1/2 months of year end for tax</t>
  </si>
  <si>
    <t>Legal Expenses</t>
  </si>
  <si>
    <t>Legal expenses accrued on books vs. actual payments for tax</t>
  </si>
  <si>
    <t>Tax Credit Carryover</t>
  </si>
  <si>
    <t>General business credits to be utilized in future years</t>
  </si>
  <si>
    <t>Deferred Compensation Plan</t>
  </si>
  <si>
    <t>Book accrual for deferred compensation vs. actual payments for tax</t>
  </si>
  <si>
    <t>Inventory Valuation</t>
  </si>
  <si>
    <t>Book accrual for inventory reserve vs. actual losses for tax</t>
  </si>
  <si>
    <t>Fly Ash Contract - Liability for Deferred Tax</t>
  </si>
  <si>
    <t>Revenue from Fly Ash Contract deferred on books and amortized over 10 years; recognized for tax upon receipt.</t>
  </si>
  <si>
    <t>DIT R/L - Sale of Wichita SCC</t>
  </si>
  <si>
    <t>Book recognition of gain beginning 2/2006 on 2004 Sale of land at Wichita SCC per 12/05 rate order - s/b WES only (This balance will get transferred to WES)</t>
  </si>
  <si>
    <t>Westar Generation Power Purchase</t>
  </si>
  <si>
    <t xml:space="preserve">Regulatory liability recorded for power purchased from Westar Generating; not recognized for tax.  </t>
  </si>
  <si>
    <t>Alternative Minimum Tax</t>
  </si>
  <si>
    <t>Alternative minimum tax credits to be used in future years</t>
  </si>
  <si>
    <t>PODS Regulatory/Liability1</t>
  </si>
  <si>
    <t>Includes only FICA, unemployment, highway, property, gross receipts, and other assessments charged in the current year.</t>
  </si>
  <si>
    <t>K</t>
  </si>
  <si>
    <t>L</t>
  </si>
  <si>
    <t>M</t>
  </si>
  <si>
    <t>N</t>
  </si>
  <si>
    <t>Note:</t>
  </si>
  <si>
    <t>Interest rate divided in half for first year (2007 historic, 2009 projected) to account for only 1 year of interest rather than two.</t>
  </si>
  <si>
    <t>Projected projects (Inputs from Worksheet P-4)</t>
  </si>
  <si>
    <t>Actual (Input data from Worksheet A-11)</t>
  </si>
  <si>
    <t>Actual Projects (Inputs from Worksheet A-9)</t>
  </si>
  <si>
    <t>Projected Projects (Inputs from Worksheet P-1)</t>
  </si>
  <si>
    <t>(5)*(6)</t>
  </si>
  <si>
    <t>(Worksheet P-2, line 5)</t>
  </si>
  <si>
    <t>(Worksheet P-2, line 6)</t>
  </si>
  <si>
    <t>(Worksheet P-2, line 7)</t>
  </si>
  <si>
    <t>(Worksheet P-2, line 8)</t>
  </si>
  <si>
    <t>(Worksheet P-2, line 9)</t>
  </si>
  <si>
    <t>(Worksheet P-2, line 10)</t>
  </si>
  <si>
    <t>(Worksheet P-2, line 11)</t>
  </si>
  <si>
    <t>(Worksheet P-2, line 12)</t>
  </si>
  <si>
    <t>(Worksheet P-2, line 13)</t>
  </si>
  <si>
    <t>(Worksheet P-2, line 14)</t>
  </si>
  <si>
    <t>(Worksheet P-2, line 15)</t>
  </si>
  <si>
    <t>(Worksheet P-2, line 16)</t>
  </si>
  <si>
    <t>Reference</t>
  </si>
  <si>
    <t>(Worksheet P-2, line 18)</t>
  </si>
  <si>
    <t xml:space="preserve">GROSS PLANT IN SERVICE </t>
  </si>
  <si>
    <t>(Actual Gross Rev. Page 3, line 18)</t>
  </si>
  <si>
    <t>TRANSMISSION PLANT INCLUDED IN FORMULA</t>
  </si>
  <si>
    <t>Post results of Step 10</t>
  </si>
  <si>
    <t>Post results from Step 7 and Step 8</t>
  </si>
  <si>
    <t>Proprietary Capital (112.16.c)(WEN Form 1)</t>
  </si>
  <si>
    <t>Less Preferred Stock (line 28)</t>
  </si>
  <si>
    <t>(line 1 minus line 6)</t>
  </si>
  <si>
    <t>Return Adder</t>
  </si>
  <si>
    <t>d</t>
  </si>
  <si>
    <t>e</t>
  </si>
  <si>
    <t>f</t>
  </si>
  <si>
    <t>g</t>
  </si>
  <si>
    <t>h</t>
  </si>
  <si>
    <t>i</t>
  </si>
  <si>
    <t>j</t>
  </si>
  <si>
    <t>k</t>
  </si>
  <si>
    <t>l</t>
  </si>
  <si>
    <t>m</t>
  </si>
  <si>
    <t>n</t>
  </si>
  <si>
    <t>(a - b)</t>
  </si>
  <si>
    <t>(line 20)</t>
  </si>
  <si>
    <t>Note B: The depreciation rate for Non-qualifying Projects is calculated by: line 1/line 4.</t>
  </si>
  <si>
    <t>The initial Post-Employment Benefits Other than Pensions (PBOP) expense set forth below will be used in lieu of the actual PBOP</t>
  </si>
  <si>
    <t>205.46.g</t>
  </si>
  <si>
    <t>321.112.b</t>
  </si>
  <si>
    <t>321.96.b</t>
  </si>
  <si>
    <t>323.197.b</t>
  </si>
  <si>
    <t>336.11.b</t>
  </si>
  <si>
    <t>354.21.b</t>
  </si>
  <si>
    <t>354.23.b</t>
  </si>
  <si>
    <t>354.24,25,26.b</t>
  </si>
  <si>
    <t>Beginning Amt</t>
  </si>
  <si>
    <t>Project:</t>
  </si>
  <si>
    <t>Deprec. Rate:</t>
  </si>
  <si>
    <t>ROE Adder</t>
  </si>
  <si>
    <t>Incentive ROR</t>
  </si>
  <si>
    <t>Weighted ROE:</t>
  </si>
  <si>
    <t>Beginning Bal:</t>
  </si>
  <si>
    <t>Beginning Dep:</t>
  </si>
  <si>
    <t>Beginning Year:</t>
  </si>
  <si>
    <t>Worksheet A-11 - Actual Incentive Plant</t>
  </si>
  <si>
    <t>Incentive RR</t>
  </si>
  <si>
    <t>(Worksheet A-11)</t>
  </si>
  <si>
    <t>A-1 (Rev. Credit)</t>
  </si>
  <si>
    <t>A-2 (Divisor)</t>
  </si>
  <si>
    <t>A-3 (Retail Adder)</t>
  </si>
  <si>
    <t>Total Incentive, non-incentive and BPF Plant</t>
  </si>
  <si>
    <t>Total Plant Additions</t>
  </si>
  <si>
    <t>Worksheet P4 - Projected Transmission Plant Related to Base Plan Funded Projects</t>
  </si>
  <si>
    <t>Total Base Plan Funded Projects ( C )</t>
  </si>
  <si>
    <t>( C)  May also include Incentive Projects if Incentive Projects are also Base Plan Funded.</t>
  </si>
  <si>
    <t>(B)  May also include Incentive Projects if Incentive Projects are also Base Plan Funded.</t>
  </si>
  <si>
    <t>SPP Proj. ID</t>
  </si>
  <si>
    <t>Deprec. Rate: ( C )</t>
  </si>
  <si>
    <t>Worksheet A-9 - Actual Base Plan Funded Plant</t>
  </si>
  <si>
    <t>Beg Year-Mo.:</t>
  </si>
  <si>
    <t>Accm. Deprec.</t>
  </si>
  <si>
    <t>A-4 (WEN O&amp;M Exclusions)</t>
  </si>
  <si>
    <t>A-5 (WEN ADIT)</t>
  </si>
  <si>
    <t>A-6 (WES O&amp;M Exclusions)</t>
  </si>
  <si>
    <t>A-7 (WES ADIT)</t>
  </si>
  <si>
    <t>Accumulated Deferred Income Taxes</t>
  </si>
  <si>
    <t>Amortization of Loss on Reacquired Debt</t>
  </si>
  <si>
    <t>Less: Amort. of Gain on Reacquired Debt-Credit</t>
  </si>
  <si>
    <t>Notes Payable (Acct. 231) Sum of the Daily amounts (Note C)</t>
  </si>
  <si>
    <t>Sum of the daily short-term borrowings is supplied from the Finance Department.</t>
  </si>
  <si>
    <t>Less Account 216.1 (112.12.c)  (Note N)</t>
  </si>
  <si>
    <t>336.7.f or Worksheet A-8</t>
  </si>
  <si>
    <t xml:space="preserve">      1 / (1 - T)  = (from line 23)</t>
  </si>
  <si>
    <t>Income Tax Calculation = line 24 * line 30</t>
  </si>
  <si>
    <t>ITC adjustment (line 25 * line 26)</t>
  </si>
  <si>
    <t>(line 27 plus line 28)</t>
  </si>
  <si>
    <t>Determination of Transmission Network Load (MW)</t>
  </si>
  <si>
    <t>Determination of WEN's and WES' Contribution to Transmission Network Load (MW)</t>
  </si>
  <si>
    <t>These are the dates, times and loads at the time of WEN's and WES' transmission peak, as reported in FERC Form 1, page 400.</t>
  </si>
  <si>
    <t>Debt cost rate = long-term interest (line 15) / long term debt (line 21).  Preferred cost rate = preferred dividends (line 16) / preferred stock (line 22).</t>
  </si>
  <si>
    <t>Projected transmission load for next calendar year</t>
  </si>
  <si>
    <t>True-up Adjustment and Interest Calculation</t>
  </si>
  <si>
    <t>Worksheet TU</t>
  </si>
  <si>
    <t>(Note F)</t>
  </si>
  <si>
    <t>TOTAL WORKING CAPITAL</t>
  </si>
  <si>
    <t xml:space="preserve">TOTAL O&amp;M  </t>
  </si>
  <si>
    <t>TOTAL DEPRECIATION</t>
  </si>
  <si>
    <t xml:space="preserve">TOTAL OTHER TAXES </t>
  </si>
  <si>
    <t>(line 11 / line 12 * line 13 / 2)</t>
  </si>
  <si>
    <t>Interest Rate Used for True-up adjustment (Note D)</t>
  </si>
  <si>
    <t>Annual Short-term Int Rate</t>
  </si>
  <si>
    <t>Avg. Ann Short Term Int</t>
  </si>
  <si>
    <t>4a</t>
  </si>
  <si>
    <t xml:space="preserve">  Intangible</t>
  </si>
  <si>
    <t>205.5g</t>
  </si>
  <si>
    <t>207.99.g</t>
  </si>
  <si>
    <t xml:space="preserve">  General</t>
  </si>
  <si>
    <t>10a</t>
  </si>
  <si>
    <t>Workpaper</t>
  </si>
  <si>
    <t>(line 4 less line 10)</t>
  </si>
  <si>
    <t>(line 4a less line 10a)</t>
  </si>
  <si>
    <t>13a</t>
  </si>
  <si>
    <t>336.1f</t>
  </si>
  <si>
    <t>336.10.f</t>
  </si>
  <si>
    <t>P-3 (Trans. Network Load)</t>
  </si>
  <si>
    <t>(Note R)</t>
  </si>
  <si>
    <t xml:space="preserve">     Less: Actual PBOP</t>
  </si>
  <si>
    <t xml:space="preserve">     Plus: PBOP adder</t>
  </si>
  <si>
    <t xml:space="preserve">     Less EPRI</t>
  </si>
  <si>
    <t xml:space="preserve">     Plus Safety Advertising</t>
  </si>
  <si>
    <t>456.1040</t>
  </si>
  <si>
    <t>456.1050</t>
  </si>
  <si>
    <t>456.1200</t>
  </si>
  <si>
    <t>456.1030</t>
  </si>
  <si>
    <t>Anc 1 - Retail Only</t>
  </si>
  <si>
    <t>Trans Service - Retail Only</t>
  </si>
  <si>
    <t>Anc 2 - Retail Only</t>
  </si>
  <si>
    <t>Anc 4</t>
  </si>
  <si>
    <t>456.1003</t>
  </si>
  <si>
    <t>($ / Allocation)</t>
  </si>
  <si>
    <t>=</t>
  </si>
  <si>
    <t>% Electric</t>
  </si>
  <si>
    <t xml:space="preserve">  Electric</t>
  </si>
  <si>
    <t>200.3.c</t>
  </si>
  <si>
    <t>(line 17 / line 20)</t>
  </si>
  <si>
    <t>(line 16)</t>
  </si>
  <si>
    <t>CE</t>
  </si>
  <si>
    <t xml:space="preserve">  Gas</t>
  </si>
  <si>
    <t>200.3.d</t>
  </si>
  <si>
    <t>*</t>
  </si>
  <si>
    <t xml:space="preserve">  Water</t>
  </si>
  <si>
    <t>200.3.e</t>
  </si>
  <si>
    <t>RETURN (R)</t>
  </si>
  <si>
    <r>
      <t>P.28200</t>
    </r>
    <r>
      <rPr>
        <sz val="10"/>
        <rFont val="Arial MT"/>
        <family val="0"/>
      </rPr>
      <t xml:space="preserve"> S: 253 (U 1033, 10334, 10355)</t>
    </r>
  </si>
  <si>
    <t>2008-02</t>
  </si>
  <si>
    <t>2008-09</t>
  </si>
  <si>
    <t>Book accrual for potential sales tax exposure; deductible for tax when paid</t>
  </si>
  <si>
    <t>Call Opt on Put/Call Bonds</t>
  </si>
  <si>
    <t>Non-utility related</t>
  </si>
  <si>
    <t>Deferred Income Tax on PODS Regulatory/Liability</t>
  </si>
  <si>
    <t>Power Marketing Incentives</t>
  </si>
  <si>
    <t>Restricted Stock Expenses</t>
  </si>
  <si>
    <t>Power Marketing Mark to Market - Deferred Tax</t>
  </si>
  <si>
    <t>Deferred Compensation Interest salaried</t>
  </si>
  <si>
    <t>Short Term Incentive</t>
  </si>
  <si>
    <t>Subsidiary Acquisition Costs</t>
  </si>
  <si>
    <t>Coal Contract Mark to Market -  Liability</t>
  </si>
  <si>
    <t>Wholesale Sales MTM</t>
  </si>
  <si>
    <t>Legal Expense</t>
  </si>
  <si>
    <t>Restructuring Expense</t>
  </si>
  <si>
    <t>Impairment of Plane Lease</t>
  </si>
  <si>
    <t>WR Bermuda</t>
  </si>
  <si>
    <t>Severance Benefit</t>
  </si>
  <si>
    <t>Valuation Allowance - WR Bermuda</t>
  </si>
  <si>
    <t>WE Agreements</t>
  </si>
  <si>
    <t>ONEOK Special Agreements</t>
  </si>
  <si>
    <t>Terminal Net Salvage</t>
  </si>
  <si>
    <t>Adjustment to ADIT in a/c 2821003 using book rates without terminal net salvage per KCC Remand Feb 2007</t>
  </si>
  <si>
    <t>Liberalized Depreciation</t>
  </si>
  <si>
    <t>(Actual Gross Rev, p2, ln 19, col 3 &amp; 4)</t>
  </si>
  <si>
    <t>(Actual Gross Rev, p2, ln 20, col 3 &amp; 4)</t>
  </si>
  <si>
    <t>(Actual Gross Rev, p2, ln 21, col 3 &amp; 4)</t>
  </si>
  <si>
    <t>(Ratio of Cost to total)</t>
  </si>
  <si>
    <t>(Ratio * Proj. Net Plant)</t>
  </si>
  <si>
    <t>(Worksheet P-2. line 3)</t>
  </si>
  <si>
    <t>(Worksheet P-2, line 4)</t>
  </si>
  <si>
    <t xml:space="preserve"> (sum lines 1, 3, 4, 7, 8, 9, 10 less lines 2, 2a, 3a, 5, 6, 6a, 6b)</t>
  </si>
  <si>
    <t>(Worksheet P-2, line 19)</t>
  </si>
  <si>
    <t>(Worksheet P-2, line 20)</t>
  </si>
  <si>
    <t>(Worksheet P-2, line 21)</t>
  </si>
  <si>
    <t>(Worksheet P-2, line 22)</t>
  </si>
  <si>
    <t>(Worksheet P-2, line 23)</t>
  </si>
  <si>
    <t xml:space="preserve">Note: </t>
  </si>
  <si>
    <t>Total Allocated Transmission-Related Plant in Service</t>
  </si>
  <si>
    <t>Credits</t>
  </si>
  <si>
    <t>Revenue</t>
  </si>
  <si>
    <t>Rate Base Adjustments as a Percentage of Net Plant</t>
  </si>
  <si>
    <t>Incentive</t>
  </si>
  <si>
    <t>Non-Incentive</t>
  </si>
  <si>
    <t xml:space="preserve">  (State Income Tax Rate or Composite SIT)</t>
  </si>
  <si>
    <t>p =</t>
  </si>
  <si>
    <t xml:space="preserve">  (percent of federal income tax deductible for state purposes)</t>
  </si>
  <si>
    <t xml:space="preserve">     T=1 - {[(1 - SIT) * (1 - FIT)] / (1 - SIT * FIT * p)} =</t>
  </si>
  <si>
    <t xml:space="preserve">     CIT=(T/1-T) * (1-(WCLTD/R)) =</t>
  </si>
  <si>
    <t>Amortized Investment Tax Credit (266.8f) (enter negative)</t>
  </si>
  <si>
    <t xml:space="preserve">         Inputs Required:</t>
  </si>
  <si>
    <t>WS</t>
  </si>
  <si>
    <t xml:space="preserve">  CWC  </t>
  </si>
  <si>
    <t>Enter dollar amounts</t>
  </si>
  <si>
    <t>(WEN)</t>
  </si>
  <si>
    <t>WESTAR ENERGY, INC.</t>
  </si>
  <si>
    <t>(WES)</t>
  </si>
  <si>
    <t>Company</t>
  </si>
  <si>
    <t>WESTAR</t>
  </si>
  <si>
    <t>TOTAL</t>
  </si>
  <si>
    <t>CMCPH</t>
  </si>
  <si>
    <t>KCPL</t>
  </si>
  <si>
    <t>MIDW</t>
  </si>
  <si>
    <t>MOPEP</t>
  </si>
  <si>
    <t>OMPA</t>
  </si>
  <si>
    <t>SWPP</t>
  </si>
  <si>
    <t>SWPP Studies</t>
  </si>
  <si>
    <t>KVE</t>
  </si>
  <si>
    <t>NMEC</t>
  </si>
  <si>
    <t>CCHAN</t>
  </si>
  <si>
    <t>CNEOD</t>
  </si>
  <si>
    <t>CWINF</t>
  </si>
  <si>
    <t>Transmission Service</t>
  </si>
  <si>
    <t>Anc 1</t>
  </si>
  <si>
    <t>Anc 3</t>
  </si>
  <si>
    <t>Anc 5</t>
  </si>
  <si>
    <t>Anc 6</t>
  </si>
  <si>
    <t>Trans Studies</t>
  </si>
  <si>
    <t>SPP Losses/MIDW Cntrl</t>
  </si>
  <si>
    <t>Balance at End of Year</t>
  </si>
  <si>
    <t>Ratio</t>
  </si>
  <si>
    <t>Page.    Line No.  Col.</t>
  </si>
  <si>
    <t>Facility Carrying Charge</t>
  </si>
  <si>
    <t>Distribution</t>
  </si>
  <si>
    <t>Exclude:</t>
  </si>
  <si>
    <t>For the 12 months ended - December 31, 2008</t>
  </si>
  <si>
    <t>Book amortization of software development costs of CSS system vs. deducted for tax when costs were incurred</t>
  </si>
  <si>
    <t>Ad Valorem Tax Regulatory/Asset</t>
  </si>
  <si>
    <t>Regulatory asset recorded for ad valorem taxes not recognized for tax purposes.</t>
  </si>
  <si>
    <t>47% (1)</t>
  </si>
  <si>
    <t>(Col b+d+e)</t>
  </si>
  <si>
    <t>Footnotes:</t>
  </si>
  <si>
    <t>`</t>
  </si>
  <si>
    <t>Effective Tax Rate</t>
  </si>
  <si>
    <t>Net Transmission Plant</t>
  </si>
  <si>
    <t>(Worksheet A-3, p. 1, ln. 16, Total)</t>
  </si>
  <si>
    <t xml:space="preserve">  [ Rate Base (page 1, line 16) * Rate of Return (page 5, line 24) plus Incentive Return (page 5, line 29)]</t>
  </si>
  <si>
    <t>(1)  Wolf Creek W&amp;S Production (Form 1 Reference 354.18.b) x 47% (Westar Share)</t>
  </si>
  <si>
    <t>(2)  As billed by Kansas City Power &amp; Light</t>
  </si>
  <si>
    <t>Line No</t>
  </si>
  <si>
    <t>9b</t>
  </si>
  <si>
    <t>(A) Actual transmission depreciation expense (Actual Gross Rev Req, page 2, line 10) divided by actual transmission plant in service (Actual Gross Rev Req, page 1, line 1) divided by 12 months.</t>
  </si>
  <si>
    <t>(B) 15-year accelerated depreciation expenses authorized in Docket Nos. EL08-31-000 and ER08-396-000.</t>
  </si>
  <si>
    <t>(A) Projected transmission depreciation expense (Projected Gross Rev Req, page 1, line 10) divided by projected transmission plant in service (Projected Gross Rev Req, page 1, line 1) divided by 12.</t>
  </si>
  <si>
    <t>Subtotal - p275</t>
  </si>
  <si>
    <t>Note C:  To be completed with any BPF project approved by the Southwest Power Pool.</t>
  </si>
  <si>
    <t>Worksheet A-8</t>
  </si>
  <si>
    <t>Worksheet A-9</t>
  </si>
  <si>
    <t>Worksheet A-10</t>
  </si>
  <si>
    <t>Date to be Posted</t>
  </si>
  <si>
    <t>Actual (Input data from Worksheet A-12)</t>
  </si>
  <si>
    <t>Note A: All line references are to Worksheet EPP, page 1.</t>
  </si>
  <si>
    <t>Non-Incentive Projects ( C )</t>
  </si>
  <si>
    <t>Note C:  To be completed with any EPP project approved by the Southwest Power Pool.</t>
  </si>
  <si>
    <t>BASED ON DEPRECIATION RATES USED IN FORMULA RATE TEMPLATE</t>
  </si>
  <si>
    <t>Plant In Service Account #</t>
  </si>
  <si>
    <t>Total Plant In Service           (Total PIS)</t>
  </si>
  <si>
    <t>FR Fixed Annualized Depr Rates</t>
  </si>
  <si>
    <t>FR Fixed Monthly Rate</t>
  </si>
  <si>
    <t>Depreciation Rate Comparison</t>
  </si>
  <si>
    <t xml:space="preserve">Preferred Dividends (118.29c) (positive number) </t>
  </si>
  <si>
    <t>Year</t>
  </si>
  <si>
    <t>Gain on 2004 sale of land at Wichita service center set up on books as a regulatory liability vs. recognized as capital gain at time of sale for tax</t>
  </si>
  <si>
    <t>LaCygne Dismantling Cost</t>
  </si>
  <si>
    <t>Book accrual for rebates to customers to be paid in 2005 and 2006; deductible for tax when paid.</t>
  </si>
  <si>
    <t xml:space="preserve">  FIN 48 Def Tax - Fed Benefit on ST Liability</t>
  </si>
  <si>
    <t xml:space="preserve">  FIN 48 Interest Exp - Federal</t>
  </si>
  <si>
    <t xml:space="preserve">  FIN 48 Interest Exp - State</t>
  </si>
  <si>
    <t xml:space="preserve">  SFAS 5 Long Term Interest</t>
  </si>
  <si>
    <t xml:space="preserve">  R/L FERC Transmission Settlement</t>
  </si>
  <si>
    <t>Regulatory liability for FERC revenue refund</t>
  </si>
  <si>
    <t>Oklahoma Municipal Power Agreement Sale</t>
  </si>
  <si>
    <t>Transmission revenue from OMPA deferred on books and amortized over term of contract; recognized for tax upon receipt.</t>
  </si>
  <si>
    <t>Drexel Write Off</t>
  </si>
  <si>
    <t>Prudent Management Accounting Adjustment</t>
  </si>
  <si>
    <t>Deferred Compensation KGE</t>
  </si>
  <si>
    <t>Power Marketing Mark to Market-Deferred Tax</t>
  </si>
  <si>
    <t>KGE Building</t>
  </si>
  <si>
    <t xml:space="preserve">AFUDC recorded on books not subject to tax requirements for capitalization per Code Sec 263A.  </t>
  </si>
  <si>
    <t xml:space="preserve">Cost of removal charged to accumulated depreciation reserve for book purposes but expensed for tax </t>
  </si>
  <si>
    <t>Deferred Income Tax FERC WCNOC and LaCygne</t>
  </si>
  <si>
    <t>Unamortized Extraordinary Property Loss</t>
  </si>
  <si>
    <t>19b</t>
  </si>
  <si>
    <t>Transmission Storm Damage Reserve</t>
  </si>
  <si>
    <t>Account 228.1 (Note S)</t>
  </si>
  <si>
    <t>Account 182.1 (Note S)</t>
  </si>
  <si>
    <t>S</t>
  </si>
  <si>
    <t>14a</t>
  </si>
  <si>
    <t>Amortization of Property Loss</t>
  </si>
  <si>
    <t>Acct. 407-Unrecovered Plant and Regulatory Study Costs (Note S)</t>
  </si>
  <si>
    <t>Amort. of Debt Disc. and Expense</t>
  </si>
  <si>
    <t>Less: Amort. of Premium on Debt-Credit</t>
  </si>
  <si>
    <t>117.62.c</t>
  </si>
  <si>
    <t>117.63.c</t>
  </si>
  <si>
    <t>117.64.c</t>
  </si>
  <si>
    <t>117.65.c</t>
  </si>
  <si>
    <t>117.66.c</t>
  </si>
  <si>
    <t>N/A</t>
  </si>
  <si>
    <t xml:space="preserve">  Preferred Stock  (112.3.c)(WEN Only)</t>
  </si>
  <si>
    <t xml:space="preserve">  Common Stock  (line 26)(WEN Only)</t>
  </si>
  <si>
    <t>Customer</t>
  </si>
  <si>
    <t>GM</t>
  </si>
  <si>
    <t>SPP PTP</t>
  </si>
  <si>
    <t>KPP</t>
  </si>
  <si>
    <t>Future use</t>
  </si>
  <si>
    <t>Total (MW)</t>
  </si>
  <si>
    <t xml:space="preserve"> ( c )</t>
  </si>
  <si>
    <t>(g)</t>
  </si>
  <si>
    <t>(h)</t>
  </si>
  <si>
    <t>(i)</t>
  </si>
  <si>
    <t>(j)</t>
  </si>
  <si>
    <t>(k)</t>
  </si>
  <si>
    <t>"Non-Firm Sales to Cities" are MW loads at the time of Westar's monthly transmission system peak load associated with non-firm GFA transmission service or loads solely utilizing SPP PTP transmission service.</t>
  </si>
  <si>
    <t>Contract Type</t>
  </si>
  <si>
    <t xml:space="preserve">Chanute </t>
  </si>
  <si>
    <t>SPP NITS</t>
  </si>
  <si>
    <t>Total Gen.</t>
  </si>
  <si>
    <t>(MW)</t>
  </si>
  <si>
    <t>(l)</t>
  </si>
  <si>
    <t>(a+b+c+d+e)</t>
  </si>
  <si>
    <t>(g+h+i+j)</t>
  </si>
  <si>
    <t>(f+k)</t>
  </si>
  <si>
    <t>Book accrual for environmental reserve vs. actual costs for tax - Transmission allocation</t>
  </si>
  <si>
    <t>Inj &amp; Damages Reserve - Transm</t>
  </si>
  <si>
    <t>Book accrual for 3rd party injuries and damages vs. actual costs for tax - Transmission allocation</t>
  </si>
  <si>
    <t>CAPITAL LOSS CARRYFORWARD</t>
  </si>
  <si>
    <t>Bad Debt Writeoff</t>
  </si>
  <si>
    <t>Long - Tm Incentive Program PWR Mkt</t>
  </si>
  <si>
    <t>DIT - MISO RSG Settlement</t>
  </si>
  <si>
    <t>LT Incentive Prog-pwr mkt</t>
  </si>
  <si>
    <t>Reg Liab # 6 Oil Sale</t>
  </si>
  <si>
    <t>BOA Office and Call Center Lease</t>
  </si>
  <si>
    <t>Property Insurance Reserve- Transmission</t>
  </si>
  <si>
    <t>Environmental Reserve - Transmission</t>
  </si>
  <si>
    <t>Inj &amp; Damages Reserve - Transmission</t>
  </si>
  <si>
    <t>KEPCo - Chapman</t>
  </si>
  <si>
    <t>Regulatory Commission Expense</t>
  </si>
  <si>
    <t>Book amortization of regulatory commission expenses previously deducted for tax</t>
  </si>
  <si>
    <t>Integration Costs</t>
  </si>
  <si>
    <t>Acquisition related costs disallowed for tax purposes.</t>
  </si>
  <si>
    <t>Storm Costs</t>
  </si>
  <si>
    <t>Storm related carrying charges recorded on the books not deductible for tax</t>
  </si>
  <si>
    <t>Regulatory Energy Cost Adjustment</t>
  </si>
  <si>
    <t>Book accrual for CSS billings for retail energy in excess of retail fuel costs; not recognized for tax</t>
  </si>
  <si>
    <t>FIN 48 Interest - Fed LT</t>
  </si>
  <si>
    <t>Book accrual for federal tax benefit on state taxes on interest on uncertain income tax positions .</t>
  </si>
  <si>
    <t>Texas State Deferred Taxes</t>
  </si>
  <si>
    <t>Deferred taxes accrued due to projected impact of doing business in Texas</t>
  </si>
  <si>
    <t>Homeland Security - 2005 Rate Case</t>
  </si>
  <si>
    <t>Security-related costs currently deductible for tax, amortized over 3 years for book purposes.</t>
  </si>
  <si>
    <t>System Reliability - 2005 Rate Case</t>
  </si>
  <si>
    <t>System Reliability costs currently deductible for tax, amortized over 5 years for book purposes.</t>
  </si>
  <si>
    <t>Accumulated Deferred Income Tax  Other Non Utility</t>
  </si>
  <si>
    <t>Amortization of Acquisition Adjustment</t>
  </si>
  <si>
    <t>Other Accruals</t>
  </si>
  <si>
    <t>Guardian Dividends</t>
  </si>
  <si>
    <t>Deferred Income Tax Valuation Guardian Investment</t>
  </si>
  <si>
    <t>Deferred Income Tax Rabbi Trust Mark to Market</t>
  </si>
  <si>
    <t>Deferred Income Tax Mark to Market</t>
  </si>
  <si>
    <t>Accumulated Deferred Income Tax Hedges - Mark to Market</t>
  </si>
  <si>
    <t>Accumulated Deferred Income Tax Swaps - Mark to Market</t>
  </si>
  <si>
    <t>Deferred Income Tax - Misc Inv. Mark to Market</t>
  </si>
  <si>
    <t>Valuation Allowance - Def Inc Tax on KMF Fund Mark to Market</t>
  </si>
  <si>
    <t>Deferred Income Tax - Oneok Common Mark to Market</t>
  </si>
  <si>
    <t>Mark to Market Call Option Hedge</t>
  </si>
  <si>
    <t>Deferred Income Tax on KMF Fund Mark to Market</t>
  </si>
  <si>
    <t>Less AC 2830240 Long Term Tax Reclass</t>
  </si>
  <si>
    <t>WCNOC Net Operating Loss Rate Difference</t>
  </si>
  <si>
    <t>Income tax rate difference on previous KGE Federal net operating loss</t>
  </si>
  <si>
    <t>Consideration payment related to 2003 electric service agreement taxable income when payment received; amortized for books.</t>
  </si>
  <si>
    <t>Gain on Lacygne 2 Sale/Leaseback</t>
  </si>
  <si>
    <t>Generation related - Excluded</t>
  </si>
  <si>
    <t>Deferred Income Tax Regulatory/Liability Sale of Wichita SCC</t>
  </si>
  <si>
    <t>Determination of O&amp;M Exclusions from the Formula Rate</t>
  </si>
  <si>
    <r>
      <t>Less:          Non-Firm Sales to Cities</t>
    </r>
    <r>
      <rPr>
        <b/>
        <vertAlign val="superscript"/>
        <sz val="10"/>
        <rFont val="Arial"/>
        <family val="2"/>
      </rPr>
      <t>6</t>
    </r>
  </si>
  <si>
    <r>
      <t>Plus:           Non-Westar Generation</t>
    </r>
    <r>
      <rPr>
        <b/>
        <vertAlign val="superscript"/>
        <sz val="10"/>
        <rFont val="Arial"/>
        <family val="2"/>
      </rPr>
      <t>7</t>
    </r>
  </si>
  <si>
    <r>
      <t>Plus:           Non-Control-Area Transmission Load</t>
    </r>
    <r>
      <rPr>
        <b/>
        <vertAlign val="superscript"/>
        <sz val="10"/>
        <rFont val="Arial"/>
        <family val="2"/>
      </rPr>
      <t>8</t>
    </r>
  </si>
  <si>
    <t>Plus:           Non-Control-Area Transmission Load</t>
  </si>
  <si>
    <t>ADJUSTMENTS TO RATE BASE</t>
  </si>
  <si>
    <t>Rate Base</t>
  </si>
  <si>
    <t>Return</t>
  </si>
  <si>
    <t>Income Taxes</t>
  </si>
  <si>
    <t>Subtotal - p234</t>
  </si>
  <si>
    <t>Less FASB 109 Above if not separately removed</t>
  </si>
  <si>
    <t>Less FASB 106 Above if not separately removed</t>
  </si>
  <si>
    <t>ADIT- 281 &amp; 282</t>
  </si>
  <si>
    <t>Accumulated Deferred Income Tax Other Property</t>
  </si>
  <si>
    <t>Note D:  To be completed with any EPP project which has incentives approved by the Commission.</t>
  </si>
  <si>
    <t>Note B: The depreciation rate for Non-qualifying Projects is calculated by: line 1/line 6.</t>
  </si>
  <si>
    <t>Note D:  To be completed with any BPF project which has incentives approved by the Commission.</t>
  </si>
  <si>
    <t>Line 21b is the ratio of the amount of the revenue credit on line 20 to the total amount of revenue collected from the transmission charges, excluding ancillary revenues.</t>
  </si>
  <si>
    <t>Rev. Adj. not captured in 456.1 or 456.1001(Note B)</t>
  </si>
  <si>
    <t>Line 21a represents a refund or surcharge that is done by SPP where the increase or decrease in revenue is not reflected in the 456.1000 or 456.1001 revenues.  If a value is entered into this</t>
  </si>
  <si>
    <t xml:space="preserve"> line, a support worksheet will be included with the posted formula.  Refunds will be entered as a negative value, surcharges as a positive value.  The adjustment does not included any refunds or surcharges </t>
  </si>
  <si>
    <t>associated with the sale of ancillary services.</t>
  </si>
  <si>
    <r>
      <t>Less: Load  Not Connected to the Westar Transmission System</t>
    </r>
    <r>
      <rPr>
        <b/>
        <vertAlign val="superscript"/>
        <sz val="10"/>
        <rFont val="Arial"/>
        <family val="2"/>
      </rPr>
      <t>9</t>
    </r>
  </si>
  <si>
    <t>Revenue Credits as a Percentage of Net Plant</t>
  </si>
  <si>
    <t>Income Taxes as a Percentage of Net Plant</t>
  </si>
  <si>
    <t>Return as a Percentage of Net Plant</t>
  </si>
  <si>
    <t>Other Taxes as a Percentage of Net Plant</t>
  </si>
  <si>
    <t>O&amp;M Expenses as a Percentage of Net Plant</t>
  </si>
  <si>
    <t>(Projected Gross Rev Req.: Page 2, Line 29 / Page 2, line 30)</t>
  </si>
  <si>
    <t>(I * line 16)</t>
  </si>
  <si>
    <t>(e+g+h+l+m+n)</t>
  </si>
  <si>
    <t>(line 1 / line 6)</t>
  </si>
  <si>
    <t>Less: Gross Plant - Incentive Projects</t>
  </si>
  <si>
    <t>(line 10 / line 7)</t>
  </si>
  <si>
    <t xml:space="preserve"> (line 2 - line 3)</t>
  </si>
  <si>
    <t>(Projected Gross Rev Req, page 1, line 10)</t>
  </si>
  <si>
    <t>(a - e)</t>
  </si>
  <si>
    <t>Total Net Transmission Plant</t>
  </si>
  <si>
    <t>(Actual Gross Rev, page 1, line14, col 7)</t>
  </si>
  <si>
    <t>(Projected Gross Rev Req, line 6)</t>
  </si>
  <si>
    <t>Line:  Murray Gill ED-MacArthur 69 kV</t>
  </si>
  <si>
    <r>
      <t>P.118100</t>
    </r>
    <r>
      <rPr>
        <sz val="10"/>
        <rFont val="Arial MT"/>
        <family val="0"/>
      </rPr>
      <t xml:space="preserve"> S.174 (U.10223)</t>
    </r>
  </si>
  <si>
    <t xml:space="preserve">     </t>
  </si>
  <si>
    <t>2008-10</t>
  </si>
  <si>
    <t>OPSI</t>
  </si>
  <si>
    <t>ENEL</t>
  </si>
  <si>
    <t>(page 1, line 2)</t>
  </si>
  <si>
    <t>(page 1, line 3)</t>
  </si>
  <si>
    <t>(page 1, line 4)</t>
  </si>
  <si>
    <t>(page 1, line 5)</t>
  </si>
  <si>
    <t>(page 1, line 7)</t>
  </si>
  <si>
    <t>(page 1, line 8)</t>
  </si>
  <si>
    <t>(page 1, line 9)</t>
  </si>
  <si>
    <t>(page 1, line 10)</t>
  </si>
  <si>
    <t>(page 1, line 11)</t>
  </si>
  <si>
    <t xml:space="preserve"> (sum lines 24-28)</t>
  </si>
  <si>
    <t>Actual Net</t>
  </si>
  <si>
    <t>Projected Net</t>
  </si>
  <si>
    <t>(a - b - e)</t>
  </si>
  <si>
    <t>1.5 * (a * d)</t>
  </si>
  <si>
    <t>o</t>
  </si>
  <si>
    <t>(f * line 17)</t>
  </si>
  <si>
    <t>(f * line 19)</t>
  </si>
  <si>
    <t>(f * line 21)</t>
  </si>
  <si>
    <t>(f * line 18)</t>
  </si>
  <si>
    <t>13 Mon Avg</t>
  </si>
  <si>
    <t>13-Month Average Balance</t>
  </si>
  <si>
    <t>(P-1, page 2, line 29)</t>
  </si>
  <si>
    <t>(Actual Gross Rev. Page 3, line 21)</t>
  </si>
  <si>
    <t>(Actual Gross Rev. Page 3, line 22)</t>
  </si>
  <si>
    <t>(Actual Gross Rev., Page 4, line 6)</t>
  </si>
  <si>
    <t>(line 4 divided by line 1)</t>
  </si>
  <si>
    <t xml:space="preserve">Total transmission plant    </t>
  </si>
  <si>
    <t xml:space="preserve">Less transmission plant excluded from ISO rates       </t>
  </si>
  <si>
    <t>(Note I)</t>
  </si>
  <si>
    <t>(Actual Gross Rev Req, Page 1, line 11)</t>
  </si>
  <si>
    <t>Amortized Investment Tax Credit</t>
  </si>
  <si>
    <t>(Actual Gross Rev Req, Page 2, line 26)</t>
  </si>
  <si>
    <t>(Actual Gross Rev Req, Page 2, line 31)</t>
  </si>
  <si>
    <t xml:space="preserve">  Total  (sum lines 6 - 8)</t>
  </si>
  <si>
    <t xml:space="preserve">    Long Term Interest (sum of lines 10 - 12 less 13 and 14)</t>
  </si>
  <si>
    <t>(sum of lines 17 - 19)</t>
  </si>
  <si>
    <t xml:space="preserve">       where WCLTD=(page 5, line 21) and R= (page 5, line 24)</t>
  </si>
  <si>
    <t>ITC adjustment</t>
  </si>
  <si>
    <t xml:space="preserve"> (line 25 * line 26)</t>
  </si>
  <si>
    <t xml:space="preserve">GROSS REV. REQUIREMENT </t>
  </si>
  <si>
    <t>(line 1 less line 7)</t>
  </si>
  <si>
    <t>(line 2 less line 8)</t>
  </si>
  <si>
    <t>(line 3 less line 9)</t>
  </si>
  <si>
    <t>(sum lines 13-17)</t>
  </si>
  <si>
    <t>(line 21)</t>
  </si>
  <si>
    <t>(A-11, P 1, L 3)</t>
  </si>
  <si>
    <t>(A-11, P 1, L 5)</t>
  </si>
  <si>
    <t>(Projected Gross Rev Req, page 2, line 9)</t>
  </si>
  <si>
    <t>(Projected Gross Rev Req, page 2, line 22)</t>
  </si>
  <si>
    <t>(Projected Gross Rev Req, page 4, line 29)</t>
  </si>
  <si>
    <t>(Projected Gross Rev Req, page 2, line 30 - line 14)</t>
  </si>
  <si>
    <t>( C ) Only Economic Portfolio projects that have been completed and whose costs are in the Form 1 should be entered on this page.  If a project is done in phases over multiple years, that project should be entered in sheet P-4 until the entire project Is completed and in the Form 1.</t>
  </si>
  <si>
    <t>(D) All Economic Portfolio projects whose costs are in the Form 1 and are also incentive projects should be entered into sheet A-11.</t>
  </si>
  <si>
    <t>Summary</t>
  </si>
  <si>
    <r>
      <t xml:space="preserve">Revenue credits do </t>
    </r>
    <r>
      <rPr>
        <u val="single"/>
        <sz val="12"/>
        <rFont val="Arial MT"/>
        <family val="0"/>
      </rPr>
      <t>not</t>
    </r>
    <r>
      <rPr>
        <sz val="12"/>
        <rFont val="Arial MT"/>
        <family val="0"/>
      </rPr>
      <t xml:space="preserve"> include revenues associated with FERC annual charges, gross receipts taxes, ancillary services and/or facilities not included in this template, e.g., directly assigned facilities, GSUs, etc.</t>
    </r>
  </si>
  <si>
    <t>Rate Formula Template</t>
  </si>
  <si>
    <t>Determination of Revenue Credits</t>
  </si>
  <si>
    <t>GP =</t>
  </si>
  <si>
    <t>NP =</t>
  </si>
  <si>
    <t xml:space="preserve">  Prepayments (Account 165)</t>
  </si>
  <si>
    <t>SUPPORTING CALCULATIONS</t>
  </si>
  <si>
    <t>Unless otherwise specified, OATT refers to the Westar and SPP OATTs.</t>
  </si>
  <si>
    <t>(Worksheet A-11, page 1, Actual Year)</t>
  </si>
  <si>
    <t>(Worksheet A-11, page 2, Actual Year)</t>
  </si>
  <si>
    <t>(Worksheet A-11, page 3, Actual Year)</t>
  </si>
  <si>
    <t>(Worksheet P-1, page 1, line 35)</t>
  </si>
  <si>
    <t>FERC Qtr Int. Rate (A)</t>
  </si>
  <si>
    <t>(Actual Gross Rev. Page 3, line 16)</t>
  </si>
  <si>
    <t>Projected Net Revenue Requirements</t>
  </si>
  <si>
    <t>Projected Gross Revenue Requirements</t>
  </si>
  <si>
    <t xml:space="preserve">Projected Net Plant in Service </t>
  </si>
  <si>
    <t xml:space="preserve">TOTAL WORKING CAPITAL </t>
  </si>
  <si>
    <t>(sum lines 12 - 14)</t>
  </si>
  <si>
    <t xml:space="preserve">TOTAL NET PLANT </t>
  </si>
  <si>
    <t>(sum lines 6-7)</t>
  </si>
  <si>
    <t xml:space="preserve">TOTAL ACCUM. DEPRECIATION </t>
  </si>
  <si>
    <t>Book accrual for federal interest on uncertain income tax positions.</t>
  </si>
  <si>
    <t xml:space="preserve">Removes dollar amount of transmission plant included in the development of OATT ancillary services rates and generation step-up facilities, which are deemed to be included in OATT ancillary services.  For these purposes, generation step-up facilities are those </t>
  </si>
  <si>
    <t>(B) Incentive Economic Portfolio Projects are listed on A11, page 3 of 3.</t>
  </si>
  <si>
    <t>Overview</t>
  </si>
  <si>
    <t>The TU (True-up) tab uses the Actual ATRR from the Actual Net Rev Req tab and compares it to the Projected ATRR customers were billed for the same period.  Interest is added to the difference and the amount is added to the Projected Net Rev Req tab.</t>
  </si>
  <si>
    <t>WESTAR REVENUE REQUIREMENT</t>
  </si>
  <si>
    <t>ACTUAL NET REVENUE REQUIREMENT</t>
  </si>
  <si>
    <t>No</t>
  </si>
  <si>
    <t>Transmission By Others, Account 565 includes only costs associated with transmission facilities which are assigned to the Westar pricing zone by SPP.</t>
  </si>
  <si>
    <t>Hutchinson Area Conversion</t>
  </si>
  <si>
    <r>
      <t>P.025201</t>
    </r>
    <r>
      <rPr>
        <sz val="10"/>
        <rFont val="Arial MT"/>
        <family val="0"/>
      </rPr>
      <t xml:space="preserve">                S.22 (U.10023), 23 (U.10024), 27 (U.10029, 10030), 185 (U.10234, 10235, 10236, 10237)</t>
    </r>
  </si>
  <si>
    <t>2006-01</t>
  </si>
  <si>
    <t>Chisholm-Grant 69 kV Ckt 1</t>
  </si>
  <si>
    <t>Plant Additions:</t>
  </si>
  <si>
    <t>GROSS PLANT IN SERVICE (ACTUAL HISTORICAL COST)</t>
  </si>
  <si>
    <t>NET PLANT IN SERVICE  (ACTUAL HISTORICAL COST)</t>
  </si>
  <si>
    <t>PLANT IN SERVICE</t>
  </si>
  <si>
    <t>GROSS AND NET PLANT ALLOCATORS</t>
  </si>
  <si>
    <t>219.25c</t>
  </si>
  <si>
    <t xml:space="preserve">    Net Incentive Plant</t>
  </si>
  <si>
    <t xml:space="preserve">     Rate Formula Template</t>
  </si>
  <si>
    <t xml:space="preserve"> </t>
  </si>
  <si>
    <t>Line</t>
  </si>
  <si>
    <t>Allocated</t>
  </si>
  <si>
    <t>No.</t>
  </si>
  <si>
    <t>Amount</t>
  </si>
  <si>
    <t xml:space="preserve">REVENUE CREDITS </t>
  </si>
  <si>
    <t>Total</t>
  </si>
  <si>
    <t>Allocator</t>
  </si>
  <si>
    <t>TP</t>
  </si>
  <si>
    <t xml:space="preserve">  Account No. 454</t>
  </si>
  <si>
    <t xml:space="preserve">DIVISOR </t>
  </si>
  <si>
    <t>Annual Cost ($/kW/Yr)</t>
  </si>
  <si>
    <t>Peak Rate</t>
  </si>
  <si>
    <t>Off-Peak Rate</t>
  </si>
  <si>
    <t>Point-To-Point Rate ($/kW/Wk)</t>
  </si>
  <si>
    <t>Point-To-Point Rate ($/kW/Day)</t>
  </si>
  <si>
    <t>Capped at weekly rate</t>
  </si>
  <si>
    <t>Point-To-Point Rate ($/MWh)</t>
  </si>
  <si>
    <t>Capped at weekly</t>
  </si>
  <si>
    <t>and daily rates</t>
  </si>
  <si>
    <t>.</t>
  </si>
  <si>
    <t>(1)</t>
  </si>
  <si>
    <t>(2)</t>
  </si>
  <si>
    <t>(Actual Gross Rev, p2, ln 2, col 3 &amp; 4)</t>
  </si>
  <si>
    <t>(Actual Gross Rev, p2, ln 3, col 3 &amp; 4)</t>
  </si>
  <si>
    <t>(Actual Gross Rev, p2, ln 4, col 3 &amp; 4)</t>
  </si>
  <si>
    <t>(Actual Gross Rev, p2, ln 5, col 3 &amp; 4)</t>
  </si>
  <si>
    <t>(Actual Gross Rev, p2, ln 6, col 3 &amp; 4)</t>
  </si>
  <si>
    <t>(Actual Gross Rev, p2, ln 7, col 3 &amp; 4)</t>
  </si>
  <si>
    <t>(Actual Gross Rev, p2, ln 8, col 3 &amp; 4)</t>
  </si>
  <si>
    <t>(Actual Gross Rev, p2, ln 9, col 3 &amp; 4)</t>
  </si>
  <si>
    <t>(Actual Gross Rev, p2, ln 10, col 3 &amp; 4)</t>
  </si>
  <si>
    <t>(Actual Gross Rev, p2, ln 1, col 3 &amp; 4)</t>
  </si>
  <si>
    <t>(Actual Gross Rev, p2, ln 2a, col 3 &amp; 4)</t>
  </si>
  <si>
    <t>Total Non-incentive Transmission-Related Plant in Service</t>
  </si>
  <si>
    <t>True-up Amount</t>
  </si>
  <si>
    <t>(Proposed Net Rev Req, Page 1, line 7)</t>
  </si>
  <si>
    <t>16a</t>
  </si>
  <si>
    <t>Ratio of True-up amount to Net Plant</t>
  </si>
  <si>
    <t>(line 16a / line 7)</t>
  </si>
  <si>
    <t>True-up</t>
  </si>
  <si>
    <t>p</t>
  </si>
  <si>
    <t>(f * line 24)</t>
  </si>
  <si>
    <t>Non Incentive Net Plant</t>
  </si>
  <si>
    <t>T1</t>
  </si>
  <si>
    <t>T2</t>
  </si>
  <si>
    <t>(line 7 - page 2, line T1)</t>
  </si>
  <si>
    <t>(3)</t>
  </si>
  <si>
    <t>(4)</t>
  </si>
  <si>
    <t>(5)</t>
  </si>
  <si>
    <t>Form No. 1</t>
  </si>
  <si>
    <t>Transmission</t>
  </si>
  <si>
    <t>(Note I)(Actual Gross Rev Req, Page 3, line 2)</t>
  </si>
  <si>
    <t>(Notes J&amp;K) (Actual Gross Rev Req, Page 3, line 3)</t>
  </si>
  <si>
    <t>(Notes J&amp;K)</t>
  </si>
  <si>
    <t>For Account 216.1, enter zero if the actual balance is negative</t>
  </si>
  <si>
    <t>Monthly Facility Carrying Charge</t>
  </si>
  <si>
    <t>207.58.g</t>
  </si>
  <si>
    <t>207.75.g</t>
  </si>
  <si>
    <t>219.20-24.c</t>
  </si>
  <si>
    <t>263.i</t>
  </si>
  <si>
    <t xml:space="preserve">  facilities at a generator substation on which there is no through-flow when the generator is shut down.</t>
  </si>
  <si>
    <t>GROSS REVENUE REQUIREMENT</t>
  </si>
  <si>
    <t>(WESTAR)</t>
  </si>
  <si>
    <t>Divisor</t>
  </si>
  <si>
    <t>(A)</t>
  </si>
  <si>
    <t>(B)</t>
  </si>
  <si>
    <t>(C)</t>
  </si>
  <si>
    <t>(D)</t>
  </si>
  <si>
    <t>Incentive Return</t>
  </si>
  <si>
    <t>(E)</t>
  </si>
  <si>
    <t>(F)</t>
  </si>
  <si>
    <t>(G)</t>
  </si>
  <si>
    <t>NonTrans.</t>
  </si>
  <si>
    <t xml:space="preserve">Plant </t>
  </si>
  <si>
    <t>Labor</t>
  </si>
  <si>
    <t>Related</t>
  </si>
  <si>
    <t>ADIT</t>
  </si>
  <si>
    <t>ADIT-282</t>
  </si>
  <si>
    <t>ADIT-283</t>
  </si>
  <si>
    <t>ADIT-190</t>
  </si>
  <si>
    <t>Subtotal</t>
  </si>
  <si>
    <t>Gross Plant Allocator</t>
  </si>
  <si>
    <t>In</t>
  </si>
  <si>
    <t>Adjustment</t>
  </si>
  <si>
    <t>YE Balance</t>
  </si>
  <si>
    <t>Cur vs L/T Reclass (for financial reporting)</t>
  </si>
  <si>
    <t>Yes</t>
  </si>
  <si>
    <t>Net Plant in Service (WEN and WES)</t>
  </si>
  <si>
    <t>FIN 48 Interest Exp - State</t>
  </si>
  <si>
    <t>If the transmission related component of property tax is specifically identified in Form 1, then a TP allocator shall be used.  Property tax shall be allocated to transmission by the GP allocator if transmission related property tax is not specifically identified in the Form 1.</t>
  </si>
  <si>
    <t xml:space="preserve">The initial depreciation rates below will be used to calculate depreciation expense and accumulated depreciation balances absent an appropriate filing with FERC. </t>
  </si>
  <si>
    <t>354  Towers and Fixtures</t>
  </si>
  <si>
    <t>355  Poles and Fixtures</t>
  </si>
  <si>
    <t>356  Overheard Conductors and Devices</t>
  </si>
  <si>
    <t>357  Underground Conduit</t>
  </si>
  <si>
    <t>358  Underground Conductors and Devices</t>
  </si>
  <si>
    <t>359  Roads and Trails</t>
  </si>
  <si>
    <t>R</t>
  </si>
  <si>
    <t xml:space="preserve">  Post-Employment Benefits Other than Pensions</t>
  </si>
  <si>
    <t>Accumulated Deferred Income Tax Non Utility</t>
  </si>
  <si>
    <t>(Wksht. P-2, line 25)</t>
  </si>
  <si>
    <t>(Wksht. P-2, line 26)</t>
  </si>
  <si>
    <t xml:space="preserve">TOTAL REVENUE CREDITS  </t>
  </si>
  <si>
    <t>(sum lines 2-5)</t>
  </si>
  <si>
    <t>(Actual Gross Rev, p2, ln 17, col 3 &amp; 4)</t>
  </si>
  <si>
    <t>(Actual Gross Rev, p2, ln 18, col 3 &amp; 4)</t>
  </si>
  <si>
    <t>20xx-xx</t>
  </si>
  <si>
    <t>Independent REC</t>
  </si>
  <si>
    <t>WAPA</t>
  </si>
  <si>
    <t>The incentive depreciation rates will be applied to assets recorded in the Wichita-to-Reno-to-Summit location code in WES's transmission depreciation groups.</t>
  </si>
  <si>
    <t>ACCUMULATED DEPRECIATION  (ACTUAL HISTORICAL COST) (Note Q)</t>
  </si>
  <si>
    <t>DEC</t>
  </si>
  <si>
    <t>Anc 2</t>
  </si>
  <si>
    <t>Less:</t>
  </si>
  <si>
    <t xml:space="preserve">     Revenue for Demands in Divisor -- 456.1000</t>
  </si>
  <si>
    <t xml:space="preserve">     Revenue for Demands in Divisor -- 456.1001</t>
  </si>
  <si>
    <t>Sub Total Revenue Credit</t>
  </si>
  <si>
    <t xml:space="preserve">     Previous Years Adjustment</t>
  </si>
  <si>
    <t>WEN (KPL)</t>
  </si>
  <si>
    <t>WES (KGE)</t>
  </si>
  <si>
    <t>300.19.b</t>
  </si>
  <si>
    <t>454.0800</t>
  </si>
  <si>
    <t>454.0700</t>
  </si>
  <si>
    <t>Wholesale NITS Revenues - The content in these categories can change over time:</t>
  </si>
  <si>
    <t>Project E1</t>
  </si>
  <si>
    <t>Project E3</t>
  </si>
  <si>
    <t>Project E4</t>
  </si>
  <si>
    <t>Project E5</t>
  </si>
  <si>
    <t>Project E2</t>
  </si>
  <si>
    <t>(B) Special depreciation rates may be utilized for specific incentive transmission projects if approved by the FERC.</t>
  </si>
  <si>
    <t>Deprec. Rate: (B)</t>
  </si>
  <si>
    <t>Worksheet P5 - Projected Transmission Plant Related to Economic Portfolio Projects</t>
  </si>
  <si>
    <t>Project E6</t>
  </si>
  <si>
    <t>Project E10</t>
  </si>
  <si>
    <t>Project E7</t>
  </si>
  <si>
    <t>Project E8</t>
  </si>
  <si>
    <t>Project E9</t>
  </si>
  <si>
    <t>Type:</t>
  </si>
  <si>
    <t>Base Plan Funded</t>
  </si>
  <si>
    <t>Total Economic Portfolio Funded Projects</t>
  </si>
  <si>
    <t>Project X1</t>
  </si>
  <si>
    <t>Project Y1</t>
  </si>
  <si>
    <t>A-12 (Act Econ Projects)</t>
  </si>
  <si>
    <t>Worksheet A-12</t>
  </si>
  <si>
    <t>Total of Actual Non-Incentive Projects</t>
  </si>
  <si>
    <t>Total of Actual Incentive Projects</t>
  </si>
  <si>
    <t>T9</t>
  </si>
  <si>
    <t>Total Projected Projects (lines T2 + T5)</t>
  </si>
  <si>
    <t>Total Non-Incentive Projects (lines T1 + T2)</t>
  </si>
  <si>
    <t>Total Incentive Projects (lines T4 + T5)</t>
  </si>
  <si>
    <t>Total Actual Projects (lines T1 + T4)</t>
  </si>
  <si>
    <t>(i * j)</t>
  </si>
  <si>
    <t>(k+[i * f])</t>
  </si>
  <si>
    <t>(k+ [j * f])</t>
  </si>
  <si>
    <t>(k+[j * f])</t>
  </si>
  <si>
    <t>Total Non-Incentive Projects (lines T2 + T3)</t>
  </si>
  <si>
    <t>Total of Projected Non-Incentive Projects</t>
  </si>
  <si>
    <t>Total of Projected Incentive Projects</t>
  </si>
  <si>
    <t>Total (lines T3 + T6)</t>
  </si>
  <si>
    <t>(TU, page 1, line 28))</t>
  </si>
  <si>
    <t>20xx-x</t>
  </si>
  <si>
    <t>(line 16a / line T9)</t>
  </si>
  <si>
    <t>(Wksht. TU, line 28)</t>
  </si>
  <si>
    <t>less the amount of the True-up Adjustment included in lines 9 and 9a</t>
  </si>
  <si>
    <t>Book accrual for state interest on uncertain income tax positions.</t>
  </si>
  <si>
    <t>SFAS 5 Long Term Interest</t>
  </si>
  <si>
    <t>Book accrual for federal and state interest on loss contingencies related to taxes other than income taxes.</t>
  </si>
  <si>
    <t>MKEC Capital Lease</t>
  </si>
  <si>
    <t>Book depreciation and interest expense on capital lease vs operating lease for tax.</t>
  </si>
  <si>
    <t>MKEC Consent Fees</t>
  </si>
  <si>
    <t>Fee from Aquila transaction deferred on books and amortized over term of lease.</t>
  </si>
  <si>
    <t>R/L FERC Transmission Settlement</t>
  </si>
  <si>
    <t>Regulatory liability FERC revenue refund.</t>
  </si>
  <si>
    <t>Long Term Rail Car Lease</t>
  </si>
  <si>
    <t>Maximum Transmission Network Load is the maximum hourly load measured on the Westar transmission system as of September 30 of each year.  The data will be obtained from the Energy Accounting System.</t>
  </si>
  <si>
    <t>Page 2 of 4</t>
  </si>
  <si>
    <t>Page 3 of 4</t>
  </si>
  <si>
    <t>Page 4 of 4</t>
  </si>
  <si>
    <t>Page 1 of 4</t>
  </si>
  <si>
    <t xml:space="preserve">  Distribution</t>
  </si>
  <si>
    <t xml:space="preserve">  General &amp; Intangible</t>
  </si>
  <si>
    <t>W/S</t>
  </si>
  <si>
    <t xml:space="preserve">  Common</t>
  </si>
  <si>
    <t>356.1</t>
  </si>
  <si>
    <t>ACCUMULATED DEPRECIATION</t>
  </si>
  <si>
    <t>NET PLANT IN SERVICE</t>
  </si>
  <si>
    <t>NP</t>
  </si>
  <si>
    <t xml:space="preserve">LAND HELD FOR FUTURE USE </t>
  </si>
  <si>
    <t>TE</t>
  </si>
  <si>
    <t>GP</t>
  </si>
  <si>
    <t>O&amp;M</t>
  </si>
  <si>
    <t xml:space="preserve">     Less FERC Annual Fees</t>
  </si>
  <si>
    <t xml:space="preserve">  Transmission Lease Payments</t>
  </si>
  <si>
    <t>DEPRECIATION EXPENSE</t>
  </si>
  <si>
    <t xml:space="preserve">  LABOR RELATED</t>
  </si>
  <si>
    <t xml:space="preserve">          Payroll</t>
  </si>
  <si>
    <t xml:space="preserve">          Highway and vehicle</t>
  </si>
  <si>
    <t xml:space="preserve">  PLANT RELATED</t>
  </si>
  <si>
    <t xml:space="preserve">         Gross Receipts</t>
  </si>
  <si>
    <t xml:space="preserve">         Payments in lieu of taxes</t>
  </si>
  <si>
    <t xml:space="preserve">  </t>
  </si>
  <si>
    <t xml:space="preserve">INCOME TAXES          </t>
  </si>
  <si>
    <t xml:space="preserve">RETURN </t>
  </si>
  <si>
    <t xml:space="preserve">TRANSMISSION EXPENSES </t>
  </si>
  <si>
    <t>TE=</t>
  </si>
  <si>
    <t>TP=</t>
  </si>
  <si>
    <t>WAGES &amp; SALARY ALLOCATOR   (W&amp;S)</t>
  </si>
  <si>
    <t>$</t>
  </si>
  <si>
    <t>Allocation</t>
  </si>
  <si>
    <t>354.20.b</t>
  </si>
  <si>
    <t>W&amp;S Allocator</t>
  </si>
  <si>
    <t xml:space="preserve">  Other</t>
  </si>
  <si>
    <t>456.1000</t>
  </si>
  <si>
    <t>456.1001</t>
  </si>
  <si>
    <t>456.1500</t>
  </si>
  <si>
    <t>456.1501</t>
  </si>
  <si>
    <t>456.1100</t>
  </si>
  <si>
    <t>456.1210</t>
  </si>
  <si>
    <t>456.1060</t>
  </si>
  <si>
    <t>456.1101</t>
  </si>
  <si>
    <t>456.1020</t>
  </si>
  <si>
    <t>Book accrual railcar lease expense vs. actual costs for tax.</t>
  </si>
  <si>
    <t>Short Term Incentive Program</t>
  </si>
  <si>
    <t>Book accrual for short term incentives vs. actual payments for tax</t>
  </si>
  <si>
    <t>Long Term Incentive Program</t>
  </si>
  <si>
    <t>Book accrual for long term incentives (RSU's) vs. actual payments for tax</t>
  </si>
  <si>
    <t>Oklahoma Municipal Power Agreement Sale (OMPA)</t>
  </si>
  <si>
    <t>Revenue from OMPA deferred on books and amortized over term of contract; recognized for tax upon receipt.</t>
  </si>
  <si>
    <t>Emission Allowances</t>
  </si>
  <si>
    <t>Emission allowances withheld by EPA and sold at auction by them.  Recorded as regulatory liability on books; recognized as capital gain for tax.</t>
  </si>
  <si>
    <t>FAS106 and FAS112</t>
  </si>
  <si>
    <t>Excluded</t>
  </si>
  <si>
    <t>WE Salary Continuation Plan</t>
  </si>
  <si>
    <t>Book accrual for Salary Continuation Plan vs. actual payments for tax</t>
  </si>
  <si>
    <t>Charitable Contributions - Carry forward</t>
  </si>
  <si>
    <t>Charitable contributions expensed on books - deductible for tax subject to limitation of 10% of taxable income</t>
  </si>
  <si>
    <t>Computer Software Purchased</t>
  </si>
  <si>
    <t>Canned software expensed on books vs. accelerated depreciation as computed for income tax purposes in accordance with the provisions of Code Sections 167 and 168.  Basis is depreciable plant in service.</t>
  </si>
  <si>
    <t>Accrued - Sales Tax Exposure</t>
  </si>
  <si>
    <r>
      <t>P.28205</t>
    </r>
    <r>
      <rPr>
        <sz val="10"/>
        <rFont val="Arial MT"/>
        <family val="0"/>
      </rPr>
      <t xml:space="preserve"> S: 167 (U 10216)</t>
    </r>
  </si>
  <si>
    <t>Line:  Murray Gill EC-Murrary Gill Jct 69kV Rebuild</t>
  </si>
  <si>
    <t>Line:  Jarbalo-116th-Jaggard Jct-Pentagon 115kV</t>
  </si>
  <si>
    <t>2008-05</t>
  </si>
  <si>
    <t>Line:  West McPherson-Wheatland</t>
  </si>
  <si>
    <r>
      <t>P.028206</t>
    </r>
    <r>
      <rPr>
        <sz val="10"/>
        <rFont val="Arial MT"/>
        <family val="0"/>
      </rPr>
      <t xml:space="preserve"> - S.323 (U 10419)</t>
    </r>
  </si>
  <si>
    <t>2009-02</t>
  </si>
  <si>
    <t>Page 4</t>
  </si>
  <si>
    <t>Line:  McDowell Creek-Ft Jct 115kV</t>
  </si>
  <si>
    <r>
      <t>P.028207</t>
    </r>
    <r>
      <rPr>
        <sz val="10"/>
        <rFont val="Arial MT"/>
        <family val="0"/>
      </rPr>
      <t xml:space="preserve">                    S.175 (U.10224, 10225)</t>
    </r>
  </si>
  <si>
    <t>2008-06</t>
  </si>
  <si>
    <t>x</t>
  </si>
  <si>
    <t>Westar Energy, Inc</t>
  </si>
  <si>
    <t xml:space="preserve">Kansas Gas and </t>
  </si>
  <si>
    <t>Electric Company</t>
  </si>
  <si>
    <t>(6)</t>
  </si>
  <si>
    <t>WESTAR ENERGY, INC. (Westar Energy and Kansas Gas and Electric)</t>
  </si>
  <si>
    <t>(7)</t>
  </si>
  <si>
    <t xml:space="preserve">  A&amp;G</t>
  </si>
  <si>
    <t>Other (excluding A&amp;G)</t>
  </si>
  <si>
    <t>Production</t>
  </si>
  <si>
    <t>La Cygne</t>
  </si>
  <si>
    <t>Wolf Creek</t>
  </si>
  <si>
    <t>Westar Share</t>
  </si>
  <si>
    <t>Interest on Long-Term Debt</t>
  </si>
  <si>
    <t>Tax Equivalent Straight Line Depreciation (ESL) calculated on tax basis of assets using book rates vs. accelerated depreciation as computed for income tax purposes in accordance with the provisions of Code Sections 167 and 168.  Basis is depreciable plant</t>
  </si>
  <si>
    <t>Steam Heat</t>
  </si>
  <si>
    <t>part of liberalized deprec.</t>
  </si>
  <si>
    <t>Repair Allowance</t>
  </si>
  <si>
    <t>Repair costs deducted for tax in accordance with the asset guideline class repair allowance provisions for pre-1981 assets.</t>
  </si>
  <si>
    <t>Afudc interest Component</t>
  </si>
  <si>
    <t xml:space="preserve">AFUDC recorded on books not subject to tax requirements for capitalization per Code Sec 263A.   </t>
  </si>
  <si>
    <t>Employee Benefits And Taxes</t>
  </si>
  <si>
    <t xml:space="preserve">Employee benefits and taxes other than income capitalized for books vs. deducted for tax.  </t>
  </si>
  <si>
    <t>Removal Costs</t>
  </si>
  <si>
    <t>Cost of removal charged to accumulated depreciation reserve for book purposes but expensed for tax.</t>
  </si>
  <si>
    <t>AFUDC - Equity Component</t>
  </si>
  <si>
    <t>Equity component of AFUDC</t>
  </si>
  <si>
    <t>Contribution In Aid Of Construction</t>
  </si>
  <si>
    <t>Customer advances taxable in year received under Tax Reform Act of 1986; treated as contributions to capital for book purposes</t>
  </si>
  <si>
    <t>Connection Fees</t>
  </si>
  <si>
    <t>Contributions taxable in year received under Tax Reform Act of 1986; treated as contributions to capital for book purposes.</t>
  </si>
  <si>
    <t>FIN 48 Liability - Contra LT</t>
  </si>
  <si>
    <t>Noncurrent federal and state tax benefits on uncertain income tax positions.</t>
  </si>
  <si>
    <t>Deferred Income Tax Depreciation - Non Cost of Service</t>
  </si>
  <si>
    <t>Depreciation expense difference for the period 07/01/01 through 03/31/02 resulting from KCC approved depreciation rates as of 07/01/01 vs. the longer life pre-07/01/01 rates.</t>
  </si>
  <si>
    <t>Accumulated Deferred Income Tax Other Prop FASB109</t>
  </si>
  <si>
    <t>Gross Afudc</t>
  </si>
  <si>
    <t>Investment Tax Credit</t>
  </si>
  <si>
    <t>Flow Thru Regulatory Asset</t>
  </si>
  <si>
    <t>Rate Change ( Contra )</t>
  </si>
  <si>
    <t>Long Term Deferred Tax Liability Reclass</t>
  </si>
  <si>
    <t>R/A AFUDC Equity</t>
  </si>
  <si>
    <t>Regulatory asset for the equity component of AFUDC</t>
  </si>
  <si>
    <t>Coal Contract Buyout</t>
  </si>
  <si>
    <t>Coal Deficient Tonnage Payments</t>
  </si>
  <si>
    <t>Book amortization of AMAX coal contract buyout costs vs deducted for tax when paid in 1993.</t>
  </si>
  <si>
    <t>Total Incentive Plant</t>
  </si>
  <si>
    <t>Less: Total Accumulated Depreciation</t>
  </si>
  <si>
    <t>Actual Net Revenue Requirements</t>
  </si>
  <si>
    <t>Actual Gross Revenue Requirements</t>
  </si>
  <si>
    <t>(Wksht. A-1, p. 2, Sec. II, ln. 5, WEN + WES)</t>
  </si>
  <si>
    <t>TOTAL NET PLANT</t>
  </si>
  <si>
    <t>TOTAL ACCUM. DEPRECIATION</t>
  </si>
  <si>
    <t>TOTAL GROSS PLANT</t>
  </si>
  <si>
    <t xml:space="preserve">   Line 6c - Add in wholesale Regulatory Commission Expenses directly related to transmission service, ISO filings, or transmission siting itemized at 351.h. </t>
  </si>
  <si>
    <t>Westar populates the formula rate using actual costs for Year 1</t>
  </si>
  <si>
    <t>(Peak: line 14 / 52 weeks, Off Peak, line 14 / 52 weeks)</t>
  </si>
  <si>
    <t>(page 3, Line 13, col. 5)</t>
  </si>
  <si>
    <t>(Worksheet A-4 &amp; Worksheet A-6)</t>
  </si>
  <si>
    <t>Transmission (321.112.b)</t>
  </si>
  <si>
    <t>A-8 (Depr Calc-Opt)</t>
  </si>
  <si>
    <t>A-10 (Wages &amp; Salaries)</t>
  </si>
  <si>
    <t>A-11 (Incentive Plant)</t>
  </si>
  <si>
    <t>Worksheet A-11</t>
  </si>
  <si>
    <t>Actual Incentive Return on Incentive Plant</t>
  </si>
  <si>
    <t>TU (True-up)</t>
  </si>
  <si>
    <t>P-1 (Trans Plant)</t>
  </si>
  <si>
    <t>P-2 (Exp. &amp; Rev. Credits)</t>
  </si>
  <si>
    <t>(f * line 20)</t>
  </si>
  <si>
    <t>Regulatory liability recorded for IT assets transferred to Protection One; not recognized for tax</t>
  </si>
  <si>
    <t>Rebates 2005/2006</t>
  </si>
  <si>
    <t xml:space="preserve">Book accrual for rebates to customers to be paid in 2005 and 2006; deductible for tax when paid.  </t>
  </si>
  <si>
    <t>Severance</t>
  </si>
  <si>
    <t>Book accrual for severance costs vs. actual payments for tax</t>
  </si>
  <si>
    <t>General Tax - Reserve</t>
  </si>
  <si>
    <t>Book reserve set up for potential non-income tax issues per SFAS 5; deductible for tax when paid</t>
  </si>
  <si>
    <t>State Tax - Credits</t>
  </si>
  <si>
    <t>Kansas income tax credits to be utilized in future years</t>
  </si>
  <si>
    <t>Federal - NOL Tax Benefits</t>
  </si>
  <si>
    <t>Federal net operating loss tax benefits to be utilized in future years</t>
  </si>
  <si>
    <t>Injuries and Damages R/L</t>
  </si>
  <si>
    <t>Book accrual for amounts collected from customers in excess of estimated injuries &amp; damages claims; not recognized for tax</t>
  </si>
  <si>
    <t>Section 467 Railcar Lease</t>
  </si>
  <si>
    <t>Book accrual railcar lease expense vs. prescribed costs for tax per IRC Sec 467</t>
  </si>
  <si>
    <t>R/L AB Wholesale Sales</t>
  </si>
  <si>
    <t>Book accrual for refunds to wholesale customers due to excess prices charged on sales of power within our control area; not recognized for tax</t>
  </si>
  <si>
    <t>R/L - Sale of Olathe</t>
  </si>
  <si>
    <t xml:space="preserve">Book accrual for refund to customers for gain on sale of Olathe properties; not recognized for tax </t>
  </si>
  <si>
    <t>SFAS 158 - Pension</t>
  </si>
  <si>
    <t>Book accrual to recognize funded status of pension plan per SFAS 158; not recognized for tax</t>
  </si>
  <si>
    <t>SFAS 158 - Post Retirement</t>
  </si>
  <si>
    <t>Book accrual to recognize funded status of post retirement plan per SFAS 158; not recognized for tax</t>
  </si>
  <si>
    <t>Terminal Net Salvage - Refund</t>
  </si>
  <si>
    <t>Book accrual for refunds to customers for amounts previously collected in rates for terminal net salvage; not recognized for tax.</t>
  </si>
  <si>
    <t>OneOk PPA Fair Value</t>
  </si>
  <si>
    <t>"Non-Westar Generation" in MW is shown below.  Only generators operating synchronously with the transmission system, and not already included in the transmission peak value, shall be included.</t>
  </si>
  <si>
    <t>Note: 8</t>
  </si>
  <si>
    <t>Note: 7</t>
  </si>
  <si>
    <t>Total Load.</t>
  </si>
  <si>
    <t>( c )</t>
  </si>
  <si>
    <t>Westar's Transmission Network Load   (e-f+g-h+i+j-k)</t>
  </si>
  <si>
    <t>Less: Load  Not Connected to the Westar Transmission System</t>
  </si>
  <si>
    <t>Note: 9</t>
  </si>
  <si>
    <t>KEPCO MIDW</t>
  </si>
  <si>
    <t>"Load in Westar's Balancing area and included in the Transmission peak number, but is physically connected to a different SPP Transmission Owner's system."</t>
  </si>
  <si>
    <t>Note: 2</t>
  </si>
  <si>
    <t>Note: 3</t>
  </si>
  <si>
    <t>Note: 4</t>
  </si>
  <si>
    <t>Note: 6</t>
  </si>
  <si>
    <t>Note: 5</t>
  </si>
  <si>
    <t xml:space="preserve">             Development of Common Stock:</t>
  </si>
  <si>
    <t xml:space="preserve">                                                Common Stock</t>
  </si>
  <si>
    <t>Monthly loads associated with the remaining revenue for Transmission Service (subaccount 456.1001) from SWPP (e.g., retail) are also included in the DIVISOR.  However, the associated revenue is</t>
  </si>
  <si>
    <t>included as a revenue credit to offset the associated SWPP expenses booked to account 566, Miscellaneous Transmission Expense.</t>
  </si>
  <si>
    <t>loads are included in the DIVISOR.</t>
  </si>
  <si>
    <r>
      <t xml:space="preserve">loads are </t>
    </r>
    <r>
      <rPr>
        <u val="single"/>
        <sz val="12"/>
        <rFont val="Arial MT"/>
        <family val="0"/>
      </rPr>
      <t>not</t>
    </r>
    <r>
      <rPr>
        <sz val="12"/>
        <rFont val="Arial MT"/>
        <family val="0"/>
      </rPr>
      <t xml:space="preserve"> included in the DIVISOR.</t>
    </r>
  </si>
  <si>
    <t xml:space="preserve">     Excluded:</t>
  </si>
  <si>
    <t xml:space="preserve">    Excluded:</t>
  </si>
  <si>
    <r>
      <t xml:space="preserve"> </t>
    </r>
    <r>
      <rPr>
        <sz val="12"/>
        <rFont val="Arial"/>
        <family val="2"/>
      </rPr>
      <t>Description</t>
    </r>
  </si>
  <si>
    <t>(Note Q)</t>
  </si>
  <si>
    <t>Q</t>
  </si>
  <si>
    <t>(sum lines 8, 10, 11, &amp; 15)</t>
  </si>
  <si>
    <t>TOTAL GROSS PLANT (sum lines 12-16)</t>
  </si>
  <si>
    <t>TOTAL ACCUM. DEPRECIATION (sum lines 18-22)</t>
  </si>
  <si>
    <t>TOTAL NET PLANT (sum lines 24-28)</t>
  </si>
  <si>
    <t xml:space="preserve"> (line 1 less line 3)</t>
  </si>
  <si>
    <t xml:space="preserve">  rate base, must reduce its income tax expense by the amount of the Amortized Investment Tax Credit (Form 1, 266.8.f)</t>
  </si>
  <si>
    <t>FIT =</t>
  </si>
  <si>
    <t>SIT=</t>
  </si>
  <si>
    <t>Summary of Depreciation Adjustments</t>
  </si>
  <si>
    <t>Expenses</t>
  </si>
  <si>
    <t>Accumulated Depreciation</t>
  </si>
  <si>
    <t>Form 1 Reported Expenses</t>
  </si>
  <si>
    <t>Form 1 reported Accum Depr</t>
  </si>
  <si>
    <t>Expense Difference</t>
  </si>
  <si>
    <t>Adjusted Accum Depr (Exp Diff + Form 1)</t>
  </si>
  <si>
    <t xml:space="preserve">   Inputs to Formula Rate Pages</t>
  </si>
  <si>
    <t>Month</t>
  </si>
  <si>
    <t>Plant</t>
  </si>
  <si>
    <t>Depreciation</t>
  </si>
  <si>
    <t>Net Plant</t>
  </si>
  <si>
    <t>Plant Additions</t>
  </si>
  <si>
    <t>Project Description</t>
  </si>
  <si>
    <t>Plant in</t>
  </si>
  <si>
    <t>Service</t>
  </si>
  <si>
    <t>Accum</t>
  </si>
  <si>
    <t>Other</t>
  </si>
  <si>
    <t>Taxes</t>
  </si>
  <si>
    <t>Income</t>
  </si>
  <si>
    <t>III.   WES</t>
  </si>
  <si>
    <t>Use the lower of line 14 and line 23 if the True-up Amount (line 25) is greater than or equal to zero.</t>
  </si>
  <si>
    <t>Use line 23 if the True-up amount (line 25) is less than zero.</t>
  </si>
  <si>
    <t>Net Plant for the Form 1 year from table below.</t>
  </si>
  <si>
    <r>
      <t xml:space="preserve">( see Note A in Section </t>
    </r>
    <r>
      <rPr>
        <sz val="10"/>
        <rFont val="MS Serif"/>
        <family val="1"/>
      </rPr>
      <t>IV</t>
    </r>
    <r>
      <rPr>
        <sz val="10"/>
        <rFont val="Arial"/>
        <family val="2"/>
      </rPr>
      <t xml:space="preserve"> on page 3 of 3 )</t>
    </r>
  </si>
  <si>
    <t xml:space="preserve">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</si>
  <si>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</si>
  <si>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 elected to utilize amortization of tax credits against taxable income, rather than book tax credits to Account No. 255 and reduce </t>
  </si>
  <si>
    <t>Removes transmission plant determined by Commission order to be state-jurisdictional according to the seven-factor test (until FERC Form 1 balances are adjusted to reflect application of seven-factor test).</t>
  </si>
  <si>
    <t>FERC portion of depreciation expense difference for the period 04/01/02 through 12/21/04 resulting from KCC approved depreciation rates as of 07/01/01 vs. the longer life pre-07/01/01 rates for Wolf Creek Generating Station and LaCygne Unit 2.</t>
  </si>
  <si>
    <t>(line 20 divided by 12 months)  (Note 2)</t>
  </si>
  <si>
    <t>(line 8 divided by line 19)  (Note 2)</t>
  </si>
  <si>
    <t>RATES (used in Westar Energy's OATT only)</t>
  </si>
  <si>
    <t>(Actual Gross Rev, page 2, line 13)</t>
  </si>
  <si>
    <t>GROSS REV. REQUIREMENT  (sum lines 11, 15, 22, 29, 30 &amp; 31)</t>
  </si>
  <si>
    <t>Actual net revenue requirements for most recent calendar year</t>
  </si>
  <si>
    <t>Actual gross revenue requirements for most recent calendar year</t>
  </si>
  <si>
    <t>Schedule/Worksheet Designation</t>
  </si>
  <si>
    <t>Actual revenue credits</t>
  </si>
  <si>
    <t>Actual transmission load</t>
  </si>
  <si>
    <t>Actual O&amp;M Expense Exclusions (WEN)</t>
  </si>
  <si>
    <t>Actual O&amp;M Expense Exclusions (WES)</t>
  </si>
  <si>
    <t>Actual Accumulated Deferred Income Taxes (ADIT) (WEN)</t>
  </si>
  <si>
    <t>Actual Accumulated Deferred Income Taxes (ADIT) (WES)</t>
  </si>
  <si>
    <t>Base Plan Funded Projects</t>
  </si>
  <si>
    <t>Actual Wages and Salaries</t>
  </si>
  <si>
    <t>Projected Net Rev Req</t>
  </si>
  <si>
    <t>Projected Gross Rev Req</t>
  </si>
  <si>
    <t>Worksheet P-1</t>
  </si>
  <si>
    <t>Worksheet P-2</t>
  </si>
  <si>
    <t>Worksheet P-3</t>
  </si>
  <si>
    <t>ok</t>
  </si>
  <si>
    <t>Projected 13 mo. Avg. Non-incentive Gross Plant</t>
  </si>
  <si>
    <t>Projected 12 mo avg non-incentive depr. exp.</t>
  </si>
  <si>
    <t>(P-1, page 2, line 28)</t>
  </si>
  <si>
    <t>(A) Projected non-incentive transmission depreciation expense (P-1, page 2, line 28) divided by projected transmission plant in service (P-1, page 2, line 29) divided by 12.</t>
  </si>
  <si>
    <t>Actual Accum</t>
  </si>
  <si>
    <t>(Worksheet P-4)</t>
  </si>
  <si>
    <t>Total transmission expenses accrued for the December 2007 ice storm</t>
  </si>
  <si>
    <t>Less total transmission storm damage reserve as of December 2007</t>
  </si>
  <si>
    <t>Total transmission expense to be amortized</t>
  </si>
  <si>
    <t>(line 19 + line 19a - line 19b)</t>
  </si>
  <si>
    <t xml:space="preserve"> (sum lines 23 - 24)</t>
  </si>
  <si>
    <t>(sum lines 18, 20, 21, &amp; 25)</t>
  </si>
  <si>
    <t xml:space="preserve"> (sum lines 1-5)</t>
  </si>
  <si>
    <t xml:space="preserve"> (sum lines 7-11)</t>
  </si>
  <si>
    <t>Actual Economic Portfolio Funded Projects</t>
  </si>
  <si>
    <t>EPP (Econ Proj Sum)'!A1</t>
  </si>
  <si>
    <t>EPP Summary</t>
  </si>
  <si>
    <t>Total Actual and Projected Economic Portfolio projects</t>
  </si>
  <si>
    <t>P-5 (Econ. Projects)'!A1</t>
  </si>
  <si>
    <t>Worksheet P-5</t>
  </si>
  <si>
    <t>Projected Economic Portfolio Funded Projects</t>
  </si>
  <si>
    <t>Kansas Gas and Electric Company</t>
  </si>
  <si>
    <t xml:space="preserve"> (sum lines 12-16)</t>
  </si>
  <si>
    <t>(page 1, line 1)</t>
  </si>
  <si>
    <t>Wichita-Reno-Summitt</t>
  </si>
  <si>
    <t>P.027202</t>
  </si>
  <si>
    <t xml:space="preserve">                                                                                      </t>
  </si>
  <si>
    <t>Total (Included in Sch. WES, p. 2, ln. 1, col. 3)</t>
  </si>
  <si>
    <t xml:space="preserve">  Transmission (Note D)</t>
  </si>
  <si>
    <t xml:space="preserve">  Revenues from Grandfathered Interzonal Transaction</t>
  </si>
  <si>
    <t>Notes:</t>
  </si>
  <si>
    <t>Revenue from Grandfathered point-to-point (GFA - all Companies in Section I except SWPP).</t>
  </si>
  <si>
    <t>Page 1 line 19a is the unamortized balance related to the recovery of transmission expense for the December 2007 ice storm booked in Account 182.3.  Accrued transmission expenses for the</t>
  </si>
  <si>
    <t>December 2007 ice storm shall be amortized in the transmission O&amp;M accounts over 36 months beginning June 1, 2008.  The total amount to be amortized in the transmission O&amp;M</t>
  </si>
  <si>
    <t>accounts shall be $6,647,679, developed as follows:</t>
  </si>
  <si>
    <t>Line:Hesston-Golden Plain-Gatz 69kV</t>
  </si>
  <si>
    <r>
      <t>P.27206</t>
    </r>
    <r>
      <rPr>
        <sz val="10"/>
        <rFont val="Arial MT"/>
        <family val="0"/>
      </rPr>
      <t xml:space="preserve"> S: 84 (U.10107,10108)</t>
    </r>
  </si>
  <si>
    <t>2008-01</t>
  </si>
  <si>
    <t>2008-03</t>
  </si>
  <si>
    <t>Form 1 Rates</t>
  </si>
  <si>
    <t>WEN-Wichita-to-Reno-to-Summit</t>
  </si>
  <si>
    <t>WES-Wichita-to-Reno-to-Summit</t>
  </si>
  <si>
    <t>Based on Rates in Formula NON-INCENTIVE</t>
  </si>
  <si>
    <t>Based on Rates in Formula WICHITA-TO-RENO-TO-SUMMIT</t>
  </si>
  <si>
    <t xml:space="preserve">   Total Plant Depreciation</t>
  </si>
  <si>
    <t>&lt; Inputs into Template:  WEN or WES, Page 2, Line 12, Col 3</t>
  </si>
  <si>
    <t>WEN: 1.8.3</t>
  </si>
  <si>
    <t>WES: 1.8.3</t>
  </si>
  <si>
    <t xml:space="preserve">Subtotal - p275  </t>
  </si>
  <si>
    <t>Accumulated Deferred Income Tax  Other Utility</t>
  </si>
  <si>
    <t>Incentive Plant: Actual Base Plan Funded</t>
  </si>
  <si>
    <t>Incentive Plant: Actual Economic Portfolio</t>
  </si>
  <si>
    <t>Incentive Plant: Projected</t>
  </si>
  <si>
    <t>(Worksheet P-1, line 44)</t>
  </si>
  <si>
    <t>Accum. Depreciation</t>
  </si>
  <si>
    <t>(3) - (4)</t>
  </si>
  <si>
    <t>Incentive Plant: Actual Zonal Plant</t>
  </si>
  <si>
    <t>Total Incentive Net Plant</t>
  </si>
  <si>
    <t>28a</t>
  </si>
  <si>
    <t>Less</t>
  </si>
  <si>
    <t>Plus</t>
  </si>
  <si>
    <t>DA</t>
  </si>
  <si>
    <t>TOTAL ADJUSTMENTS</t>
  </si>
  <si>
    <t>Interest on Network Credits</t>
  </si>
  <si>
    <t>B</t>
  </si>
  <si>
    <t>Line No.</t>
  </si>
  <si>
    <t>Retail</t>
  </si>
  <si>
    <t>100% Retail</t>
  </si>
  <si>
    <t>[Allocate</t>
  </si>
  <si>
    <t>by Plant]</t>
  </si>
  <si>
    <t>For both WEN and WES, only non-transmission related items included.  Determined by the ratio of pole attachments on transmission vs distribution.</t>
  </si>
  <si>
    <t>Westar Energy, Inc.</t>
  </si>
  <si>
    <t>Date</t>
  </si>
  <si>
    <t>Hour Ending</t>
  </si>
  <si>
    <t>Company Transmission Peak Load</t>
  </si>
  <si>
    <t>Westar's Transmission System Peak Load</t>
  </si>
  <si>
    <t>Less:          Non-Firm Sales to Cities</t>
  </si>
  <si>
    <t>Plus:           Non-Westar Generation</t>
  </si>
  <si>
    <t>n/a</t>
  </si>
  <si>
    <t>12-CP</t>
  </si>
  <si>
    <r>
      <t>Date</t>
    </r>
    <r>
      <rPr>
        <b/>
        <vertAlign val="superscript"/>
        <sz val="10"/>
        <rFont val="Arial"/>
        <family val="2"/>
      </rPr>
      <t>1</t>
    </r>
  </si>
  <si>
    <r>
      <t>Hour Ending</t>
    </r>
    <r>
      <rPr>
        <b/>
        <vertAlign val="superscript"/>
        <sz val="10"/>
        <rFont val="Arial"/>
        <family val="2"/>
      </rPr>
      <t>1</t>
    </r>
  </si>
  <si>
    <r>
      <t>Company Transmission Peak Load</t>
    </r>
    <r>
      <rPr>
        <b/>
        <vertAlign val="superscript"/>
        <sz val="10"/>
        <rFont val="Arial"/>
        <family val="2"/>
      </rPr>
      <t>1</t>
    </r>
  </si>
  <si>
    <r>
      <t>Adjustment</t>
    </r>
    <r>
      <rPr>
        <b/>
        <vertAlign val="superscript"/>
        <sz val="10"/>
        <rFont val="Arial"/>
        <family val="2"/>
      </rPr>
      <t>2</t>
    </r>
  </si>
  <si>
    <t>A</t>
  </si>
  <si>
    <r>
      <t>Load at Westar's Transmission System Peak Load</t>
    </r>
    <r>
      <rPr>
        <b/>
        <vertAlign val="superscript"/>
        <sz val="10"/>
        <rFont val="Arial"/>
        <family val="2"/>
      </rPr>
      <t>3</t>
    </r>
  </si>
  <si>
    <t>GFA PTP</t>
  </si>
  <si>
    <t>KMEA-SPA</t>
  </si>
  <si>
    <t>KMEA</t>
  </si>
  <si>
    <t>OMPA-WRI</t>
  </si>
  <si>
    <t>Kaw Valley</t>
  </si>
  <si>
    <t>Midwest</t>
  </si>
  <si>
    <t>Firm</t>
  </si>
  <si>
    <t>(Chanute only)</t>
  </si>
  <si>
    <t>Nearman</t>
  </si>
  <si>
    <t>PPA1</t>
  </si>
  <si>
    <t>PPA2</t>
  </si>
  <si>
    <t>Plant Balances as of Dec 31, 20xx</t>
  </si>
  <si>
    <t>For the 12 months ended - December 31, 20xx</t>
  </si>
  <si>
    <t>(Actual Gross Rev. Page 3, line 20)</t>
  </si>
  <si>
    <t>Worksheet A-1 - WE Revenue Credit</t>
  </si>
  <si>
    <t>Worksheet A-2 - WE Divisor</t>
  </si>
  <si>
    <t>Worksheet A-3 - WE Retail Adder</t>
  </si>
  <si>
    <t>Worksheet A-4 - WEN O&amp;M Exclusions</t>
  </si>
  <si>
    <t>Worksheet A-5 - WEN ADIT</t>
  </si>
  <si>
    <t>Worksheet A-6 - WES O&amp;M Exclusions</t>
  </si>
  <si>
    <t>Worksheet A-7 - WES ADIT</t>
  </si>
  <si>
    <t>Worksheet A-8 - WEN &amp; WES DEPRECIATION CALCULATION</t>
  </si>
  <si>
    <t>Worksheet A-10 - Wages and Salaries</t>
  </si>
  <si>
    <t>Worksheet BPF - Base Plan Funded (BPF) Summary</t>
  </si>
  <si>
    <t>Note A: All line references are to Worksheet BPF, page 1.</t>
  </si>
  <si>
    <t>(Hold future use)</t>
  </si>
  <si>
    <t>(Projected Gross Rev, p 1, ln 8, c7)</t>
  </si>
  <si>
    <t>(Actual Gross Rev, p. 1, ln 18, col 7)</t>
  </si>
  <si>
    <t>Rev. Req</t>
  </si>
  <si>
    <t>w/o True-up</t>
  </si>
  <si>
    <t>q</t>
  </si>
  <si>
    <t>(o + p)</t>
  </si>
  <si>
    <t>(Projected Net Rev Req, page 1, line 6</t>
  </si>
  <si>
    <t>(Projected Net Rev Req, page 1, line 6)</t>
  </si>
  <si>
    <t>Projected Revenue Requirements from Step 1 (Note E)</t>
  </si>
  <si>
    <t>Total True-Up Amount (prior year amount)</t>
  </si>
  <si>
    <t>SPP ZONAL REVENUE REQUIREMENT (line 7 - line 8 - line 9)</t>
  </si>
  <si>
    <t>Total Revenue Credit</t>
  </si>
  <si>
    <t>36a</t>
  </si>
  <si>
    <t>456.xxxx</t>
  </si>
  <si>
    <t>227.8.c (Note B)</t>
  </si>
  <si>
    <t>(Actual Gross Rev, Page 1, line 4a)</t>
  </si>
  <si>
    <t>(Actual Gross Rev, Page 1, line 10)</t>
  </si>
  <si>
    <t>(Actual Gross Rev, Page 1, line 10a)</t>
  </si>
  <si>
    <t>7a</t>
  </si>
  <si>
    <t xml:space="preserve">  Stores Expense</t>
  </si>
  <si>
    <t>(Actual Gross Rev, Page 1, line 23)</t>
  </si>
  <si>
    <t>(Actual Gross Rev, Page 1, line 23a)</t>
  </si>
  <si>
    <t>(Actual Gross Rev, page 2, line 13a)</t>
  </si>
  <si>
    <t>(Actual Gross Rev, page 2, line 14)</t>
  </si>
  <si>
    <t>Total of all Actual, non-incentive, BPF Projects</t>
  </si>
  <si>
    <t>Total of all Projected, non-incentive, BPF Projects</t>
  </si>
  <si>
    <t>Total of all Actual, incentive, BPF Projects</t>
  </si>
  <si>
    <t>Total of all Projected, incentive, BPF Projects</t>
  </si>
  <si>
    <t>T3</t>
  </si>
  <si>
    <t>T4</t>
  </si>
  <si>
    <t>T5</t>
  </si>
  <si>
    <t>T6</t>
  </si>
  <si>
    <t>T7</t>
  </si>
  <si>
    <t>T8</t>
  </si>
  <si>
    <t>Included transmission expenses (line 6 less line 7)</t>
  </si>
  <si>
    <t>Percentage of transmission expenses after adjustment (line 8 divided by line 6)</t>
  </si>
  <si>
    <t>Percentage of transmission plant included in ISO Rates (line 5)</t>
  </si>
  <si>
    <t>I.</t>
  </si>
  <si>
    <t>P</t>
  </si>
  <si>
    <t xml:space="preserve">         Property (Note P)</t>
  </si>
  <si>
    <t>Westar's Transmission Network Load)</t>
  </si>
  <si>
    <t xml:space="preserve"> (line 5 less line 11)</t>
  </si>
  <si>
    <t>WTP</t>
  </si>
  <si>
    <t xml:space="preserve">  Revenues from service provided by the ISO at a discount</t>
  </si>
  <si>
    <t>WEN and WES</t>
  </si>
  <si>
    <t>Revenue Credits (WEN and WES)</t>
  </si>
  <si>
    <t>Page 1 of 2</t>
  </si>
  <si>
    <t>Rate Base Adjustments</t>
  </si>
  <si>
    <t>O&amp;M Expenses</t>
  </si>
  <si>
    <t>Return without Incentives</t>
  </si>
  <si>
    <t>Incentive Net Plant</t>
  </si>
  <si>
    <t>Page 2 of 2</t>
  </si>
  <si>
    <t>Requirement</t>
  </si>
  <si>
    <t>(a)</t>
  </si>
  <si>
    <t>(b)</t>
  </si>
  <si>
    <t>(c)</t>
  </si>
  <si>
    <t>(d)</t>
  </si>
  <si>
    <t>(e)</t>
  </si>
  <si>
    <t>(f)</t>
  </si>
  <si>
    <t>Wages &amp; Salaries (W&amp;S)</t>
  </si>
  <si>
    <t>Form 1 Reference</t>
  </si>
  <si>
    <t>Form 1 Values</t>
  </si>
  <si>
    <t xml:space="preserve"> (Sum lines 12-14a)</t>
  </si>
  <si>
    <t xml:space="preserve"> (sum lines 16 - 22)</t>
  </si>
  <si>
    <t>Step</t>
  </si>
  <si>
    <t>Action</t>
  </si>
  <si>
    <t>Year 2</t>
  </si>
  <si>
    <t>This Worksheet will only be used if the depreciation rates used to determine the depreciation expenses shown in Form 1 differ from the depreciation rates shown in WEN/WES Footnote Q.</t>
  </si>
  <si>
    <t>WEN-Non-Incentive Plant</t>
  </si>
  <si>
    <t>WEN Input into Template"  WEN, Page 2, Line 12, Col 3</t>
  </si>
  <si>
    <t>WES-Non-Incentive Plant</t>
  </si>
  <si>
    <t>WES Input into Template:  WES, Page 2, Line 12, Col 3</t>
  </si>
  <si>
    <t>Non-Incentive Plant</t>
  </si>
  <si>
    <t xml:space="preserve">                                          Development of Common Stock:</t>
  </si>
  <si>
    <t>Common Stock</t>
  </si>
  <si>
    <t>Cost</t>
  </si>
  <si>
    <t>%</t>
  </si>
  <si>
    <t>Weighted</t>
  </si>
  <si>
    <t>=WCLTD</t>
  </si>
  <si>
    <t>=R</t>
  </si>
  <si>
    <t>REVENUE CREDITS</t>
  </si>
  <si>
    <t>Note</t>
  </si>
  <si>
    <t>Letter</t>
  </si>
  <si>
    <t>G</t>
  </si>
  <si>
    <t>Identified in Form 1 as being only transmission related.</t>
  </si>
  <si>
    <t>H</t>
  </si>
  <si>
    <t>I</t>
  </si>
  <si>
    <t>J</t>
  </si>
  <si>
    <t>(sum lines 3-4)</t>
  </si>
  <si>
    <t xml:space="preserve">TOTAL GROSS PLANT </t>
  </si>
  <si>
    <t>(sum lines 1-3)</t>
  </si>
  <si>
    <t>(D) All Base Plan Funded projects whose costs are in the Form 1 and are also incentive projects should be entered into sheet A-11.</t>
  </si>
  <si>
    <t>( C ) Only Base Plan Funded projects that have been completed and whose costs are in the Form 1 should be entered on this page.  If a project is done in phases over multiple years, that project should be entered in sheet P-4 until the entire project Is completed and in the Form 1.</t>
  </si>
  <si>
    <t>( C )</t>
  </si>
  <si>
    <t>Mult-Year Proj.:</t>
  </si>
  <si>
    <t>(Actual Gross Rev, p2, ln 6a, col 3 &amp; 4)</t>
  </si>
  <si>
    <t>(Actual Gross Rev, p2, ln 6b, col 3 &amp; 4)</t>
  </si>
  <si>
    <t>Calculate  the difference between the formula rate calculated in Step 7 and Step 1</t>
  </si>
  <si>
    <t>Removes dollar amount of transmission expenses included in the OATT ancillary services rates.  Costs related to Ancillary 1, Scheduling and Control, Acct 561 is shown on Actual Gross Rev, page 2, line 2.</t>
  </si>
  <si>
    <t>Project ID</t>
  </si>
  <si>
    <t>Trans. Fac. Charge</t>
  </si>
  <si>
    <t>Dist. Facilities Charge</t>
  </si>
  <si>
    <t>50a</t>
  </si>
  <si>
    <t>using the seven factor test.</t>
  </si>
  <si>
    <t>which requires the direct assignment of costs related to 1) single customer radial facilities and 2) those facilities which are booked into transmission accounts, but operate at less than 60 kV and have not been determined to be transmission facilities by the Commission</t>
  </si>
  <si>
    <t>21c</t>
  </si>
  <si>
    <t>(lines 20 - 21c)</t>
  </si>
  <si>
    <t xml:space="preserve">The Transmission Facilities Charge is the revenue from transmission customers that pay for direct assigned costs related to transmission facilities.  This revenue is anticipated from the implementation of the SPP definition of transmission (Attachment AI) </t>
  </si>
  <si>
    <t>Note: 1</t>
  </si>
  <si>
    <t>Enter the Projected Revenue Requirement for the Actual period without a true-up adjustment.</t>
  </si>
  <si>
    <t>Economic Portfolio</t>
  </si>
  <si>
    <t xml:space="preserve">     Accounts 456.1020 through 456.1501 less  TFC</t>
  </si>
  <si>
    <t xml:space="preserve">Subtotal - p277 </t>
  </si>
  <si>
    <t>2a</t>
  </si>
  <si>
    <t xml:space="preserve">     Less Account 565</t>
  </si>
  <si>
    <t xml:space="preserve">     Less Account 561</t>
  </si>
  <si>
    <t>321.84.b thru 321.92.b</t>
  </si>
  <si>
    <t xml:space="preserve">(Worksheet P-3, p. 1, Sec. I, 12-CP, </t>
  </si>
  <si>
    <t>Percentage of Maximum Transmission Network Load During Year</t>
  </si>
  <si>
    <t>Percentage of Maximum Transmission Network Load From 2007 (Worksheet B)</t>
  </si>
  <si>
    <t>January</t>
  </si>
  <si>
    <t>February</t>
  </si>
  <si>
    <t>March</t>
  </si>
  <si>
    <t>April</t>
  </si>
  <si>
    <t xml:space="preserve">     Plus Transmission Related Reg. Comm.  Exp.</t>
  </si>
  <si>
    <t>351.h (Note F)</t>
  </si>
  <si>
    <t>3a</t>
  </si>
  <si>
    <t>6b</t>
  </si>
  <si>
    <t xml:space="preserve">   Line 6b  Remove all Regulatory Commission Expenses itemized at 351.h.</t>
  </si>
  <si>
    <t xml:space="preserve">   Line 6a Remove all Advertising expenses in Account 930.1.</t>
  </si>
  <si>
    <t xml:space="preserve">   Line 6d Add in Safety related advertising that are in Account 930.1.</t>
  </si>
  <si>
    <t>(Col 5 times Col 6)</t>
  </si>
  <si>
    <t>Future Incentive Project</t>
  </si>
  <si>
    <t>Network service for Westar Retail load including ancillaries and schedule 12 (Account 566.0011)</t>
  </si>
  <si>
    <t>Annualized Depr Rates</t>
  </si>
  <si>
    <t>Monthly Depr Rate</t>
  </si>
  <si>
    <t>Transmission Depreciation Expense</t>
  </si>
  <si>
    <t>(A) 15-year accelerated depreciation expenses authorized in Docket Nos. EL08-31-000 and ER08-396-000.</t>
  </si>
  <si>
    <t>Deprec. Rate:(A)</t>
  </si>
  <si>
    <t>SWPP Allocated NITS</t>
  </si>
  <si>
    <t>SWPP Individual NITS</t>
  </si>
  <si>
    <t>SWPP NITS Bought by Others</t>
  </si>
  <si>
    <t>Account 456 revenue treated as a credit to cost of service in this formula is from subaccount 456.1000, Transmission Service.  Revenue from Grandfathered point-to-point (GFA - all Companies in Section I except SWPP).</t>
  </si>
  <si>
    <t>Items Deemed to be Allocated Exclusively to the Retail Jurisdiction</t>
  </si>
  <si>
    <t>Transmission Related</t>
  </si>
  <si>
    <t>Rate of Return</t>
  </si>
  <si>
    <t>Income Tax Factor</t>
  </si>
  <si>
    <t>Other Expenses</t>
  </si>
  <si>
    <t>Item 1</t>
  </si>
  <si>
    <t>Item 2</t>
  </si>
  <si>
    <t>Item 3</t>
  </si>
  <si>
    <t>Item 4</t>
  </si>
  <si>
    <t>Revenue Requirement</t>
  </si>
  <si>
    <t>Additional Revenue Requirement Allocated to the Retail Jurisdiction</t>
  </si>
  <si>
    <t xml:space="preserve">  Account No. 456</t>
  </si>
  <si>
    <t>TOTAL REVENUE CREDITS  (sum lines 2-5)</t>
  </si>
  <si>
    <t>(line 1 minus line 6 plus line 7)</t>
  </si>
  <si>
    <t xml:space="preserve">  Revenues from Grandfathered Interzonal Transactions</t>
  </si>
  <si>
    <t>(Wkshts. A-5 &amp; A-7, p. 1, Subtotal, Total ADIT)</t>
  </si>
  <si>
    <t>(Worksheet P-1)</t>
  </si>
  <si>
    <t>(Worksheet A-10)</t>
  </si>
  <si>
    <t>Worksheet P3 - Projected Transmission Network Load</t>
  </si>
  <si>
    <t>Table of Contents</t>
  </si>
  <si>
    <t>Tab</t>
  </si>
  <si>
    <t>Actual Net Rev Req</t>
  </si>
  <si>
    <t>Actual Gross Rev Req</t>
  </si>
  <si>
    <t>Worksheet A-1</t>
  </si>
  <si>
    <t>Worksheet A-2</t>
  </si>
  <si>
    <t>Worksheet A-3</t>
  </si>
  <si>
    <t>Worksheet A-4</t>
  </si>
  <si>
    <t>Worksheet A-5</t>
  </si>
  <si>
    <t>Worksheet A-6</t>
  </si>
  <si>
    <t>Worksheet A-7</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</si>
</sst>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 #,##0_);_(* \(#,##0\);_(* &quot;-&quot;??_);_(@_)"/>
    <numFmt numFmtId="174" formatCode="_(&quot;$&quot;* #,##0.000_);_(&quot;$&quot;* \(#,##0.000\);_(&quot;$&quot;* &quot;-&quot;??_);_(@_)"/>
    <numFmt numFmtId="175" formatCode="_(&quot;$&quot;* #,##0_);_(&quot;$&quot;* \(#,##0\);_(&quot;$&quot;* &quot;-&quot;??_);_(@_)"/>
    <numFmt numFmtId="176" formatCode="0.0000%"/>
    <numFmt numFmtId="177" formatCode="_(* #,##0.0000_);_(* \(#,##0.0000\);_(* &quot;-&quot;??_);_(@_)"/>
    <numFmt numFmtId="178" formatCode="_(* #,##0.00000_);_(* \(#,##0.00000\);_(* &quot;-&quot;??_);_(@_)"/>
    <numFmt numFmtId="179" formatCode="0_);\(0\)"/>
    <numFmt numFmtId="180" formatCode="#,##0.00000000"/>
    <numFmt numFmtId="181" formatCode="_(* #,##0.0000_);_(* \(#,##0.0000\);_(* &quot;-&quot;????_);_(@_)"/>
    <numFmt numFmtId="182" formatCode="[$-409]mmm\-yy;@"/>
    <numFmt numFmtId="183" formatCode="_(* #,##0.00000_);_(* \(#,##0.00000\);_(* &quot;-&quot;_);_(@_)"/>
    <numFmt numFmtId="184" formatCode="_(* #,##0.0_);_(* \(#,##0.0\);_(* &quot;-&quot;_);_(@_)"/>
    <numFmt numFmtId="185" formatCode="_(* #,##0.0000_);_(* \(#,##0.0000\);_(* &quot;-&quot;_);_(@_)"/>
    <numFmt numFmtId="186" formatCode="#,##0.000000"/>
    <numFmt numFmtId="187" formatCode="_(* #,##0.000000_);_(* \(#,##0.000000\);_(* &quot;-&quot;??_);_(@_)"/>
    <numFmt numFmtId="188" formatCode="[$-409]d\-mmm\-yyyy;@"/>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s>
  <fonts count="77">
    <font>
      <sz val="12"/>
      <name val="Arial MT"/>
      <family val="0"/>
    </font>
    <font>
      <b/>
      <sz val="10"/>
      <name val="Arial"/>
      <family val="0"/>
    </font>
    <font>
      <i/>
      <sz val="10"/>
      <name val="Arial"/>
      <family val="0"/>
    </font>
    <font>
      <b/>
      <i/>
      <sz val="10"/>
      <name val="Arial"/>
      <family val="0"/>
    </font>
    <font>
      <sz val="10"/>
      <name val="Arial MT"/>
      <family val="0"/>
    </font>
    <font>
      <sz val="12"/>
      <name val="Arial"/>
      <family val="2"/>
    </font>
    <font>
      <b/>
      <u val="single"/>
      <sz val="12"/>
      <name val="Arial"/>
      <family val="2"/>
    </font>
    <font>
      <b/>
      <sz val="12"/>
      <name val="Arial"/>
      <family val="2"/>
    </font>
    <font>
      <sz val="14"/>
      <name val="Arial MT"/>
      <family val="0"/>
    </font>
    <font>
      <sz val="16"/>
      <name val="Arial MT"/>
      <family val="0"/>
    </font>
    <font>
      <sz val="10"/>
      <name val="Arial"/>
      <family val="2"/>
    </font>
    <font>
      <u val="single"/>
      <sz val="10"/>
      <name val="Arial"/>
      <family val="2"/>
    </font>
    <font>
      <sz val="10"/>
      <name val="Arial Narrow"/>
      <family val="2"/>
    </font>
    <font>
      <b/>
      <i/>
      <sz val="12"/>
      <name val="Arial"/>
      <family val="2"/>
    </font>
    <font>
      <sz val="9"/>
      <name val="Arial"/>
      <family val="2"/>
    </font>
    <font>
      <sz val="8"/>
      <name val="Arial"/>
      <family val="2"/>
    </font>
    <font>
      <b/>
      <sz val="16"/>
      <name val="Arial MT"/>
      <family val="0"/>
    </font>
    <font>
      <b/>
      <sz val="16"/>
      <name val="Arial"/>
      <family val="2"/>
    </font>
    <font>
      <b/>
      <sz val="14"/>
      <name val="Arial"/>
      <family val="2"/>
    </font>
    <font>
      <b/>
      <vertAlign val="superscript"/>
      <sz val="10"/>
      <name val="Arial"/>
      <family val="2"/>
    </font>
    <font>
      <u val="single"/>
      <sz val="12"/>
      <name val="Arial"/>
      <family val="2"/>
    </font>
    <font>
      <u val="single"/>
      <sz val="12"/>
      <name val="Arial MT"/>
      <family val="0"/>
    </font>
    <font>
      <b/>
      <sz val="20"/>
      <name val="Arial"/>
      <family val="2"/>
    </font>
    <font>
      <sz val="14"/>
      <name val="Arial"/>
      <family val="2"/>
    </font>
    <font>
      <b/>
      <sz val="14"/>
      <name val="Arial MT"/>
      <family val="0"/>
    </font>
    <font>
      <sz val="10"/>
      <name val="Baskerville"/>
      <family val="1"/>
    </font>
    <font>
      <sz val="13.5"/>
      <name val="MS Serif"/>
      <family val="1"/>
    </font>
    <font>
      <b/>
      <sz val="16"/>
      <name val="MS Serif"/>
      <family val="1"/>
    </font>
    <font>
      <sz val="8"/>
      <name val="Tahoma"/>
      <family val="2"/>
    </font>
    <font>
      <sz val="12"/>
      <color indexed="8"/>
      <name val="Arial"/>
      <family val="2"/>
    </font>
    <font>
      <sz val="12"/>
      <color indexed="10"/>
      <name val="Arial"/>
      <family val="2"/>
    </font>
    <font>
      <u val="single"/>
      <sz val="7.2"/>
      <color indexed="12"/>
      <name val="Arial MT"/>
      <family val="0"/>
    </font>
    <font>
      <u val="single"/>
      <sz val="7.2"/>
      <color indexed="36"/>
      <name val="Arial MT"/>
      <family val="0"/>
    </font>
    <font>
      <b/>
      <sz val="18"/>
      <name val="Arial"/>
      <family val="2"/>
    </font>
    <font>
      <i/>
      <sz val="12"/>
      <name val="Arial"/>
      <family val="2"/>
    </font>
    <font>
      <sz val="12"/>
      <name val="Arial Narrow"/>
      <family val="2"/>
    </font>
    <font>
      <sz val="16"/>
      <name val="Arial"/>
      <family val="2"/>
    </font>
    <font>
      <sz val="20"/>
      <name val="Arial"/>
      <family val="2"/>
    </font>
    <font>
      <b/>
      <sz val="10"/>
      <name val="Arial MT"/>
      <family val="0"/>
    </font>
    <font>
      <sz val="8"/>
      <name val="Arial MT"/>
      <family val="0"/>
    </font>
    <font>
      <b/>
      <sz val="12"/>
      <name val="Arial MT"/>
      <family val="0"/>
    </font>
    <font>
      <b/>
      <u val="single"/>
      <sz val="10"/>
      <name val="Arial"/>
      <family val="2"/>
    </font>
    <font>
      <u val="single"/>
      <sz val="12"/>
      <color indexed="12"/>
      <name val="Arial Mt"/>
      <family val="0"/>
    </font>
    <font>
      <b/>
      <u val="single"/>
      <sz val="10"/>
      <name val="Arial MT"/>
      <family val="0"/>
    </font>
    <font>
      <sz val="11"/>
      <name val="Arial MT"/>
      <family val="0"/>
    </font>
    <font>
      <b/>
      <sz val="11"/>
      <name val="Arial MT"/>
      <family val="0"/>
    </font>
    <font>
      <b/>
      <u val="single"/>
      <sz val="11"/>
      <name val="Arial MT"/>
      <family val="0"/>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2"/>
      <name val="Times New Roman"/>
      <family val="1"/>
    </font>
    <font>
      <i/>
      <sz val="10"/>
      <name val="Arial MT"/>
      <family val="0"/>
    </font>
    <font>
      <sz val="11"/>
      <name val="Arial"/>
      <family val="2"/>
    </font>
    <font>
      <b/>
      <sz val="10"/>
      <name val="Arial Narrow"/>
      <family val="2"/>
    </font>
    <font>
      <b/>
      <sz val="12"/>
      <name val="Arial Narrow"/>
      <family val="2"/>
    </font>
    <font>
      <b/>
      <sz val="12"/>
      <name val="Helv"/>
      <family val="0"/>
    </font>
    <font>
      <u val="single"/>
      <strike/>
      <sz val="12"/>
      <name val="Arial"/>
      <family val="2"/>
    </font>
    <font>
      <strike/>
      <sz val="12"/>
      <name val="Arial"/>
      <family val="2"/>
    </font>
    <font>
      <sz val="10"/>
      <name val="MS Serif"/>
      <family val="1"/>
    </font>
    <font>
      <b/>
      <i/>
      <sz val="14"/>
      <name val="Arial MT"/>
      <family val="0"/>
    </font>
    <font>
      <sz val="12"/>
      <color indexed="9"/>
      <name val="Arial"/>
      <family val="2"/>
    </font>
    <font>
      <sz val="10"/>
      <color indexed="10"/>
      <name val="Arial MT"/>
      <family val="0"/>
    </font>
    <font>
      <sz val="12"/>
      <color indexed="23"/>
      <name val="Arial"/>
      <family val="2"/>
    </font>
    <font>
      <b/>
      <sz val="8"/>
      <name val="Arial MT"/>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style="double"/>
    </border>
    <border>
      <left style="thin"/>
      <right style="thin"/>
      <top style="thin"/>
      <bottom style="medium"/>
    </border>
    <border>
      <left>
        <color indexed="63"/>
      </left>
      <right style="thin"/>
      <top style="thin"/>
      <bottom style="thin"/>
    </border>
    <border>
      <left style="thin"/>
      <right style="thin"/>
      <top>
        <color indexed="63"/>
      </top>
      <bottom style="medium"/>
    </border>
    <border>
      <left>
        <color indexed="63"/>
      </left>
      <right style="thin"/>
      <top>
        <color indexed="63"/>
      </top>
      <bottom style="medium"/>
    </border>
    <border>
      <left style="medium"/>
      <right>
        <color indexed="63"/>
      </right>
      <top style="medium"/>
      <bottom style="medium"/>
    </border>
    <border>
      <left style="thin"/>
      <right style="thick"/>
      <top style="thin"/>
      <bottom style="thin"/>
    </border>
    <border>
      <left>
        <color indexed="63"/>
      </left>
      <right>
        <color indexed="63"/>
      </right>
      <top>
        <color indexed="63"/>
      </top>
      <bottom style="double"/>
    </border>
    <border>
      <left style="thin"/>
      <right style="thick"/>
      <top style="thin"/>
      <bottom style="medium"/>
    </border>
    <border>
      <left>
        <color indexed="63"/>
      </left>
      <right style="thin"/>
      <top style="thin"/>
      <bottom style="medium"/>
    </border>
    <border>
      <left style="thin"/>
      <right style="thick"/>
      <top>
        <color indexed="63"/>
      </top>
      <bottom style="thin"/>
    </border>
    <border>
      <left style="thin"/>
      <right>
        <color indexed="63"/>
      </right>
      <top style="thin"/>
      <bottom style="medium"/>
    </border>
    <border>
      <left>
        <color indexed="63"/>
      </left>
      <right>
        <color indexed="63"/>
      </right>
      <top style="thin"/>
      <bottom style="medium"/>
    </border>
  </borders>
  <cellStyleXfs count="67">
    <xf numFmtId="172"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1" applyNumberFormat="0" applyAlignment="0" applyProtection="0"/>
    <xf numFmtId="0" fontId="56" fillId="17" borderId="2"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57" fillId="0" borderId="0" applyNumberFormat="0" applyFill="0" applyBorder="0" applyAlignment="0" applyProtection="0"/>
    <xf numFmtId="0" fontId="32" fillId="0" borderId="0" applyNumberFormat="0" applyFill="0" applyBorder="0" applyAlignment="0" applyProtection="0"/>
    <xf numFmtId="0" fontId="58" fillId="6"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1" fillId="0" borderId="0" applyNumberFormat="0" applyFill="0" applyBorder="0" applyAlignment="0" applyProtection="0"/>
    <xf numFmtId="0" fontId="59" fillId="7" borderId="1" applyNumberFormat="0" applyAlignment="0" applyProtection="0"/>
    <xf numFmtId="0" fontId="50" fillId="0" borderId="6" applyNumberFormat="0" applyFill="0" applyAlignment="0" applyProtection="0"/>
    <xf numFmtId="0" fontId="60" fillId="7" borderId="0" applyNumberFormat="0" applyBorder="0" applyAlignment="0" applyProtection="0"/>
    <xf numFmtId="0" fontId="10" fillId="0" borderId="0">
      <alignment/>
      <protection/>
    </xf>
    <xf numFmtId="0" fontId="10" fillId="0" borderId="0">
      <alignment/>
      <protection/>
    </xf>
    <xf numFmtId="172" fontId="0" fillId="0" borderId="0" applyProtection="0">
      <alignment/>
    </xf>
    <xf numFmtId="0" fontId="5" fillId="0" borderId="0">
      <alignment/>
      <protection/>
    </xf>
    <xf numFmtId="0" fontId="0" fillId="4" borderId="7" applyNumberFormat="0" applyFont="0" applyAlignment="0" applyProtection="0"/>
    <xf numFmtId="0" fontId="61" fillId="16" borderId="8" applyNumberFormat="0" applyAlignment="0" applyProtection="0"/>
    <xf numFmtId="9" fontId="10" fillId="0" borderId="0" applyFont="0" applyFill="0" applyBorder="0" applyAlignment="0" applyProtection="0"/>
    <xf numFmtId="0" fontId="51" fillId="0" borderId="0" applyNumberFormat="0" applyFill="0" applyBorder="0" applyAlignment="0" applyProtection="0"/>
    <xf numFmtId="0" fontId="62" fillId="0" borderId="9" applyNumberFormat="0" applyFill="0" applyAlignment="0" applyProtection="0"/>
    <xf numFmtId="0" fontId="50" fillId="0" borderId="0" applyNumberFormat="0" applyFill="0" applyBorder="0" applyAlignment="0" applyProtection="0"/>
  </cellStyleXfs>
  <cellXfs count="1461">
    <xf numFmtId="172" fontId="0" fillId="0" borderId="0" xfId="0" applyAlignment="1">
      <alignment/>
    </xf>
    <xf numFmtId="0" fontId="5" fillId="0" borderId="0" xfId="0" applyNumberFormat="1" applyFont="1" applyAlignment="1">
      <alignment/>
    </xf>
    <xf numFmtId="0" fontId="5" fillId="0" borderId="0" xfId="0" applyNumberFormat="1" applyFont="1" applyAlignment="1">
      <alignment/>
    </xf>
    <xf numFmtId="0" fontId="5" fillId="0" borderId="0" xfId="0" applyNumberFormat="1" applyFont="1" applyAlignment="1">
      <alignment horizontal="center"/>
    </xf>
    <xf numFmtId="3" fontId="5" fillId="0" borderId="0" xfId="0" applyNumberFormat="1" applyFont="1" applyAlignment="1">
      <alignment/>
    </xf>
    <xf numFmtId="49" fontId="5" fillId="0" borderId="0" xfId="0" applyNumberFormat="1" applyFont="1" applyAlignment="1">
      <alignment horizontal="left"/>
    </xf>
    <xf numFmtId="49" fontId="5" fillId="0" borderId="0" xfId="0" applyNumberFormat="1" applyFont="1" applyAlignment="1">
      <alignment horizontal="center"/>
    </xf>
    <xf numFmtId="0" fontId="6" fillId="0" borderId="0" xfId="0" applyNumberFormat="1" applyFont="1" applyAlignment="1">
      <alignment horizontal="center"/>
    </xf>
    <xf numFmtId="3" fontId="6" fillId="0" borderId="0" xfId="0" applyNumberFormat="1" applyFont="1" applyAlignment="1">
      <alignment/>
    </xf>
    <xf numFmtId="0" fontId="7" fillId="0" borderId="0" xfId="0" applyNumberFormat="1" applyFont="1" applyAlignment="1">
      <alignment horizontal="center"/>
    </xf>
    <xf numFmtId="172" fontId="5" fillId="0" borderId="0" xfId="0" applyFont="1" applyAlignment="1">
      <alignment/>
    </xf>
    <xf numFmtId="0" fontId="7" fillId="0" borderId="0" xfId="0" applyNumberFormat="1" applyFont="1" applyAlignment="1">
      <alignment/>
    </xf>
    <xf numFmtId="172" fontId="5" fillId="0" borderId="0" xfId="0" applyFont="1" applyAlignment="1">
      <alignment horizontal="center"/>
    </xf>
    <xf numFmtId="49" fontId="5" fillId="0" borderId="0" xfId="0" applyNumberFormat="1" applyFont="1" applyAlignment="1">
      <alignment/>
    </xf>
    <xf numFmtId="3" fontId="7" fillId="0" borderId="0" xfId="0" applyNumberFormat="1" applyFont="1" applyAlignment="1">
      <alignment horizontal="center"/>
    </xf>
    <xf numFmtId="0" fontId="5" fillId="0" borderId="0" xfId="0" applyNumberFormat="1" applyFont="1" applyAlignment="1" applyProtection="1">
      <alignment horizontal="center"/>
      <protection locked="0"/>
    </xf>
    <xf numFmtId="0" fontId="7" fillId="0" borderId="0" xfId="0" applyNumberFormat="1" applyFont="1" applyAlignment="1" applyProtection="1">
      <alignment horizontal="center"/>
      <protection locked="0"/>
    </xf>
    <xf numFmtId="3" fontId="5" fillId="0" borderId="0" xfId="0" applyNumberFormat="1" applyFont="1" applyFill="1" applyAlignment="1">
      <alignment/>
    </xf>
    <xf numFmtId="3" fontId="5" fillId="0" borderId="0" xfId="0" applyNumberFormat="1" applyFont="1" applyFill="1" applyBorder="1" applyAlignment="1">
      <alignment/>
    </xf>
    <xf numFmtId="0" fontId="5" fillId="0" borderId="10" xfId="0" applyNumberFormat="1" applyFont="1" applyBorder="1" applyAlignment="1" applyProtection="1">
      <alignment horizontal="center"/>
      <protection locked="0"/>
    </xf>
    <xf numFmtId="172" fontId="7" fillId="0" borderId="0" xfId="0" applyFont="1" applyAlignment="1">
      <alignment horizontal="center"/>
    </xf>
    <xf numFmtId="3" fontId="7" fillId="0" borderId="0" xfId="0" applyNumberFormat="1" applyFont="1" applyAlignment="1">
      <alignment/>
    </xf>
    <xf numFmtId="0" fontId="7" fillId="0" borderId="0" xfId="0" applyNumberFormat="1" applyFont="1" applyAlignment="1" applyProtection="1">
      <alignment/>
      <protection locked="0"/>
    </xf>
    <xf numFmtId="0" fontId="5" fillId="0" borderId="0" xfId="0" applyNumberFormat="1" applyFont="1" applyFill="1" applyAlignment="1" applyProtection="1">
      <alignment/>
      <protection locked="0"/>
    </xf>
    <xf numFmtId="3" fontId="5" fillId="0" borderId="0" xfId="0" applyNumberFormat="1" applyFont="1" applyFill="1" applyAlignment="1">
      <alignment horizontal="right"/>
    </xf>
    <xf numFmtId="172" fontId="8" fillId="0" borderId="0" xfId="0" applyFont="1" applyAlignment="1">
      <alignment/>
    </xf>
    <xf numFmtId="0" fontId="8" fillId="0" borderId="0" xfId="0" applyNumberFormat="1" applyFont="1" applyFill="1" applyAlignment="1">
      <alignment/>
    </xf>
    <xf numFmtId="0" fontId="5" fillId="0" borderId="0" xfId="0" applyNumberFormat="1" applyFont="1" applyFill="1" applyAlignment="1" applyProtection="1">
      <alignment/>
      <protection locked="0"/>
    </xf>
    <xf numFmtId="0" fontId="5" fillId="0" borderId="0" xfId="0" applyNumberFormat="1" applyFont="1" applyFill="1" applyAlignment="1">
      <alignment/>
    </xf>
    <xf numFmtId="172" fontId="5" fillId="0" borderId="0" xfId="0" applyFont="1" applyFill="1" applyAlignment="1">
      <alignment/>
    </xf>
    <xf numFmtId="0" fontId="7" fillId="0" borderId="0" xfId="0" applyNumberFormat="1" applyFont="1" applyFill="1" applyAlignment="1">
      <alignment/>
    </xf>
    <xf numFmtId="0" fontId="5" fillId="0" borderId="0" xfId="0" applyNumberFormat="1" applyFont="1" applyFill="1" applyAlignment="1">
      <alignment/>
    </xf>
    <xf numFmtId="172" fontId="10" fillId="0" borderId="0" xfId="0" applyFont="1" applyAlignment="1">
      <alignment/>
    </xf>
    <xf numFmtId="172" fontId="10" fillId="0" borderId="11" xfId="0" applyFont="1" applyBorder="1" applyAlignment="1">
      <alignment horizontal="centerContinuous"/>
    </xf>
    <xf numFmtId="172" fontId="11" fillId="0" borderId="0" xfId="0" applyFont="1" applyAlignment="1">
      <alignment horizontal="right"/>
    </xf>
    <xf numFmtId="37" fontId="10" fillId="0" borderId="0" xfId="0" applyNumberFormat="1" applyFont="1" applyAlignment="1">
      <alignment/>
    </xf>
    <xf numFmtId="172" fontId="4" fillId="0" borderId="0" xfId="0" applyFont="1" applyAlignment="1">
      <alignment/>
    </xf>
    <xf numFmtId="3" fontId="7" fillId="0" borderId="0" xfId="0" applyNumberFormat="1" applyFont="1" applyAlignment="1" quotePrefix="1">
      <alignment/>
    </xf>
    <xf numFmtId="172" fontId="7" fillId="0" borderId="0" xfId="0" applyFont="1" applyAlignment="1" quotePrefix="1">
      <alignment/>
    </xf>
    <xf numFmtId="172" fontId="0" fillId="0" borderId="0" xfId="0" applyAlignment="1">
      <alignment horizontal="center"/>
    </xf>
    <xf numFmtId="0" fontId="3" fillId="0" borderId="0" xfId="57" applyFont="1">
      <alignment/>
      <protection/>
    </xf>
    <xf numFmtId="0" fontId="3" fillId="0" borderId="0" xfId="57" applyFont="1" applyFill="1" applyAlignment="1">
      <alignment horizontal="center"/>
      <protection/>
    </xf>
    <xf numFmtId="0" fontId="3" fillId="0" borderId="0" xfId="57" applyFont="1" applyAlignment="1">
      <alignment horizontal="center"/>
      <protection/>
    </xf>
    <xf numFmtId="0" fontId="12" fillId="0" borderId="0" xfId="57" applyFont="1">
      <alignment/>
      <protection/>
    </xf>
    <xf numFmtId="0" fontId="14" fillId="0" borderId="0" xfId="57" applyFont="1">
      <alignment/>
      <protection/>
    </xf>
    <xf numFmtId="172" fontId="1" fillId="0" borderId="0" xfId="0" applyFont="1" applyAlignment="1">
      <alignment/>
    </xf>
    <xf numFmtId="3" fontId="10" fillId="0" borderId="0" xfId="0" applyNumberFormat="1" applyFont="1" applyAlignment="1">
      <alignment/>
    </xf>
    <xf numFmtId="172" fontId="10" fillId="0" borderId="0" xfId="0" applyFont="1" applyFill="1" applyAlignment="1">
      <alignment/>
    </xf>
    <xf numFmtId="172" fontId="17" fillId="0" borderId="0" xfId="0" applyFont="1" applyFill="1" applyAlignment="1">
      <alignment/>
    </xf>
    <xf numFmtId="172" fontId="4" fillId="0" borderId="0" xfId="0" applyFont="1" applyFill="1" applyAlignment="1">
      <alignment/>
    </xf>
    <xf numFmtId="172" fontId="11" fillId="0" borderId="0" xfId="0" applyFont="1" applyFill="1" applyAlignment="1">
      <alignment horizontal="right"/>
    </xf>
    <xf numFmtId="172" fontId="10" fillId="0" borderId="0" xfId="0" applyFont="1" applyFill="1" applyAlignment="1">
      <alignment horizontal="right"/>
    </xf>
    <xf numFmtId="172" fontId="1" fillId="0" borderId="0" xfId="0" applyFont="1" applyFill="1" applyAlignment="1">
      <alignment/>
    </xf>
    <xf numFmtId="172" fontId="1" fillId="0" borderId="12" xfId="0" applyFont="1" applyFill="1" applyBorder="1" applyAlignment="1">
      <alignment horizontal="center"/>
    </xf>
    <xf numFmtId="172" fontId="1" fillId="0" borderId="12" xfId="0" applyFont="1" applyBorder="1" applyAlignment="1">
      <alignment horizontal="center" wrapText="1"/>
    </xf>
    <xf numFmtId="172" fontId="1" fillId="0" borderId="12" xfId="0" applyFont="1" applyBorder="1" applyAlignment="1">
      <alignment horizontal="center"/>
    </xf>
    <xf numFmtId="172" fontId="10" fillId="0" borderId="13" xfId="0" applyFont="1" applyBorder="1" applyAlignment="1">
      <alignment horizontal="center"/>
    </xf>
    <xf numFmtId="172" fontId="11" fillId="0" borderId="0" xfId="0" applyFont="1" applyAlignment="1">
      <alignment horizontal="center"/>
    </xf>
    <xf numFmtId="172" fontId="10" fillId="0" borderId="14" xfId="0" applyFont="1" applyBorder="1" applyAlignment="1">
      <alignment horizontal="center"/>
    </xf>
    <xf numFmtId="15" fontId="10" fillId="0" borderId="15" xfId="0" applyNumberFormat="1" applyFont="1" applyBorder="1" applyAlignment="1">
      <alignment/>
    </xf>
    <xf numFmtId="37" fontId="11" fillId="0" borderId="0" xfId="0" applyNumberFormat="1" applyFont="1" applyAlignment="1">
      <alignment horizontal="center"/>
    </xf>
    <xf numFmtId="172" fontId="10" fillId="0" borderId="0" xfId="0" applyFont="1" applyBorder="1" applyAlignment="1">
      <alignment/>
    </xf>
    <xf numFmtId="172" fontId="10" fillId="0" borderId="0" xfId="0" applyFont="1" applyBorder="1" applyAlignment="1">
      <alignment horizontal="right"/>
    </xf>
    <xf numFmtId="7" fontId="10" fillId="0" borderId="0" xfId="0" applyNumberFormat="1" applyFont="1" applyBorder="1" applyAlignment="1">
      <alignment/>
    </xf>
    <xf numFmtId="172" fontId="10" fillId="0" borderId="0" xfId="0" applyFont="1" applyAlignment="1">
      <alignment horizontal="right"/>
    </xf>
    <xf numFmtId="7" fontId="10" fillId="0" borderId="0" xfId="0" applyNumberFormat="1" applyFont="1" applyAlignment="1">
      <alignment/>
    </xf>
    <xf numFmtId="7" fontId="15" fillId="0" borderId="0" xfId="0" applyNumberFormat="1" applyFont="1" applyAlignment="1">
      <alignment/>
    </xf>
    <xf numFmtId="37" fontId="15" fillId="0" borderId="0" xfId="0" applyNumberFormat="1" applyFont="1" applyAlignment="1">
      <alignment/>
    </xf>
    <xf numFmtId="172" fontId="15" fillId="0" borderId="0" xfId="0" applyFont="1" applyAlignment="1">
      <alignment/>
    </xf>
    <xf numFmtId="15" fontId="10" fillId="0" borderId="0" xfId="0" applyNumberFormat="1" applyFont="1" applyBorder="1" applyAlignment="1">
      <alignment/>
    </xf>
    <xf numFmtId="1" fontId="10" fillId="0" borderId="0" xfId="0" applyNumberFormat="1" applyFont="1" applyBorder="1" applyAlignment="1">
      <alignment/>
    </xf>
    <xf numFmtId="39" fontId="10" fillId="0" borderId="0" xfId="0" applyNumberFormat="1" applyFont="1" applyBorder="1" applyAlignment="1">
      <alignment/>
    </xf>
    <xf numFmtId="15" fontId="15" fillId="0" borderId="0" xfId="0" applyNumberFormat="1" applyFont="1" applyAlignment="1">
      <alignment/>
    </xf>
    <xf numFmtId="1" fontId="15" fillId="0" borderId="0" xfId="0" applyNumberFormat="1" applyFont="1" applyAlignment="1">
      <alignment/>
    </xf>
    <xf numFmtId="172" fontId="5" fillId="0" borderId="0" xfId="0" applyFont="1" applyAlignment="1">
      <alignment/>
    </xf>
    <xf numFmtId="172" fontId="9" fillId="0" borderId="0" xfId="0" applyFont="1" applyAlignment="1">
      <alignment horizontal="right"/>
    </xf>
    <xf numFmtId="172" fontId="17" fillId="0" borderId="0" xfId="0" applyFont="1" applyAlignment="1">
      <alignment/>
    </xf>
    <xf numFmtId="172" fontId="17" fillId="0" borderId="0" xfId="0" applyFont="1" applyAlignment="1">
      <alignment horizontal="center"/>
    </xf>
    <xf numFmtId="1" fontId="5" fillId="0" borderId="0" xfId="0" applyNumberFormat="1" applyFont="1" applyAlignment="1">
      <alignment horizontal="center"/>
    </xf>
    <xf numFmtId="172" fontId="5" fillId="0" borderId="0" xfId="0" applyFont="1" applyAlignment="1">
      <alignment horizontal="right"/>
    </xf>
    <xf numFmtId="170" fontId="5" fillId="0" borderId="0" xfId="0" applyNumberFormat="1" applyFont="1" applyAlignment="1">
      <alignment/>
    </xf>
    <xf numFmtId="164" fontId="5" fillId="0" borderId="0" xfId="63" applyNumberFormat="1" applyFont="1" applyAlignment="1">
      <alignment/>
    </xf>
    <xf numFmtId="173" fontId="5" fillId="0" borderId="0" xfId="42" applyNumberFormat="1" applyFont="1" applyAlignment="1">
      <alignment/>
    </xf>
    <xf numFmtId="0" fontId="17" fillId="0" borderId="0" xfId="57" applyFont="1" applyAlignment="1">
      <alignment horizontal="left"/>
      <protection/>
    </xf>
    <xf numFmtId="0" fontId="5" fillId="0" borderId="0" xfId="0" applyNumberFormat="1" applyFont="1" applyAlignment="1" applyProtection="1">
      <alignment horizontal="right"/>
      <protection locked="0"/>
    </xf>
    <xf numFmtId="0" fontId="13" fillId="0" borderId="0" xfId="57" applyFont="1" applyFill="1" applyAlignment="1">
      <alignment horizontal="left"/>
      <protection/>
    </xf>
    <xf numFmtId="0" fontId="17" fillId="0" borderId="0" xfId="57" applyFont="1" applyFill="1" applyAlignment="1">
      <alignment horizontal="left"/>
      <protection/>
    </xf>
    <xf numFmtId="0" fontId="5" fillId="0" borderId="0" xfId="57" applyFont="1" applyAlignment="1">
      <alignment horizontal="right"/>
      <protection/>
    </xf>
    <xf numFmtId="172" fontId="18" fillId="0" borderId="0" xfId="0" applyFont="1" applyFill="1" applyAlignment="1">
      <alignment horizontal="center"/>
    </xf>
    <xf numFmtId="172" fontId="18" fillId="0" borderId="0" xfId="0" applyFont="1" applyAlignment="1">
      <alignment horizontal="center"/>
    </xf>
    <xf numFmtId="3" fontId="18" fillId="0" borderId="0" xfId="0" applyNumberFormat="1" applyFont="1" applyAlignment="1">
      <alignment horizontal="center"/>
    </xf>
    <xf numFmtId="172" fontId="18" fillId="0" borderId="0" xfId="0" applyFont="1" applyBorder="1" applyAlignment="1">
      <alignment horizontal="center"/>
    </xf>
    <xf numFmtId="7" fontId="18" fillId="0" borderId="0" xfId="0" applyNumberFormat="1" applyFont="1" applyBorder="1" applyAlignment="1">
      <alignment horizontal="center"/>
    </xf>
    <xf numFmtId="179" fontId="18" fillId="0" borderId="0" xfId="0" applyNumberFormat="1" applyFont="1" applyBorder="1" applyAlignment="1">
      <alignment horizontal="left"/>
    </xf>
    <xf numFmtId="172" fontId="20" fillId="0" borderId="0" xfId="0" applyFont="1" applyAlignment="1">
      <alignment/>
    </xf>
    <xf numFmtId="172" fontId="20" fillId="0" borderId="0" xfId="0" applyFont="1" applyAlignment="1">
      <alignment horizontal="center"/>
    </xf>
    <xf numFmtId="172" fontId="17" fillId="0" borderId="0" xfId="0" applyFont="1" applyAlignment="1">
      <alignment/>
    </xf>
    <xf numFmtId="172" fontId="25" fillId="0" borderId="0" xfId="0" applyFont="1" applyAlignment="1">
      <alignment/>
    </xf>
    <xf numFmtId="172" fontId="27" fillId="0" borderId="0" xfId="0" applyFont="1" applyAlignment="1">
      <alignment/>
    </xf>
    <xf numFmtId="172" fontId="27" fillId="0" borderId="0" xfId="0" applyFont="1" applyFill="1" applyAlignment="1">
      <alignment/>
    </xf>
    <xf numFmtId="172" fontId="23" fillId="0" borderId="0" xfId="0" applyFont="1" applyAlignment="1">
      <alignment/>
    </xf>
    <xf numFmtId="172" fontId="23" fillId="0" borderId="0" xfId="0" applyFont="1" applyAlignment="1">
      <alignment horizontal="center"/>
    </xf>
    <xf numFmtId="15" fontId="10" fillId="0" borderId="12" xfId="0" applyNumberFormat="1" applyFont="1" applyBorder="1" applyAlignment="1">
      <alignment/>
    </xf>
    <xf numFmtId="1" fontId="10" fillId="0" borderId="12" xfId="0" applyNumberFormat="1" applyFont="1" applyBorder="1" applyAlignment="1">
      <alignment/>
    </xf>
    <xf numFmtId="0" fontId="5" fillId="0" borderId="0" xfId="57" applyFont="1" applyAlignment="1">
      <alignment horizontal="right" vertical="center"/>
      <protection/>
    </xf>
    <xf numFmtId="172" fontId="18" fillId="0" borderId="16" xfId="0" applyFont="1" applyBorder="1" applyAlignment="1">
      <alignment/>
    </xf>
    <xf numFmtId="2" fontId="33" fillId="0" borderId="0" xfId="0" applyNumberFormat="1" applyFont="1" applyAlignment="1">
      <alignment/>
    </xf>
    <xf numFmtId="2" fontId="18" fillId="0" borderId="0" xfId="0" applyNumberFormat="1" applyFont="1" applyAlignment="1">
      <alignment/>
    </xf>
    <xf numFmtId="2" fontId="18" fillId="0" borderId="16" xfId="0" applyNumberFormat="1" applyFont="1" applyBorder="1" applyAlignment="1">
      <alignment/>
    </xf>
    <xf numFmtId="172" fontId="5" fillId="0" borderId="17" xfId="0" applyFont="1" applyBorder="1" applyAlignment="1">
      <alignment/>
    </xf>
    <xf numFmtId="172" fontId="5" fillId="0" borderId="18" xfId="0" applyFont="1" applyBorder="1" applyAlignment="1">
      <alignment/>
    </xf>
    <xf numFmtId="2" fontId="5" fillId="0" borderId="19" xfId="0" applyNumberFormat="1" applyFont="1" applyBorder="1" applyAlignment="1">
      <alignment/>
    </xf>
    <xf numFmtId="172" fontId="5" fillId="0" borderId="0" xfId="0" applyFont="1" applyBorder="1" applyAlignment="1">
      <alignment/>
    </xf>
    <xf numFmtId="172" fontId="5" fillId="0" borderId="20" xfId="0" applyFont="1" applyBorder="1" applyAlignment="1">
      <alignment/>
    </xf>
    <xf numFmtId="4" fontId="5" fillId="0" borderId="0" xfId="0" applyNumberFormat="1" applyFont="1" applyBorder="1" applyAlignment="1">
      <alignment/>
    </xf>
    <xf numFmtId="2" fontId="5" fillId="0" borderId="21" xfId="0" applyNumberFormat="1" applyFont="1" applyBorder="1" applyAlignment="1">
      <alignment/>
    </xf>
    <xf numFmtId="4" fontId="5" fillId="0" borderId="11" xfId="0" applyNumberFormat="1" applyFont="1" applyBorder="1" applyAlignment="1">
      <alignment/>
    </xf>
    <xf numFmtId="2" fontId="5" fillId="0" borderId="0" xfId="0" applyNumberFormat="1" applyFont="1" applyAlignment="1">
      <alignment/>
    </xf>
    <xf numFmtId="4" fontId="5" fillId="0" borderId="0" xfId="0" applyNumberFormat="1" applyFont="1" applyAlignment="1">
      <alignment/>
    </xf>
    <xf numFmtId="4" fontId="5" fillId="0" borderId="17" xfId="0" applyNumberFormat="1" applyFont="1" applyBorder="1" applyAlignment="1">
      <alignment/>
    </xf>
    <xf numFmtId="4" fontId="5" fillId="0" borderId="18" xfId="0" applyNumberFormat="1" applyFont="1" applyBorder="1" applyAlignment="1">
      <alignment/>
    </xf>
    <xf numFmtId="4" fontId="5" fillId="0" borderId="20" xfId="0" applyNumberFormat="1" applyFont="1" applyBorder="1" applyAlignment="1">
      <alignment/>
    </xf>
    <xf numFmtId="172" fontId="5" fillId="0" borderId="11" xfId="0" applyFont="1" applyBorder="1" applyAlignment="1">
      <alignment/>
    </xf>
    <xf numFmtId="172" fontId="5" fillId="0" borderId="19" xfId="0" applyFont="1" applyBorder="1" applyAlignment="1">
      <alignment/>
    </xf>
    <xf numFmtId="172" fontId="5" fillId="0" borderId="11" xfId="0" applyFont="1" applyBorder="1" applyAlignment="1">
      <alignment horizontal="center"/>
    </xf>
    <xf numFmtId="172" fontId="5" fillId="0" borderId="22" xfId="0" applyFont="1" applyBorder="1" applyAlignment="1">
      <alignment horizontal="center"/>
    </xf>
    <xf numFmtId="172" fontId="5" fillId="0" borderId="21" xfId="0" applyFont="1" applyBorder="1" applyAlignment="1">
      <alignment/>
    </xf>
    <xf numFmtId="2" fontId="5" fillId="0" borderId="0" xfId="0" applyNumberFormat="1" applyFont="1" applyAlignment="1">
      <alignment/>
    </xf>
    <xf numFmtId="167" fontId="5" fillId="0" borderId="0" xfId="0" applyNumberFormat="1" applyFont="1" applyBorder="1" applyAlignment="1">
      <alignment/>
    </xf>
    <xf numFmtId="167" fontId="5" fillId="0" borderId="11" xfId="0" applyNumberFormat="1" applyFont="1" applyBorder="1" applyAlignment="1">
      <alignment/>
    </xf>
    <xf numFmtId="167" fontId="5" fillId="0" borderId="0" xfId="0" applyNumberFormat="1" applyFont="1" applyAlignment="1">
      <alignment/>
    </xf>
    <xf numFmtId="167" fontId="5" fillId="0" borderId="17" xfId="0" applyNumberFormat="1" applyFont="1" applyBorder="1" applyAlignment="1">
      <alignment/>
    </xf>
    <xf numFmtId="4" fontId="7" fillId="0" borderId="22" xfId="0" applyNumberFormat="1" applyFont="1" applyBorder="1" applyAlignment="1">
      <alignment horizontal="right"/>
    </xf>
    <xf numFmtId="172" fontId="7" fillId="0" borderId="22" xfId="0" applyFont="1" applyBorder="1" applyAlignment="1">
      <alignment horizontal="right"/>
    </xf>
    <xf numFmtId="1" fontId="5" fillId="0" borderId="21" xfId="0" applyNumberFormat="1" applyFont="1" applyBorder="1" applyAlignment="1">
      <alignment/>
    </xf>
    <xf numFmtId="1" fontId="5" fillId="0" borderId="0" xfId="0" applyNumberFormat="1" applyFont="1" applyAlignment="1">
      <alignment/>
    </xf>
    <xf numFmtId="1" fontId="18" fillId="0" borderId="16" xfId="0" applyNumberFormat="1" applyFont="1" applyBorder="1" applyAlignment="1">
      <alignment/>
    </xf>
    <xf numFmtId="1" fontId="5" fillId="0" borderId="19" xfId="0" applyNumberFormat="1" applyFont="1" applyBorder="1" applyAlignment="1">
      <alignment/>
    </xf>
    <xf numFmtId="2" fontId="7" fillId="0" borderId="19" xfId="0" applyNumberFormat="1" applyFont="1" applyBorder="1" applyAlignment="1">
      <alignment horizontal="center" wrapText="1"/>
    </xf>
    <xf numFmtId="17" fontId="7" fillId="0" borderId="0" xfId="0" applyNumberFormat="1" applyFont="1" applyBorder="1" applyAlignment="1">
      <alignment horizontal="center"/>
    </xf>
    <xf numFmtId="49" fontId="7" fillId="0" borderId="0" xfId="0" applyNumberFormat="1" applyFont="1" applyBorder="1" applyAlignment="1">
      <alignment horizontal="center" wrapText="1"/>
    </xf>
    <xf numFmtId="1" fontId="7" fillId="0" borderId="19" xfId="0" applyNumberFormat="1" applyFont="1" applyBorder="1" applyAlignment="1">
      <alignment horizontal="center"/>
    </xf>
    <xf numFmtId="1" fontId="7" fillId="0" borderId="19" xfId="0" applyNumberFormat="1" applyFont="1" applyBorder="1" applyAlignment="1">
      <alignment horizontal="center" wrapText="1"/>
    </xf>
    <xf numFmtId="2" fontId="7" fillId="0" borderId="19" xfId="0" applyNumberFormat="1" applyFont="1" applyBorder="1" applyAlignment="1">
      <alignment horizontal="center"/>
    </xf>
    <xf numFmtId="172" fontId="7" fillId="0" borderId="0" xfId="0" applyFont="1" applyBorder="1" applyAlignment="1">
      <alignment horizontal="center"/>
    </xf>
    <xf numFmtId="172" fontId="7" fillId="0" borderId="20" xfId="0" applyFont="1" applyBorder="1" applyAlignment="1">
      <alignment horizontal="center"/>
    </xf>
    <xf numFmtId="172" fontId="7" fillId="0" borderId="11" xfId="0" applyFont="1" applyBorder="1" applyAlignment="1">
      <alignment horizontal="center"/>
    </xf>
    <xf numFmtId="2" fontId="7" fillId="0" borderId="19" xfId="0" applyNumberFormat="1" applyFont="1" applyBorder="1" applyAlignment="1">
      <alignment/>
    </xf>
    <xf numFmtId="172" fontId="7" fillId="0" borderId="0" xfId="0" applyFont="1" applyBorder="1" applyAlignment="1">
      <alignment horizontal="center" wrapText="1"/>
    </xf>
    <xf numFmtId="172" fontId="7" fillId="0" borderId="20" xfId="0" applyFont="1" applyBorder="1" applyAlignment="1">
      <alignment horizontal="center" wrapText="1"/>
    </xf>
    <xf numFmtId="3" fontId="7" fillId="0" borderId="19" xfId="0" applyNumberFormat="1" applyFont="1" applyBorder="1" applyAlignment="1">
      <alignment horizontal="center"/>
    </xf>
    <xf numFmtId="49" fontId="7" fillId="0" borderId="20" xfId="0" applyNumberFormat="1" applyFont="1" applyBorder="1" applyAlignment="1">
      <alignment horizontal="center" wrapText="1"/>
    </xf>
    <xf numFmtId="0" fontId="5" fillId="0" borderId="0" xfId="0" applyNumberFormat="1" applyFont="1" applyBorder="1" applyAlignment="1">
      <alignment horizontal="center"/>
    </xf>
    <xf numFmtId="172" fontId="7" fillId="0" borderId="0" xfId="0" applyFont="1" applyFill="1" applyAlignment="1">
      <alignment/>
    </xf>
    <xf numFmtId="172" fontId="5" fillId="0" borderId="0" xfId="0" applyFont="1" applyFill="1" applyAlignment="1">
      <alignment/>
    </xf>
    <xf numFmtId="0" fontId="10" fillId="0" borderId="0" xfId="0" applyNumberFormat="1" applyFont="1" applyFill="1" applyAlignment="1" applyProtection="1">
      <alignment/>
      <protection locked="0"/>
    </xf>
    <xf numFmtId="172" fontId="7" fillId="0" borderId="0" xfId="0" applyFont="1" applyFill="1" applyAlignment="1">
      <alignment horizontal="left"/>
    </xf>
    <xf numFmtId="3" fontId="5" fillId="0" borderId="0" xfId="0" applyNumberFormat="1" applyFont="1" applyFill="1" applyBorder="1" applyAlignment="1" applyProtection="1">
      <alignment/>
      <protection/>
    </xf>
    <xf numFmtId="3" fontId="5" fillId="0" borderId="0" xfId="0" applyNumberFormat="1" applyFont="1" applyFill="1" applyBorder="1" applyAlignment="1">
      <alignment/>
    </xf>
    <xf numFmtId="170" fontId="5" fillId="0" borderId="0" xfId="0" applyNumberFormat="1" applyFont="1" applyFill="1" applyBorder="1" applyAlignment="1" applyProtection="1">
      <alignment/>
      <protection/>
    </xf>
    <xf numFmtId="0" fontId="10" fillId="0" borderId="0" xfId="0" applyNumberFormat="1" applyFont="1" applyFill="1" applyAlignment="1">
      <alignment/>
    </xf>
    <xf numFmtId="172" fontId="10" fillId="0" borderId="0" xfId="0" applyFont="1" applyFill="1" applyAlignment="1">
      <alignment/>
    </xf>
    <xf numFmtId="0" fontId="10" fillId="0" borderId="0" xfId="0" applyNumberFormat="1" applyFont="1" applyFill="1" applyAlignment="1" applyProtection="1">
      <alignment/>
      <protection locked="0"/>
    </xf>
    <xf numFmtId="172" fontId="20" fillId="0" borderId="0" xfId="0" applyFont="1" applyFill="1" applyAlignment="1">
      <alignment horizontal="right"/>
    </xf>
    <xf numFmtId="172" fontId="30" fillId="0" borderId="0" xfId="0" applyFont="1" applyAlignment="1">
      <alignment/>
    </xf>
    <xf numFmtId="172" fontId="7" fillId="0" borderId="0" xfId="0" applyFont="1" applyAlignment="1">
      <alignment/>
    </xf>
    <xf numFmtId="0" fontId="34" fillId="0" borderId="0" xfId="57" applyFont="1" applyAlignment="1">
      <alignment horizontal="left" vertical="center"/>
      <protection/>
    </xf>
    <xf numFmtId="173" fontId="34" fillId="0" borderId="0" xfId="57" applyNumberFormat="1" applyFont="1" applyAlignment="1">
      <alignment vertical="center"/>
      <protection/>
    </xf>
    <xf numFmtId="0" fontId="34" fillId="0" borderId="0" xfId="57" applyFont="1" applyFill="1" applyAlignment="1">
      <alignment horizontal="left" vertical="center"/>
      <protection/>
    </xf>
    <xf numFmtId="0" fontId="35" fillId="0" borderId="0" xfId="57" applyFont="1" applyFill="1" applyBorder="1" applyAlignment="1">
      <alignment vertical="center"/>
      <protection/>
    </xf>
    <xf numFmtId="0" fontId="34" fillId="0" borderId="0" xfId="57" applyFont="1" applyAlignment="1" quotePrefix="1">
      <alignment horizontal="left" vertical="center"/>
      <protection/>
    </xf>
    <xf numFmtId="0" fontId="13" fillId="0" borderId="0" xfId="57" applyFont="1" applyAlignment="1">
      <alignment vertical="center"/>
      <protection/>
    </xf>
    <xf numFmtId="0" fontId="13" fillId="0" borderId="0" xfId="57" applyFont="1" applyFill="1" applyAlignment="1">
      <alignment horizontal="center" vertical="center"/>
      <protection/>
    </xf>
    <xf numFmtId="9" fontId="13" fillId="0" borderId="0" xfId="57" applyNumberFormat="1" applyFont="1" applyFill="1" applyAlignment="1">
      <alignment horizontal="center" vertical="center"/>
      <protection/>
    </xf>
    <xf numFmtId="0" fontId="7" fillId="0" borderId="0" xfId="57" applyFont="1" applyAlignment="1">
      <alignment horizontal="center" vertical="center"/>
      <protection/>
    </xf>
    <xf numFmtId="0" fontId="35" fillId="0" borderId="0" xfId="57" applyFont="1" applyAlignment="1">
      <alignment vertical="center"/>
      <protection/>
    </xf>
    <xf numFmtId="0" fontId="34" fillId="0" borderId="0" xfId="57" applyFont="1" applyAlignment="1">
      <alignment vertical="center"/>
      <protection/>
    </xf>
    <xf numFmtId="0" fontId="35" fillId="0" borderId="0" xfId="57" applyFont="1" applyFill="1" applyAlignment="1">
      <alignment vertical="center"/>
      <protection/>
    </xf>
    <xf numFmtId="0" fontId="5" fillId="0" borderId="0" xfId="57" applyFont="1" applyAlignment="1">
      <alignment vertical="center" wrapText="1"/>
      <protection/>
    </xf>
    <xf numFmtId="9" fontId="13" fillId="0" borderId="0" xfId="57" applyNumberFormat="1" applyFont="1" applyFill="1" applyAlignment="1">
      <alignment horizontal="center"/>
      <protection/>
    </xf>
    <xf numFmtId="0" fontId="7" fillId="0" borderId="0" xfId="57" applyFont="1">
      <alignment/>
      <protection/>
    </xf>
    <xf numFmtId="2" fontId="5" fillId="0" borderId="19" xfId="0" applyNumberFormat="1" applyFont="1" applyBorder="1" applyAlignment="1">
      <alignment/>
    </xf>
    <xf numFmtId="172" fontId="5" fillId="0" borderId="0" xfId="0" applyFont="1" applyBorder="1" applyAlignment="1">
      <alignment/>
    </xf>
    <xf numFmtId="2" fontId="7" fillId="0" borderId="19" xfId="0" applyNumberFormat="1" applyFont="1" applyBorder="1" applyAlignment="1">
      <alignment/>
    </xf>
    <xf numFmtId="2" fontId="5" fillId="0" borderId="21" xfId="0" applyNumberFormat="1" applyFont="1" applyBorder="1" applyAlignment="1">
      <alignment/>
    </xf>
    <xf numFmtId="172" fontId="5" fillId="0" borderId="11" xfId="0" applyFont="1" applyBorder="1" applyAlignment="1">
      <alignment/>
    </xf>
    <xf numFmtId="2" fontId="10" fillId="0" borderId="11" xfId="0" applyNumberFormat="1" applyFont="1" applyBorder="1" applyAlignment="1">
      <alignment horizontal="right"/>
    </xf>
    <xf numFmtId="172" fontId="10" fillId="0" borderId="11" xfId="0" applyFont="1" applyBorder="1" applyAlignment="1">
      <alignment horizontal="center"/>
    </xf>
    <xf numFmtId="172" fontId="10" fillId="0" borderId="22" xfId="0" applyFont="1" applyBorder="1" applyAlignment="1">
      <alignment horizontal="center"/>
    </xf>
    <xf numFmtId="0" fontId="7" fillId="0" borderId="0" xfId="57" applyFont="1" applyFill="1" applyAlignment="1">
      <alignment horizontal="center"/>
      <protection/>
    </xf>
    <xf numFmtId="0" fontId="5" fillId="0" borderId="0" xfId="57" applyFont="1">
      <alignment/>
      <protection/>
    </xf>
    <xf numFmtId="9" fontId="7" fillId="0" borderId="0" xfId="57" applyNumberFormat="1" applyFont="1" applyFill="1" applyAlignment="1" quotePrefix="1">
      <alignment horizontal="center"/>
      <protection/>
    </xf>
    <xf numFmtId="9" fontId="7" fillId="0" borderId="0" xfId="57" applyNumberFormat="1" applyFont="1" applyFill="1" applyAlignment="1">
      <alignment horizontal="center"/>
      <protection/>
    </xf>
    <xf numFmtId="172" fontId="7" fillId="0" borderId="0" xfId="0" applyFont="1" applyAlignment="1">
      <alignment/>
    </xf>
    <xf numFmtId="172" fontId="9" fillId="0" borderId="0" xfId="0" applyFont="1" applyFill="1" applyAlignment="1">
      <alignment horizontal="right"/>
    </xf>
    <xf numFmtId="0" fontId="7" fillId="0" borderId="0" xfId="0" applyNumberFormat="1" applyFont="1" applyFill="1" applyAlignment="1" applyProtection="1">
      <alignment/>
      <protection locked="0"/>
    </xf>
    <xf numFmtId="172" fontId="20" fillId="0" borderId="0" xfId="0" applyFont="1" applyFill="1" applyAlignment="1">
      <alignment/>
    </xf>
    <xf numFmtId="172" fontId="5" fillId="0" borderId="11" xfId="0" applyFont="1" applyFill="1" applyBorder="1" applyAlignment="1">
      <alignment horizontal="center"/>
    </xf>
    <xf numFmtId="0" fontId="5" fillId="0" borderId="11" xfId="0" applyNumberFormat="1" applyFont="1" applyFill="1" applyBorder="1" applyAlignment="1" applyProtection="1">
      <alignment horizontal="center"/>
      <protection locked="0"/>
    </xf>
    <xf numFmtId="172" fontId="6" fillId="0" borderId="0" xfId="0" applyFont="1" applyFill="1" applyAlignment="1">
      <alignment/>
    </xf>
    <xf numFmtId="7" fontId="10" fillId="0" borderId="0" xfId="0" applyNumberFormat="1" applyFont="1" applyFill="1" applyBorder="1" applyAlignment="1">
      <alignment/>
    </xf>
    <xf numFmtId="172" fontId="23" fillId="0" borderId="0" xfId="0" applyFont="1" applyFill="1" applyAlignment="1">
      <alignment/>
    </xf>
    <xf numFmtId="172" fontId="5" fillId="0" borderId="0" xfId="0" applyFont="1" applyFill="1" applyBorder="1" applyAlignment="1">
      <alignment/>
    </xf>
    <xf numFmtId="0" fontId="5" fillId="0" borderId="0" xfId="0" applyNumberFormat="1" applyFont="1" applyFill="1" applyAlignment="1" applyProtection="1">
      <alignment horizontal="center"/>
      <protection locked="0"/>
    </xf>
    <xf numFmtId="172" fontId="7" fillId="0" borderId="0" xfId="0" applyFont="1" applyAlignment="1">
      <alignment horizontal="right"/>
    </xf>
    <xf numFmtId="172" fontId="18" fillId="0" borderId="0" xfId="0" applyFont="1" applyFill="1" applyAlignment="1">
      <alignment/>
    </xf>
    <xf numFmtId="179" fontId="18" fillId="0" borderId="0" xfId="0" applyNumberFormat="1" applyFont="1" applyAlignment="1">
      <alignment horizontal="center"/>
    </xf>
    <xf numFmtId="179" fontId="18" fillId="0" borderId="0" xfId="0" applyNumberFormat="1" applyFont="1" applyAlignment="1">
      <alignment horizontal="left"/>
    </xf>
    <xf numFmtId="172" fontId="5" fillId="0" borderId="13" xfId="0" applyFont="1" applyBorder="1" applyAlignment="1">
      <alignment/>
    </xf>
    <xf numFmtId="172" fontId="22" fillId="0" borderId="0" xfId="0" applyFont="1" applyAlignment="1">
      <alignment horizontal="left"/>
    </xf>
    <xf numFmtId="172" fontId="23" fillId="0" borderId="0" xfId="0" applyFont="1" applyAlignment="1">
      <alignment horizontal="right"/>
    </xf>
    <xf numFmtId="0" fontId="23" fillId="0" borderId="0" xfId="0" applyNumberFormat="1" applyFont="1" applyAlignment="1">
      <alignment horizontal="center"/>
    </xf>
    <xf numFmtId="172" fontId="23" fillId="0" borderId="0" xfId="0" applyFont="1" applyAlignment="1">
      <alignment textRotation="90"/>
    </xf>
    <xf numFmtId="172" fontId="18" fillId="0" borderId="0" xfId="0" applyFont="1" applyAlignment="1">
      <alignment horizontal="centerContinuous"/>
    </xf>
    <xf numFmtId="172" fontId="23" fillId="0" borderId="0" xfId="0" applyFont="1" applyAlignment="1">
      <alignment horizontal="centerContinuous"/>
    </xf>
    <xf numFmtId="172" fontId="7" fillId="0" borderId="0" xfId="0" applyFont="1" applyFill="1" applyAlignment="1">
      <alignment horizontal="center"/>
    </xf>
    <xf numFmtId="0" fontId="5" fillId="0" borderId="0" xfId="0" applyNumberFormat="1" applyFont="1" applyAlignment="1" quotePrefix="1">
      <alignment horizontal="center"/>
    </xf>
    <xf numFmtId="49" fontId="5" fillId="0" borderId="0" xfId="0" applyNumberFormat="1" applyFont="1" applyAlignment="1" quotePrefix="1">
      <alignment horizontal="center"/>
    </xf>
    <xf numFmtId="0" fontId="5" fillId="0" borderId="0" xfId="60" applyNumberFormat="1" applyFont="1" applyFill="1" applyAlignment="1">
      <alignment horizontal="left"/>
      <protection/>
    </xf>
    <xf numFmtId="41" fontId="5" fillId="0" borderId="0" xfId="0" applyNumberFormat="1" applyFont="1" applyFill="1" applyAlignment="1">
      <alignment/>
    </xf>
    <xf numFmtId="172" fontId="5" fillId="0" borderId="0" xfId="0" applyFont="1" applyFill="1" applyBorder="1" applyAlignment="1">
      <alignment/>
    </xf>
    <xf numFmtId="3" fontId="5" fillId="0" borderId="0" xfId="0" applyNumberFormat="1" applyFont="1" applyBorder="1" applyAlignment="1">
      <alignment/>
    </xf>
    <xf numFmtId="3" fontId="7" fillId="0" borderId="0" xfId="0" applyNumberFormat="1" applyFont="1" applyFill="1" applyBorder="1" applyAlignment="1">
      <alignment/>
    </xf>
    <xf numFmtId="3" fontId="7" fillId="0" borderId="10" xfId="0" applyNumberFormat="1" applyFont="1" applyBorder="1" applyAlignment="1">
      <alignment horizontal="center"/>
    </xf>
    <xf numFmtId="172" fontId="17" fillId="0" borderId="0" xfId="0" applyFont="1" applyAlignment="1">
      <alignment horizontal="left"/>
    </xf>
    <xf numFmtId="175" fontId="5" fillId="0" borderId="0" xfId="44" applyNumberFormat="1" applyFont="1" applyFill="1" applyAlignment="1">
      <alignment/>
    </xf>
    <xf numFmtId="41" fontId="5" fillId="0" borderId="0" xfId="0" applyNumberFormat="1" applyFont="1" applyFill="1" applyAlignment="1">
      <alignment/>
    </xf>
    <xf numFmtId="175" fontId="5" fillId="0" borderId="0" xfId="44" applyNumberFormat="1" applyFont="1" applyFill="1" applyAlignment="1">
      <alignment horizontal="right"/>
    </xf>
    <xf numFmtId="0" fontId="7" fillId="0" borderId="0" xfId="0" applyNumberFormat="1" applyFont="1" applyAlignment="1" applyProtection="1">
      <alignment/>
      <protection locked="0"/>
    </xf>
    <xf numFmtId="0" fontId="5" fillId="0" borderId="0" xfId="0" applyNumberFormat="1" applyFont="1" applyBorder="1" applyAlignment="1" applyProtection="1">
      <alignment horizontal="center"/>
      <protection locked="0"/>
    </xf>
    <xf numFmtId="175" fontId="5" fillId="0" borderId="0" xfId="44" applyNumberFormat="1" applyFont="1" applyAlignment="1">
      <alignment/>
    </xf>
    <xf numFmtId="175" fontId="5" fillId="0" borderId="0" xfId="44" applyNumberFormat="1" applyFont="1" applyFill="1" applyAlignment="1">
      <alignment/>
    </xf>
    <xf numFmtId="41" fontId="5" fillId="0" borderId="0" xfId="0" applyNumberFormat="1" applyFont="1" applyFill="1" applyBorder="1" applyAlignment="1">
      <alignment/>
    </xf>
    <xf numFmtId="175" fontId="7" fillId="0" borderId="0" xfId="44" applyNumberFormat="1" applyFont="1" applyFill="1" applyBorder="1" applyAlignment="1" applyProtection="1">
      <alignment/>
      <protection/>
    </xf>
    <xf numFmtId="172" fontId="5" fillId="0" borderId="23" xfId="0" applyFont="1" applyBorder="1" applyAlignment="1">
      <alignment/>
    </xf>
    <xf numFmtId="172" fontId="7" fillId="0" borderId="23" xfId="0" applyFont="1" applyBorder="1" applyAlignment="1">
      <alignment/>
    </xf>
    <xf numFmtId="42" fontId="7" fillId="0" borderId="24" xfId="0" applyNumberFormat="1" applyFont="1" applyFill="1" applyBorder="1" applyAlignment="1" applyProtection="1">
      <alignment horizontal="right"/>
      <protection locked="0"/>
    </xf>
    <xf numFmtId="172" fontId="20" fillId="0" borderId="0" xfId="0" applyFont="1" applyFill="1" applyAlignment="1">
      <alignment/>
    </xf>
    <xf numFmtId="0" fontId="5" fillId="0" borderId="0" xfId="0" applyNumberFormat="1" applyFont="1" applyFill="1" applyAlignment="1">
      <alignment horizontal="left"/>
    </xf>
    <xf numFmtId="3" fontId="7" fillId="0" borderId="0" xfId="0" applyNumberFormat="1" applyFont="1" applyFill="1" applyAlignment="1">
      <alignment horizontal="center"/>
    </xf>
    <xf numFmtId="172" fontId="0" fillId="0" borderId="0" xfId="0" applyAlignment="1" quotePrefix="1">
      <alignment/>
    </xf>
    <xf numFmtId="172" fontId="40" fillId="0" borderId="0" xfId="0" applyFont="1" applyAlignment="1">
      <alignment/>
    </xf>
    <xf numFmtId="173" fontId="5" fillId="0" borderId="11" xfId="42" applyNumberFormat="1" applyFont="1" applyFill="1" applyBorder="1" applyAlignment="1">
      <alignment/>
    </xf>
    <xf numFmtId="173" fontId="5" fillId="0" borderId="0" xfId="42" applyNumberFormat="1" applyFont="1" applyFill="1" applyAlignment="1">
      <alignment/>
    </xf>
    <xf numFmtId="172" fontId="0" fillId="0" borderId="0" xfId="0" applyFont="1" applyAlignment="1">
      <alignment/>
    </xf>
    <xf numFmtId="172" fontId="0" fillId="0" borderId="0" xfId="0" applyFill="1" applyAlignment="1">
      <alignment/>
    </xf>
    <xf numFmtId="172" fontId="40" fillId="0" borderId="0" xfId="0" applyFont="1" applyBorder="1" applyAlignment="1">
      <alignment horizontal="center"/>
    </xf>
    <xf numFmtId="43" fontId="5" fillId="0" borderId="0" xfId="42" applyFont="1" applyFill="1" applyAlignment="1">
      <alignment/>
    </xf>
    <xf numFmtId="172" fontId="34" fillId="0" borderId="0" xfId="0" applyFont="1" applyAlignment="1">
      <alignment/>
    </xf>
    <xf numFmtId="172" fontId="23" fillId="0" borderId="0" xfId="0" applyFont="1" applyAlignment="1">
      <alignment/>
    </xf>
    <xf numFmtId="172" fontId="8" fillId="0" borderId="0" xfId="0" applyFont="1" applyAlignment="1">
      <alignment/>
    </xf>
    <xf numFmtId="172" fontId="10" fillId="0" borderId="11" xfId="0" applyFont="1" applyBorder="1" applyAlignment="1">
      <alignment/>
    </xf>
    <xf numFmtId="170" fontId="10" fillId="0" borderId="0" xfId="0" applyNumberFormat="1" applyFont="1" applyAlignment="1">
      <alignment/>
    </xf>
    <xf numFmtId="0" fontId="10" fillId="0" borderId="0" xfId="0" applyNumberFormat="1" applyFont="1" applyAlignment="1">
      <alignment horizontal="center"/>
    </xf>
    <xf numFmtId="175" fontId="10" fillId="0" borderId="0" xfId="44" applyNumberFormat="1" applyFont="1" applyAlignment="1">
      <alignment/>
    </xf>
    <xf numFmtId="175" fontId="10" fillId="0" borderId="0" xfId="44" applyNumberFormat="1" applyFont="1" applyFill="1" applyAlignment="1">
      <alignment/>
    </xf>
    <xf numFmtId="170" fontId="4" fillId="0" borderId="0" xfId="0" applyNumberFormat="1" applyFont="1" applyAlignment="1">
      <alignment/>
    </xf>
    <xf numFmtId="41" fontId="10" fillId="0" borderId="0" xfId="0" applyNumberFormat="1" applyFont="1" applyAlignment="1">
      <alignment/>
    </xf>
    <xf numFmtId="41" fontId="10" fillId="0" borderId="0" xfId="0" applyNumberFormat="1" applyFont="1" applyFill="1" applyAlignment="1">
      <alignment/>
    </xf>
    <xf numFmtId="175" fontId="10" fillId="0" borderId="24" xfId="44" applyNumberFormat="1" applyFont="1" applyBorder="1" applyAlignment="1">
      <alignment/>
    </xf>
    <xf numFmtId="175" fontId="10" fillId="0" borderId="24" xfId="44" applyNumberFormat="1" applyFont="1" applyFill="1" applyBorder="1" applyAlignment="1">
      <alignment/>
    </xf>
    <xf numFmtId="170" fontId="10" fillId="0" borderId="0" xfId="0" applyNumberFormat="1" applyFont="1" applyFill="1" applyAlignment="1">
      <alignment/>
    </xf>
    <xf numFmtId="0" fontId="10" fillId="0" borderId="0" xfId="0" applyNumberFormat="1" applyFont="1" applyFill="1" applyAlignment="1">
      <alignment horizontal="center"/>
    </xf>
    <xf numFmtId="170" fontId="4" fillId="0" borderId="0" xfId="0" applyNumberFormat="1" applyFont="1" applyFill="1" applyAlignment="1">
      <alignment/>
    </xf>
    <xf numFmtId="170" fontId="1" fillId="0" borderId="0" xfId="0" applyNumberFormat="1" applyFont="1" applyAlignment="1">
      <alignment/>
    </xf>
    <xf numFmtId="170" fontId="10" fillId="0" borderId="11" xfId="0" applyNumberFormat="1" applyFont="1" applyBorder="1" applyAlignment="1">
      <alignment horizontal="centerContinuous"/>
    </xf>
    <xf numFmtId="170" fontId="10" fillId="0" borderId="11" xfId="0" applyNumberFormat="1" applyFont="1" applyFill="1" applyBorder="1" applyAlignment="1">
      <alignment horizontal="centerContinuous"/>
    </xf>
    <xf numFmtId="170" fontId="11" fillId="0" borderId="0" xfId="0" applyNumberFormat="1" applyFont="1" applyFill="1" applyAlignment="1">
      <alignment horizontal="right"/>
    </xf>
    <xf numFmtId="181" fontId="5" fillId="0" borderId="11" xfId="0" applyNumberFormat="1" applyFont="1" applyFill="1" applyBorder="1" applyAlignment="1">
      <alignment/>
    </xf>
    <xf numFmtId="177" fontId="5" fillId="0" borderId="0" xfId="0" applyNumberFormat="1" applyFont="1" applyFill="1" applyAlignment="1" applyProtection="1">
      <alignment/>
      <protection locked="0"/>
    </xf>
    <xf numFmtId="43" fontId="5" fillId="0" borderId="0" xfId="0" applyNumberFormat="1" applyFont="1" applyFill="1" applyAlignment="1">
      <alignment/>
    </xf>
    <xf numFmtId="177" fontId="5" fillId="0" borderId="0" xfId="0" applyNumberFormat="1" applyFont="1" applyFill="1" applyAlignment="1">
      <alignment/>
    </xf>
    <xf numFmtId="3" fontId="7" fillId="0" borderId="0" xfId="0" applyNumberFormat="1" applyFont="1" applyFill="1" applyBorder="1" applyAlignment="1">
      <alignment/>
    </xf>
    <xf numFmtId="175" fontId="5" fillId="0" borderId="25" xfId="44" applyNumberFormat="1" applyFont="1" applyFill="1" applyBorder="1" applyAlignment="1">
      <alignment/>
    </xf>
    <xf numFmtId="41" fontId="5" fillId="0" borderId="13" xfId="0" applyNumberFormat="1" applyFont="1" applyFill="1" applyBorder="1" applyAlignment="1">
      <alignment/>
    </xf>
    <xf numFmtId="0" fontId="41" fillId="0" borderId="0" xfId="57" applyFont="1" applyAlignment="1">
      <alignment horizontal="center" wrapText="1"/>
      <protection/>
    </xf>
    <xf numFmtId="0" fontId="1" fillId="0" borderId="0" xfId="57" applyFont="1">
      <alignment/>
      <protection/>
    </xf>
    <xf numFmtId="0" fontId="10" fillId="0" borderId="0" xfId="57" applyFont="1">
      <alignment/>
      <protection/>
    </xf>
    <xf numFmtId="0" fontId="7" fillId="0" borderId="0" xfId="57" applyNumberFormat="1" applyFont="1" applyFill="1" applyAlignment="1">
      <alignment horizontal="center"/>
      <protection/>
    </xf>
    <xf numFmtId="41" fontId="7" fillId="0" borderId="0" xfId="57" applyNumberFormat="1" applyFont="1" applyFill="1" applyAlignment="1">
      <alignment horizontal="center"/>
      <protection/>
    </xf>
    <xf numFmtId="41" fontId="7" fillId="0" borderId="0" xfId="57" applyNumberFormat="1" applyFont="1" applyAlignment="1">
      <alignment horizontal="center"/>
      <protection/>
    </xf>
    <xf numFmtId="41" fontId="5" fillId="0" borderId="0" xfId="57" applyNumberFormat="1" applyFont="1">
      <alignment/>
      <protection/>
    </xf>
    <xf numFmtId="41" fontId="5" fillId="0" borderId="0" xfId="57" applyNumberFormat="1" applyFont="1" applyFill="1" applyAlignment="1">
      <alignment vertical="center"/>
      <protection/>
    </xf>
    <xf numFmtId="0" fontId="17" fillId="0" borderId="0" xfId="57" applyFont="1" applyAlignment="1">
      <alignment horizontal="left" vertical="center"/>
      <protection/>
    </xf>
    <xf numFmtId="172" fontId="22" fillId="0" borderId="0" xfId="0" applyFont="1" applyAlignment="1">
      <alignment horizontal="center"/>
    </xf>
    <xf numFmtId="172" fontId="8" fillId="0" borderId="0" xfId="0" applyFont="1" applyFill="1" applyAlignment="1">
      <alignment horizontal="center"/>
    </xf>
    <xf numFmtId="172" fontId="5" fillId="0" borderId="0" xfId="0" applyFont="1" applyAlignment="1">
      <alignment vertical="top" wrapText="1"/>
    </xf>
    <xf numFmtId="172" fontId="29" fillId="0" borderId="0" xfId="0" applyFont="1" applyAlignment="1">
      <alignment/>
    </xf>
    <xf numFmtId="167" fontId="5" fillId="0" borderId="0" xfId="0" applyNumberFormat="1" applyFont="1" applyFill="1" applyAlignment="1">
      <alignment/>
    </xf>
    <xf numFmtId="175" fontId="7" fillId="0" borderId="26" xfId="44" applyNumberFormat="1" applyFont="1" applyFill="1" applyBorder="1" applyAlignment="1">
      <alignment/>
    </xf>
    <xf numFmtId="172" fontId="4" fillId="0" borderId="0" xfId="0" applyFont="1" applyFill="1" applyAlignment="1">
      <alignment/>
    </xf>
    <xf numFmtId="175" fontId="4" fillId="0" borderId="0" xfId="44" applyNumberFormat="1" applyFont="1" applyFill="1" applyAlignment="1">
      <alignment/>
    </xf>
    <xf numFmtId="175" fontId="4" fillId="0" borderId="0" xfId="44" applyNumberFormat="1" applyFont="1" applyFill="1" applyBorder="1" applyAlignment="1">
      <alignment/>
    </xf>
    <xf numFmtId="41" fontId="10" fillId="0" borderId="12" xfId="0" applyNumberFormat="1" applyFont="1" applyBorder="1" applyAlignment="1">
      <alignment/>
    </xf>
    <xf numFmtId="184" fontId="10" fillId="0" borderId="12" xfId="0" applyNumberFormat="1" applyFont="1" applyBorder="1" applyAlignment="1">
      <alignment/>
    </xf>
    <xf numFmtId="172" fontId="17" fillId="0" borderId="0" xfId="0" applyFont="1" applyFill="1" applyBorder="1" applyAlignment="1">
      <alignment horizontal="left"/>
    </xf>
    <xf numFmtId="172" fontId="36" fillId="0" borderId="0" xfId="0" applyFont="1" applyFill="1" applyBorder="1" applyAlignment="1">
      <alignment/>
    </xf>
    <xf numFmtId="172" fontId="5" fillId="0" borderId="0" xfId="0" applyFont="1" applyFill="1" applyBorder="1" applyAlignment="1">
      <alignment horizontal="right"/>
    </xf>
    <xf numFmtId="172" fontId="18" fillId="0" borderId="0" xfId="0" applyFont="1" applyFill="1" applyBorder="1" applyAlignment="1">
      <alignment horizontal="left"/>
    </xf>
    <xf numFmtId="172" fontId="36" fillId="0" borderId="0" xfId="0" applyFont="1" applyFill="1" applyBorder="1" applyAlignment="1">
      <alignment horizontal="left"/>
    </xf>
    <xf numFmtId="172" fontId="9" fillId="0" borderId="0" xfId="0" applyFont="1" applyFill="1" applyBorder="1" applyAlignment="1">
      <alignment/>
    </xf>
    <xf numFmtId="172" fontId="17" fillId="0" borderId="0" xfId="0" applyFont="1" applyFill="1" applyBorder="1" applyAlignment="1">
      <alignment/>
    </xf>
    <xf numFmtId="172" fontId="2" fillId="0" borderId="0" xfId="0" applyFont="1" applyFill="1" applyBorder="1" applyAlignment="1">
      <alignment/>
    </xf>
    <xf numFmtId="172" fontId="10" fillId="0" borderId="0" xfId="0" applyFont="1" applyFill="1" applyBorder="1" applyAlignment="1" quotePrefix="1">
      <alignment horizontal="center"/>
    </xf>
    <xf numFmtId="172" fontId="22" fillId="0" borderId="16" xfId="0" applyFont="1" applyFill="1" applyBorder="1" applyAlignment="1">
      <alignment horizontal="left"/>
    </xf>
    <xf numFmtId="172" fontId="37" fillId="0" borderId="17" xfId="0" applyFont="1" applyFill="1" applyBorder="1" applyAlignment="1">
      <alignment horizontal="left"/>
    </xf>
    <xf numFmtId="172" fontId="23" fillId="0" borderId="27" xfId="0" applyFont="1" applyFill="1" applyBorder="1" applyAlignment="1">
      <alignment horizontal="center"/>
    </xf>
    <xf numFmtId="172" fontId="37" fillId="0" borderId="17" xfId="0" applyFont="1" applyFill="1" applyBorder="1" applyAlignment="1">
      <alignment horizontal="center"/>
    </xf>
    <xf numFmtId="172" fontId="23" fillId="0" borderId="0" xfId="0" applyFont="1" applyFill="1" applyBorder="1" applyAlignment="1">
      <alignment horizontal="right"/>
    </xf>
    <xf numFmtId="172" fontId="7" fillId="0" borderId="12" xfId="0" applyFont="1" applyFill="1" applyBorder="1" applyAlignment="1">
      <alignment horizontal="center"/>
    </xf>
    <xf numFmtId="172" fontId="7" fillId="0" borderId="20" xfId="0" applyFont="1" applyFill="1" applyBorder="1" applyAlignment="1">
      <alignment horizontal="center"/>
    </xf>
    <xf numFmtId="172" fontId="7" fillId="0" borderId="0" xfId="0" applyFont="1" applyFill="1" applyBorder="1" applyAlignment="1">
      <alignment/>
    </xf>
    <xf numFmtId="172" fontId="7" fillId="0" borderId="19" xfId="0" applyFont="1" applyFill="1" applyBorder="1" applyAlignment="1">
      <alignment/>
    </xf>
    <xf numFmtId="172" fontId="7" fillId="0" borderId="0" xfId="0" applyFont="1" applyFill="1" applyBorder="1" applyAlignment="1">
      <alignment horizontal="right"/>
    </xf>
    <xf numFmtId="172" fontId="7" fillId="0" borderId="13" xfId="0" applyFont="1" applyFill="1" applyBorder="1" applyAlignment="1">
      <alignment horizontal="center"/>
    </xf>
    <xf numFmtId="172" fontId="7" fillId="0" borderId="0" xfId="0" applyFont="1" applyFill="1" applyBorder="1" applyAlignment="1">
      <alignment horizontal="center"/>
    </xf>
    <xf numFmtId="172" fontId="7" fillId="0" borderId="19" xfId="0" applyFont="1" applyFill="1" applyBorder="1" applyAlignment="1">
      <alignment horizontal="center"/>
    </xf>
    <xf numFmtId="172" fontId="7" fillId="0" borderId="22" xfId="0" applyFont="1" applyFill="1" applyBorder="1" applyAlignment="1">
      <alignment horizontal="center"/>
    </xf>
    <xf numFmtId="172" fontId="7" fillId="0" borderId="21" xfId="0" applyFont="1" applyFill="1" applyBorder="1" applyAlignment="1">
      <alignment/>
    </xf>
    <xf numFmtId="172" fontId="7" fillId="0" borderId="11" xfId="0" applyFont="1" applyFill="1" applyBorder="1" applyAlignment="1">
      <alignment horizontal="right"/>
    </xf>
    <xf numFmtId="172" fontId="7" fillId="0" borderId="14" xfId="0" applyFont="1" applyFill="1" applyBorder="1" applyAlignment="1">
      <alignment horizontal="center"/>
    </xf>
    <xf numFmtId="172" fontId="7" fillId="0" borderId="21" xfId="0" applyFont="1" applyFill="1" applyBorder="1" applyAlignment="1">
      <alignment horizontal="center"/>
    </xf>
    <xf numFmtId="9" fontId="1" fillId="0" borderId="12" xfId="0" applyNumberFormat="1" applyFont="1" applyFill="1" applyBorder="1" applyAlignment="1">
      <alignment horizontal="center"/>
    </xf>
    <xf numFmtId="172" fontId="1" fillId="0" borderId="12" xfId="0" applyFont="1" applyFill="1" applyBorder="1" applyAlignment="1" quotePrefix="1">
      <alignment horizontal="center"/>
    </xf>
    <xf numFmtId="172" fontId="1" fillId="0" borderId="28" xfId="0" applyFont="1" applyFill="1" applyBorder="1" applyAlignment="1">
      <alignment horizontal="center"/>
    </xf>
    <xf numFmtId="172" fontId="11" fillId="0" borderId="19" xfId="0" applyFont="1" applyFill="1" applyBorder="1" applyAlignment="1">
      <alignment/>
    </xf>
    <xf numFmtId="172" fontId="10" fillId="0" borderId="19" xfId="0" applyFont="1" applyFill="1" applyBorder="1" applyAlignment="1">
      <alignment/>
    </xf>
    <xf numFmtId="172" fontId="10" fillId="0" borderId="21" xfId="0" applyFont="1" applyFill="1" applyBorder="1" applyAlignment="1">
      <alignment/>
    </xf>
    <xf numFmtId="175" fontId="20" fillId="0" borderId="0" xfId="44" applyNumberFormat="1" applyFont="1" applyAlignment="1">
      <alignment/>
    </xf>
    <xf numFmtId="41" fontId="5" fillId="0" borderId="0" xfId="42" applyNumberFormat="1" applyFont="1" applyAlignment="1">
      <alignment/>
    </xf>
    <xf numFmtId="175" fontId="5" fillId="0" borderId="26" xfId="44" applyNumberFormat="1" applyFont="1" applyBorder="1" applyAlignment="1">
      <alignment/>
    </xf>
    <xf numFmtId="0" fontId="1" fillId="0" borderId="0" xfId="58" applyFont="1" applyFill="1" applyAlignment="1">
      <alignment horizontal="left"/>
      <protection/>
    </xf>
    <xf numFmtId="0" fontId="10" fillId="0" borderId="0" xfId="58" applyFont="1" applyFill="1" applyAlignment="1">
      <alignment horizontal="center"/>
      <protection/>
    </xf>
    <xf numFmtId="0" fontId="10" fillId="0" borderId="0" xfId="58" applyFont="1" applyFill="1">
      <alignment/>
      <protection/>
    </xf>
    <xf numFmtId="0" fontId="10" fillId="0" borderId="0" xfId="58" applyFont="1" applyFill="1" applyAlignment="1">
      <alignment horizontal="left"/>
      <protection/>
    </xf>
    <xf numFmtId="16" fontId="10" fillId="0" borderId="0" xfId="58" applyNumberFormat="1" applyFont="1" applyFill="1" applyAlignment="1">
      <alignment horizontal="center"/>
      <protection/>
    </xf>
    <xf numFmtId="0" fontId="10" fillId="0" borderId="0" xfId="58" applyFont="1" applyFill="1" applyAlignment="1">
      <alignment horizontal="left" wrapText="1"/>
      <protection/>
    </xf>
    <xf numFmtId="0" fontId="10" fillId="0" borderId="0" xfId="58" applyFont="1" applyFill="1" applyAlignment="1">
      <alignment/>
      <protection/>
    </xf>
    <xf numFmtId="173" fontId="10" fillId="0" borderId="0" xfId="42" applyNumberFormat="1" applyFont="1" applyFill="1" applyAlignment="1">
      <alignment/>
    </xf>
    <xf numFmtId="173" fontId="10" fillId="0" borderId="0" xfId="58" applyNumberFormat="1" applyFont="1" applyFill="1">
      <alignment/>
      <protection/>
    </xf>
    <xf numFmtId="175" fontId="10" fillId="0" borderId="0" xfId="58" applyNumberFormat="1" applyFont="1" applyFill="1">
      <alignment/>
      <protection/>
    </xf>
    <xf numFmtId="0" fontId="10" fillId="0" borderId="0" xfId="58" applyFont="1" applyFill="1" applyBorder="1" applyAlignment="1">
      <alignment horizontal="center"/>
      <protection/>
    </xf>
    <xf numFmtId="0" fontId="10" fillId="0" borderId="0" xfId="58" applyFont="1" applyFill="1" applyBorder="1">
      <alignment/>
      <protection/>
    </xf>
    <xf numFmtId="175" fontId="10" fillId="0" borderId="0" xfId="44" applyNumberFormat="1" applyFont="1" applyFill="1" applyAlignment="1">
      <alignment horizontal="left"/>
    </xf>
    <xf numFmtId="0" fontId="10" fillId="0" borderId="0" xfId="58" applyFont="1" applyFill="1" applyAlignment="1">
      <alignment wrapText="1"/>
      <protection/>
    </xf>
    <xf numFmtId="173" fontId="10" fillId="0" borderId="0" xfId="42" applyNumberFormat="1" applyFont="1" applyFill="1" applyBorder="1" applyAlignment="1">
      <alignment wrapText="1"/>
    </xf>
    <xf numFmtId="0" fontId="10" fillId="0" borderId="0" xfId="58" applyNumberFormat="1" applyFont="1" applyFill="1" applyAlignment="1">
      <alignment horizontal="left"/>
      <protection/>
    </xf>
    <xf numFmtId="0" fontId="35" fillId="0" borderId="0" xfId="58" applyFont="1" applyFill="1" applyAlignment="1">
      <alignment horizontal="center"/>
      <protection/>
    </xf>
    <xf numFmtId="0" fontId="35" fillId="0" borderId="0" xfId="58" applyFont="1" applyFill="1">
      <alignment/>
      <protection/>
    </xf>
    <xf numFmtId="42" fontId="10" fillId="0" borderId="0" xfId="58" applyNumberFormat="1" applyFont="1" applyFill="1">
      <alignment/>
      <protection/>
    </xf>
    <xf numFmtId="175" fontId="10" fillId="0" borderId="0" xfId="58" applyNumberFormat="1" applyFont="1" applyFill="1" applyBorder="1" applyAlignment="1">
      <alignment/>
      <protection/>
    </xf>
    <xf numFmtId="0" fontId="7" fillId="0" borderId="0" xfId="57" applyFont="1" applyFill="1" applyAlignment="1">
      <alignment horizontal="left"/>
      <protection/>
    </xf>
    <xf numFmtId="49" fontId="7" fillId="0" borderId="0" xfId="0" applyNumberFormat="1" applyFont="1" applyBorder="1" applyAlignment="1">
      <alignment horizontal="center"/>
    </xf>
    <xf numFmtId="175" fontId="5" fillId="18" borderId="0" xfId="44" applyNumberFormat="1" applyFont="1" applyFill="1" applyBorder="1" applyAlignment="1">
      <alignment/>
    </xf>
    <xf numFmtId="175" fontId="5" fillId="0" borderId="0" xfId="44" applyNumberFormat="1" applyFont="1" applyBorder="1" applyAlignment="1">
      <alignment/>
    </xf>
    <xf numFmtId="41" fontId="5" fillId="18" borderId="0" xfId="0" applyNumberFormat="1" applyFont="1" applyFill="1" applyBorder="1" applyAlignment="1">
      <alignment/>
    </xf>
    <xf numFmtId="41" fontId="5" fillId="0" borderId="0" xfId="0" applyNumberFormat="1" applyFont="1" applyBorder="1" applyAlignment="1">
      <alignment/>
    </xf>
    <xf numFmtId="175" fontId="18" fillId="0" borderId="20" xfId="44" applyNumberFormat="1" applyFont="1" applyBorder="1" applyAlignment="1">
      <alignment/>
    </xf>
    <xf numFmtId="180" fontId="5" fillId="0" borderId="11" xfId="0" applyNumberFormat="1" applyFont="1" applyBorder="1" applyAlignment="1">
      <alignment/>
    </xf>
    <xf numFmtId="180" fontId="5" fillId="0" borderId="0" xfId="0" applyNumberFormat="1" applyFont="1" applyAlignment="1">
      <alignment/>
    </xf>
    <xf numFmtId="180" fontId="5" fillId="0" borderId="17" xfId="0" applyNumberFormat="1" applyFont="1" applyBorder="1" applyAlignment="1">
      <alignment/>
    </xf>
    <xf numFmtId="180" fontId="5" fillId="0" borderId="0" xfId="0" applyNumberFormat="1" applyFont="1" applyBorder="1" applyAlignment="1">
      <alignment/>
    </xf>
    <xf numFmtId="2" fontId="5" fillId="0" borderId="0" xfId="0" applyNumberFormat="1" applyFont="1" applyBorder="1" applyAlignment="1">
      <alignment/>
    </xf>
    <xf numFmtId="172" fontId="7" fillId="0" borderId="0" xfId="0" applyFont="1" applyBorder="1" applyAlignment="1">
      <alignment horizontal="right"/>
    </xf>
    <xf numFmtId="172" fontId="7" fillId="0" borderId="18" xfId="0" applyFont="1" applyBorder="1" applyAlignment="1">
      <alignment horizontal="right"/>
    </xf>
    <xf numFmtId="164" fontId="5" fillId="18" borderId="0" xfId="63" applyNumberFormat="1" applyFont="1" applyFill="1" applyAlignment="1" quotePrefix="1">
      <alignment horizontal="center"/>
    </xf>
    <xf numFmtId="172" fontId="5" fillId="0" borderId="22" xfId="0" applyFont="1" applyFill="1" applyBorder="1" applyAlignment="1">
      <alignment/>
    </xf>
    <xf numFmtId="175" fontId="7" fillId="0" borderId="0" xfId="44" applyNumberFormat="1" applyFont="1" applyBorder="1" applyAlignment="1">
      <alignment/>
    </xf>
    <xf numFmtId="175" fontId="7" fillId="0" borderId="20" xfId="44" applyNumberFormat="1" applyFont="1" applyBorder="1" applyAlignment="1">
      <alignment/>
    </xf>
    <xf numFmtId="4" fontId="7" fillId="0" borderId="0" xfId="0" applyNumberFormat="1" applyFont="1" applyBorder="1" applyAlignment="1">
      <alignment horizontal="left"/>
    </xf>
    <xf numFmtId="41" fontId="5" fillId="18" borderId="20" xfId="0" applyNumberFormat="1" applyFont="1" applyFill="1" applyBorder="1" applyAlignment="1">
      <alignment/>
    </xf>
    <xf numFmtId="175" fontId="5" fillId="0" borderId="17" xfId="44" applyNumberFormat="1" applyFont="1" applyBorder="1" applyAlignment="1">
      <alignment/>
    </xf>
    <xf numFmtId="175" fontId="5" fillId="0" borderId="18" xfId="44" applyNumberFormat="1" applyFont="1" applyBorder="1" applyAlignment="1">
      <alignment/>
    </xf>
    <xf numFmtId="3" fontId="5" fillId="0" borderId="20" xfId="0" applyNumberFormat="1" applyFont="1" applyBorder="1" applyAlignment="1">
      <alignment/>
    </xf>
    <xf numFmtId="175" fontId="5" fillId="18" borderId="11" xfId="44" applyNumberFormat="1" applyFont="1" applyFill="1" applyBorder="1" applyAlignment="1">
      <alignment/>
    </xf>
    <xf numFmtId="175" fontId="5" fillId="18" borderId="22" xfId="44" applyNumberFormat="1" applyFont="1" applyFill="1" applyBorder="1" applyAlignment="1">
      <alignment/>
    </xf>
    <xf numFmtId="175" fontId="7" fillId="0" borderId="0" xfId="44" applyNumberFormat="1" applyFont="1" applyBorder="1" applyAlignment="1">
      <alignment/>
    </xf>
    <xf numFmtId="175" fontId="7" fillId="0" borderId="20" xfId="44" applyNumberFormat="1" applyFont="1" applyBorder="1" applyAlignment="1">
      <alignment/>
    </xf>
    <xf numFmtId="175" fontId="5" fillId="0" borderId="0" xfId="44" applyNumberFormat="1" applyFont="1" applyFill="1" applyBorder="1" applyAlignment="1">
      <alignment/>
    </xf>
    <xf numFmtId="172" fontId="40" fillId="0" borderId="10" xfId="0" applyFont="1" applyBorder="1" applyAlignment="1">
      <alignment/>
    </xf>
    <xf numFmtId="172" fontId="16" fillId="0" borderId="0" xfId="0" applyFont="1" applyAlignment="1">
      <alignment/>
    </xf>
    <xf numFmtId="172" fontId="42" fillId="0" borderId="0" xfId="53" applyNumberFormat="1" applyFont="1" applyAlignment="1" applyProtection="1">
      <alignment/>
      <protection/>
    </xf>
    <xf numFmtId="172" fontId="0" fillId="0" borderId="0" xfId="0" applyFont="1" applyAlignment="1">
      <alignment/>
    </xf>
    <xf numFmtId="172" fontId="5" fillId="0" borderId="0" xfId="0" applyFont="1" applyFill="1" applyAlignment="1">
      <alignment horizontal="left"/>
    </xf>
    <xf numFmtId="172" fontId="5" fillId="0" borderId="0" xfId="0" applyFont="1" applyFill="1" applyAlignment="1">
      <alignment horizontal="center"/>
    </xf>
    <xf numFmtId="172" fontId="38" fillId="0" borderId="11" xfId="0" applyFont="1" applyBorder="1" applyAlignment="1">
      <alignment horizontal="center"/>
    </xf>
    <xf numFmtId="172" fontId="40" fillId="0" borderId="0" xfId="0" applyFont="1" applyFill="1" applyAlignment="1">
      <alignment horizontal="center"/>
    </xf>
    <xf numFmtId="0" fontId="5" fillId="0" borderId="0" xfId="0" applyNumberFormat="1" applyFont="1" applyFill="1" applyAlignment="1" applyProtection="1" quotePrefix="1">
      <alignment/>
      <protection locked="0"/>
    </xf>
    <xf numFmtId="44" fontId="4" fillId="18" borderId="0" xfId="44" applyFont="1" applyFill="1" applyAlignment="1">
      <alignment/>
    </xf>
    <xf numFmtId="172" fontId="4" fillId="0" borderId="0" xfId="0" applyFont="1" applyAlignment="1">
      <alignment/>
    </xf>
    <xf numFmtId="0" fontId="4" fillId="0" borderId="0" xfId="0" applyNumberFormat="1" applyFont="1" applyAlignment="1">
      <alignment/>
    </xf>
    <xf numFmtId="173" fontId="4" fillId="0" borderId="0" xfId="42" applyNumberFormat="1" applyFont="1" applyAlignment="1">
      <alignment/>
    </xf>
    <xf numFmtId="172" fontId="43" fillId="0" borderId="16" xfId="0" applyFont="1" applyBorder="1" applyAlignment="1">
      <alignment/>
    </xf>
    <xf numFmtId="172" fontId="4" fillId="0" borderId="19" xfId="0" applyFont="1" applyBorder="1" applyAlignment="1">
      <alignment/>
    </xf>
    <xf numFmtId="172" fontId="4" fillId="0" borderId="0" xfId="0" applyFont="1" applyBorder="1" applyAlignment="1">
      <alignment/>
    </xf>
    <xf numFmtId="10" fontId="4" fillId="0" borderId="0" xfId="63" applyNumberFormat="1" applyFont="1" applyBorder="1" applyAlignment="1">
      <alignment/>
    </xf>
    <xf numFmtId="173" fontId="4" fillId="0" borderId="21" xfId="42" applyNumberFormat="1" applyFont="1" applyBorder="1" applyAlignment="1">
      <alignment/>
    </xf>
    <xf numFmtId="173" fontId="4" fillId="0" borderId="11" xfId="42" applyNumberFormat="1" applyFont="1" applyBorder="1" applyAlignment="1">
      <alignment/>
    </xf>
    <xf numFmtId="173" fontId="4" fillId="18" borderId="0" xfId="42" applyNumberFormat="1" applyFont="1" applyFill="1" applyBorder="1" applyAlignment="1">
      <alignment/>
    </xf>
    <xf numFmtId="10" fontId="4" fillId="18" borderId="0" xfId="63" applyNumberFormat="1" applyFont="1" applyFill="1" applyBorder="1" applyAlignment="1">
      <alignment/>
    </xf>
    <xf numFmtId="0" fontId="4" fillId="18" borderId="0" xfId="0" applyNumberFormat="1" applyFont="1" applyFill="1" applyAlignment="1">
      <alignment/>
    </xf>
    <xf numFmtId="172" fontId="4" fillId="0" borderId="21" xfId="0" applyFont="1" applyBorder="1" applyAlignment="1">
      <alignment horizontal="center"/>
    </xf>
    <xf numFmtId="172" fontId="4" fillId="0" borderId="11" xfId="0" applyFont="1" applyBorder="1" applyAlignment="1">
      <alignment horizontal="center"/>
    </xf>
    <xf numFmtId="172" fontId="4" fillId="0" borderId="19" xfId="0" applyFont="1" applyBorder="1" applyAlignment="1">
      <alignment horizontal="center"/>
    </xf>
    <xf numFmtId="172" fontId="4" fillId="0" borderId="0" xfId="0" applyFont="1" applyBorder="1" applyAlignment="1">
      <alignment horizontal="center"/>
    </xf>
    <xf numFmtId="175" fontId="4" fillId="0" borderId="0" xfId="44" applyNumberFormat="1" applyFont="1" applyBorder="1" applyAlignment="1">
      <alignment/>
    </xf>
    <xf numFmtId="175" fontId="4" fillId="18" borderId="0" xfId="44" applyNumberFormat="1" applyFont="1" applyFill="1" applyBorder="1" applyAlignment="1">
      <alignment/>
    </xf>
    <xf numFmtId="0" fontId="4" fillId="18" borderId="0" xfId="63" applyNumberFormat="1" applyFont="1" applyFill="1" applyBorder="1" applyAlignment="1">
      <alignment/>
    </xf>
    <xf numFmtId="172" fontId="4" fillId="0" borderId="19" xfId="0" applyFont="1" applyFill="1" applyBorder="1" applyAlignment="1">
      <alignment/>
    </xf>
    <xf numFmtId="172" fontId="4" fillId="0" borderId="0" xfId="0" applyFont="1" applyFill="1" applyBorder="1" applyAlignment="1">
      <alignment/>
    </xf>
    <xf numFmtId="172" fontId="4" fillId="18" borderId="17" xfId="0" applyFont="1" applyFill="1" applyBorder="1" applyAlignment="1">
      <alignment/>
    </xf>
    <xf numFmtId="44" fontId="4" fillId="0" borderId="21" xfId="44" applyFont="1" applyBorder="1" applyAlignment="1">
      <alignment horizontal="right"/>
    </xf>
    <xf numFmtId="175" fontId="4" fillId="0" borderId="19" xfId="44" applyNumberFormat="1" applyFont="1" applyBorder="1" applyAlignment="1">
      <alignment horizontal="right"/>
    </xf>
    <xf numFmtId="175" fontId="4" fillId="0" borderId="11" xfId="44" applyNumberFormat="1" applyFont="1" applyBorder="1" applyAlignment="1">
      <alignment/>
    </xf>
    <xf numFmtId="0" fontId="4" fillId="0" borderId="0" xfId="0" applyNumberFormat="1" applyFont="1" applyFill="1" applyAlignment="1">
      <alignment/>
    </xf>
    <xf numFmtId="170" fontId="4" fillId="0" borderId="0" xfId="0" applyNumberFormat="1" applyFont="1" applyAlignment="1">
      <alignment/>
    </xf>
    <xf numFmtId="172" fontId="38" fillId="0" borderId="22" xfId="0" applyFont="1" applyBorder="1" applyAlignment="1">
      <alignment horizontal="center"/>
    </xf>
    <xf numFmtId="172" fontId="42" fillId="0" borderId="0" xfId="53" applyNumberFormat="1" applyFont="1" applyFill="1" applyAlignment="1" applyProtection="1">
      <alignment/>
      <protection/>
    </xf>
    <xf numFmtId="172" fontId="0" fillId="0" borderId="0" xfId="0" applyFont="1" applyFill="1" applyAlignment="1">
      <alignment/>
    </xf>
    <xf numFmtId="172" fontId="4" fillId="18" borderId="18" xfId="0" applyFont="1" applyFill="1" applyBorder="1" applyAlignment="1">
      <alignment/>
    </xf>
    <xf numFmtId="172" fontId="4" fillId="0" borderId="20" xfId="0" applyFont="1" applyFill="1" applyBorder="1" applyAlignment="1">
      <alignment/>
    </xf>
    <xf numFmtId="172" fontId="4" fillId="0" borderId="20" xfId="0" applyFont="1" applyBorder="1" applyAlignment="1">
      <alignment/>
    </xf>
    <xf numFmtId="172" fontId="4" fillId="0" borderId="22" xfId="0" applyFont="1" applyBorder="1" applyAlignment="1">
      <alignment horizontal="center"/>
    </xf>
    <xf numFmtId="172" fontId="4" fillId="0" borderId="20" xfId="0" applyFont="1" applyBorder="1" applyAlignment="1">
      <alignment horizontal="center"/>
    </xf>
    <xf numFmtId="175" fontId="4" fillId="0" borderId="20" xfId="44" applyNumberFormat="1" applyFont="1" applyBorder="1" applyAlignment="1">
      <alignment/>
    </xf>
    <xf numFmtId="175" fontId="4" fillId="0" borderId="22" xfId="44" applyNumberFormat="1" applyFont="1" applyBorder="1" applyAlignment="1">
      <alignment/>
    </xf>
    <xf numFmtId="49" fontId="5" fillId="0" borderId="0" xfId="0" applyNumberFormat="1" applyFont="1" applyFill="1" applyAlignment="1">
      <alignment horizontal="left"/>
    </xf>
    <xf numFmtId="182" fontId="4" fillId="0" borderId="0" xfId="0" applyNumberFormat="1" applyFont="1" applyFill="1" applyAlignment="1">
      <alignment/>
    </xf>
    <xf numFmtId="182" fontId="4" fillId="18" borderId="0" xfId="0" applyNumberFormat="1" applyFont="1" applyFill="1" applyAlignment="1" quotePrefix="1">
      <alignment horizontal="left"/>
    </xf>
    <xf numFmtId="182" fontId="4" fillId="0" borderId="0" xfId="0" applyNumberFormat="1" applyFont="1" applyFill="1" applyAlignment="1">
      <alignment horizontal="left"/>
    </xf>
    <xf numFmtId="173" fontId="4" fillId="0" borderId="0" xfId="42" applyNumberFormat="1" applyFont="1" applyBorder="1" applyAlignment="1">
      <alignment/>
    </xf>
    <xf numFmtId="170" fontId="4" fillId="0" borderId="19" xfId="0" applyNumberFormat="1" applyFont="1" applyBorder="1" applyAlignment="1">
      <alignment/>
    </xf>
    <xf numFmtId="170" fontId="4" fillId="0" borderId="0" xfId="0" applyNumberFormat="1" applyFont="1" applyBorder="1" applyAlignment="1">
      <alignment/>
    </xf>
    <xf numFmtId="170" fontId="4" fillId="0" borderId="20" xfId="0" applyNumberFormat="1" applyFont="1" applyBorder="1" applyAlignment="1">
      <alignment/>
    </xf>
    <xf numFmtId="173" fontId="4" fillId="0" borderId="19" xfId="42" applyNumberFormat="1" applyFont="1" applyBorder="1" applyAlignment="1">
      <alignment/>
    </xf>
    <xf numFmtId="173" fontId="4" fillId="0" borderId="20" xfId="42" applyNumberFormat="1" applyFont="1" applyBorder="1" applyAlignment="1">
      <alignment/>
    </xf>
    <xf numFmtId="172" fontId="38" fillId="0" borderId="0" xfId="0" applyFont="1" applyAlignment="1">
      <alignment/>
    </xf>
    <xf numFmtId="0" fontId="7" fillId="0" borderId="10" xfId="0" applyNumberFormat="1" applyFont="1" applyBorder="1" applyAlignment="1">
      <alignment/>
    </xf>
    <xf numFmtId="172" fontId="7" fillId="0" borderId="10" xfId="0" applyFont="1" applyBorder="1" applyAlignment="1">
      <alignment horizontal="center"/>
    </xf>
    <xf numFmtId="3" fontId="7" fillId="0" borderId="10" xfId="0" applyNumberFormat="1" applyFont="1" applyFill="1" applyBorder="1" applyAlignment="1">
      <alignment horizontal="center"/>
    </xf>
    <xf numFmtId="172" fontId="7" fillId="0" borderId="10" xfId="0" applyFont="1" applyFill="1" applyBorder="1" applyAlignment="1">
      <alignment horizontal="center"/>
    </xf>
    <xf numFmtId="0" fontId="7" fillId="0" borderId="10" xfId="0" applyNumberFormat="1" applyFont="1" applyBorder="1" applyAlignment="1" applyProtection="1">
      <alignment horizontal="center"/>
      <protection locked="0"/>
    </xf>
    <xf numFmtId="175" fontId="7" fillId="0" borderId="0" xfId="44" applyNumberFormat="1" applyFont="1" applyFill="1" applyAlignment="1">
      <alignment/>
    </xf>
    <xf numFmtId="172" fontId="45" fillId="0" borderId="11" xfId="0" applyFont="1" applyBorder="1" applyAlignment="1">
      <alignment horizontal="center"/>
    </xf>
    <xf numFmtId="172" fontId="45" fillId="0" borderId="22" xfId="0" applyFont="1" applyBorder="1" applyAlignment="1">
      <alignment horizontal="center"/>
    </xf>
    <xf numFmtId="172" fontId="4" fillId="0" borderId="0" xfId="0" applyFont="1" applyBorder="1" applyAlignment="1">
      <alignment horizontal="right"/>
    </xf>
    <xf numFmtId="172" fontId="4" fillId="18" borderId="0" xfId="0" applyFont="1" applyFill="1" applyBorder="1" applyAlignment="1">
      <alignment/>
    </xf>
    <xf numFmtId="172" fontId="4" fillId="0" borderId="13" xfId="0" applyFont="1" applyBorder="1" applyAlignment="1">
      <alignment/>
    </xf>
    <xf numFmtId="172" fontId="4" fillId="0" borderId="0" xfId="0" applyFont="1" applyAlignment="1" quotePrefix="1">
      <alignment/>
    </xf>
    <xf numFmtId="175" fontId="4" fillId="18" borderId="19" xfId="44" applyNumberFormat="1" applyFont="1" applyFill="1" applyBorder="1" applyAlignment="1">
      <alignment horizontal="right"/>
    </xf>
    <xf numFmtId="175" fontId="4" fillId="18" borderId="0" xfId="44" applyNumberFormat="1" applyFont="1" applyFill="1" applyBorder="1" applyAlignment="1">
      <alignment horizontal="center"/>
    </xf>
    <xf numFmtId="172" fontId="4" fillId="18" borderId="20" xfId="0" applyFont="1" applyFill="1" applyBorder="1" applyAlignment="1">
      <alignment/>
    </xf>
    <xf numFmtId="175" fontId="4" fillId="0" borderId="20" xfId="44" applyNumberFormat="1" applyFont="1" applyFill="1" applyBorder="1" applyAlignment="1">
      <alignment/>
    </xf>
    <xf numFmtId="173" fontId="4" fillId="0" borderId="22" xfId="42" applyNumberFormat="1" applyFont="1" applyBorder="1" applyAlignment="1">
      <alignment/>
    </xf>
    <xf numFmtId="0" fontId="4" fillId="18" borderId="0" xfId="63" applyNumberFormat="1" applyFont="1" applyFill="1" applyBorder="1" applyAlignment="1">
      <alignment horizontal="right"/>
    </xf>
    <xf numFmtId="172" fontId="4" fillId="0" borderId="18" xfId="0" applyFont="1" applyBorder="1" applyAlignment="1">
      <alignment horizontal="center"/>
    </xf>
    <xf numFmtId="176" fontId="4" fillId="18" borderId="0" xfId="63" applyNumberFormat="1" applyFont="1" applyFill="1" applyBorder="1" applyAlignment="1">
      <alignment/>
    </xf>
    <xf numFmtId="10" fontId="4" fillId="0" borderId="0" xfId="63" applyNumberFormat="1" applyFont="1" applyBorder="1" applyAlignment="1" quotePrefix="1">
      <alignment horizontal="left"/>
    </xf>
    <xf numFmtId="0" fontId="4" fillId="0" borderId="0" xfId="0" applyNumberFormat="1" applyFont="1" applyBorder="1" applyAlignment="1">
      <alignment/>
    </xf>
    <xf numFmtId="176" fontId="4" fillId="0" borderId="0" xfId="63" applyNumberFormat="1" applyFont="1" applyFill="1" applyBorder="1" applyAlignment="1">
      <alignment/>
    </xf>
    <xf numFmtId="173" fontId="44" fillId="0" borderId="0" xfId="42" applyNumberFormat="1" applyFont="1" applyBorder="1" applyAlignment="1">
      <alignment/>
    </xf>
    <xf numFmtId="182" fontId="44" fillId="18" borderId="0" xfId="0" applyNumberFormat="1" applyFont="1" applyFill="1" applyAlignment="1" quotePrefix="1">
      <alignment horizontal="left"/>
    </xf>
    <xf numFmtId="170" fontId="44" fillId="0" borderId="0" xfId="0" applyNumberFormat="1" applyFont="1" applyAlignment="1">
      <alignment/>
    </xf>
    <xf numFmtId="173" fontId="44" fillId="0" borderId="20" xfId="42" applyNumberFormat="1" applyFont="1" applyBorder="1" applyAlignment="1">
      <alignment/>
    </xf>
    <xf numFmtId="182" fontId="44" fillId="0" borderId="0" xfId="0" applyNumberFormat="1" applyFont="1" applyFill="1" applyAlignment="1" quotePrefix="1">
      <alignment horizontal="left"/>
    </xf>
    <xf numFmtId="172" fontId="44" fillId="0" borderId="0" xfId="0" applyFont="1" applyAlignment="1">
      <alignment/>
    </xf>
    <xf numFmtId="172" fontId="44" fillId="0" borderId="19" xfId="0" applyFont="1" applyBorder="1" applyAlignment="1">
      <alignment/>
    </xf>
    <xf numFmtId="172" fontId="44" fillId="0" borderId="0" xfId="0" applyFont="1" applyBorder="1" applyAlignment="1">
      <alignment/>
    </xf>
    <xf numFmtId="172" fontId="44" fillId="0" borderId="20" xfId="0" applyFont="1" applyBorder="1" applyAlignment="1">
      <alignment/>
    </xf>
    <xf numFmtId="182" fontId="44" fillId="0" borderId="0" xfId="0" applyNumberFormat="1" applyFont="1" applyFill="1" applyAlignment="1">
      <alignment horizontal="left"/>
    </xf>
    <xf numFmtId="175" fontId="44" fillId="0" borderId="0" xfId="44" applyNumberFormat="1" applyFont="1" applyFill="1" applyBorder="1" applyAlignment="1">
      <alignment/>
    </xf>
    <xf numFmtId="172" fontId="44" fillId="0" borderId="21" xfId="0" applyFont="1" applyBorder="1" applyAlignment="1">
      <alignment/>
    </xf>
    <xf numFmtId="172" fontId="44" fillId="0" borderId="11" xfId="0" applyFont="1" applyBorder="1" applyAlignment="1">
      <alignment/>
    </xf>
    <xf numFmtId="172" fontId="44" fillId="0" borderId="11" xfId="0" applyFont="1" applyFill="1" applyBorder="1" applyAlignment="1">
      <alignment/>
    </xf>
    <xf numFmtId="182" fontId="44" fillId="0" borderId="0" xfId="0" applyNumberFormat="1" applyFont="1" applyFill="1" applyAlignment="1">
      <alignment/>
    </xf>
    <xf numFmtId="175" fontId="44" fillId="0" borderId="0" xfId="44" applyNumberFormat="1" applyFont="1" applyBorder="1" applyAlignment="1">
      <alignment/>
    </xf>
    <xf numFmtId="175" fontId="44" fillId="0" borderId="19" xfId="44" applyNumberFormat="1" applyFont="1" applyBorder="1" applyAlignment="1">
      <alignment horizontal="right"/>
    </xf>
    <xf numFmtId="0" fontId="44" fillId="0" borderId="0" xfId="0" applyNumberFormat="1" applyFont="1" applyFill="1" applyAlignment="1">
      <alignment/>
    </xf>
    <xf numFmtId="175" fontId="44" fillId="0" borderId="20" xfId="44" applyNumberFormat="1" applyFont="1" applyBorder="1" applyAlignment="1">
      <alignment/>
    </xf>
    <xf numFmtId="170" fontId="44" fillId="0" borderId="19" xfId="0" applyNumberFormat="1" applyFont="1" applyBorder="1" applyAlignment="1">
      <alignment/>
    </xf>
    <xf numFmtId="170" fontId="44" fillId="0" borderId="0" xfId="0" applyNumberFormat="1" applyFont="1" applyBorder="1" applyAlignment="1">
      <alignment/>
    </xf>
    <xf numFmtId="170" fontId="44" fillId="0" borderId="20" xfId="0" applyNumberFormat="1" applyFont="1" applyBorder="1" applyAlignment="1">
      <alignment/>
    </xf>
    <xf numFmtId="0" fontId="44" fillId="0" borderId="0" xfId="0" applyNumberFormat="1" applyFont="1" applyAlignment="1">
      <alignment/>
    </xf>
    <xf numFmtId="173" fontId="44" fillId="0" borderId="19" xfId="42" applyNumberFormat="1" applyFont="1" applyBorder="1" applyAlignment="1">
      <alignment/>
    </xf>
    <xf numFmtId="173" fontId="44" fillId="0" borderId="21" xfId="42" applyNumberFormat="1" applyFont="1" applyBorder="1" applyAlignment="1">
      <alignment/>
    </xf>
    <xf numFmtId="173" fontId="44" fillId="0" borderId="11" xfId="42" applyNumberFormat="1" applyFont="1" applyBorder="1" applyAlignment="1">
      <alignment/>
    </xf>
    <xf numFmtId="175" fontId="44" fillId="0" borderId="22" xfId="44" applyNumberFormat="1" applyFont="1" applyBorder="1" applyAlignment="1">
      <alignment/>
    </xf>
    <xf numFmtId="172" fontId="45" fillId="0" borderId="0" xfId="0" applyFont="1" applyAlignment="1">
      <alignment/>
    </xf>
    <xf numFmtId="172" fontId="45" fillId="0" borderId="25" xfId="0" applyFont="1" applyBorder="1" applyAlignment="1">
      <alignment/>
    </xf>
    <xf numFmtId="172" fontId="44" fillId="0" borderId="17" xfId="0" applyFont="1" applyBorder="1" applyAlignment="1">
      <alignment/>
    </xf>
    <xf numFmtId="0" fontId="44" fillId="0" borderId="18" xfId="0" applyNumberFormat="1" applyFont="1" applyBorder="1" applyAlignment="1">
      <alignment/>
    </xf>
    <xf numFmtId="172" fontId="44" fillId="0" borderId="13" xfId="0" applyFont="1" applyBorder="1" applyAlignment="1">
      <alignment/>
    </xf>
    <xf numFmtId="172" fontId="44" fillId="0" borderId="11" xfId="0" applyFont="1" applyBorder="1" applyAlignment="1">
      <alignment horizontal="center"/>
    </xf>
    <xf numFmtId="172" fontId="44" fillId="0" borderId="29" xfId="0" applyFont="1" applyBorder="1" applyAlignment="1">
      <alignment/>
    </xf>
    <xf numFmtId="10" fontId="44" fillId="0" borderId="20" xfId="63" applyNumberFormat="1" applyFont="1" applyBorder="1" applyAlignment="1" quotePrefix="1">
      <alignment horizontal="left"/>
    </xf>
    <xf numFmtId="172" fontId="44" fillId="18" borderId="0" xfId="0" applyFont="1" applyFill="1" applyBorder="1" applyAlignment="1">
      <alignment/>
    </xf>
    <xf numFmtId="172" fontId="46" fillId="0" borderId="16" xfId="0" applyFont="1" applyBorder="1" applyAlignment="1">
      <alignment/>
    </xf>
    <xf numFmtId="172" fontId="44" fillId="18" borderId="17" xfId="0" applyFont="1" applyFill="1" applyBorder="1" applyAlignment="1">
      <alignment/>
    </xf>
    <xf numFmtId="172" fontId="44" fillId="18" borderId="18" xfId="0" applyFont="1" applyFill="1" applyBorder="1" applyAlignment="1">
      <alignment/>
    </xf>
    <xf numFmtId="172" fontId="44" fillId="0" borderId="19" xfId="0" applyFont="1" applyFill="1" applyBorder="1" applyAlignment="1">
      <alignment/>
    </xf>
    <xf numFmtId="10" fontId="44" fillId="18" borderId="0" xfId="63" applyNumberFormat="1" applyFont="1" applyFill="1" applyBorder="1" applyAlignment="1">
      <alignment/>
    </xf>
    <xf numFmtId="10" fontId="44" fillId="0" borderId="0" xfId="63" applyNumberFormat="1" applyFont="1" applyFill="1" applyBorder="1" applyAlignment="1">
      <alignment/>
    </xf>
    <xf numFmtId="10" fontId="44" fillId="0" borderId="0" xfId="63" applyNumberFormat="1" applyFont="1" applyBorder="1" applyAlignment="1">
      <alignment/>
    </xf>
    <xf numFmtId="175" fontId="44" fillId="18" borderId="0" xfId="44" applyNumberFormat="1" applyFont="1" applyFill="1" applyBorder="1" applyAlignment="1">
      <alignment/>
    </xf>
    <xf numFmtId="173" fontId="44" fillId="18" borderId="0" xfId="42" applyNumberFormat="1" applyFont="1" applyFill="1" applyBorder="1" applyAlignment="1">
      <alignment/>
    </xf>
    <xf numFmtId="173" fontId="44" fillId="0" borderId="0" xfId="42" applyNumberFormat="1" applyFont="1" applyFill="1" applyBorder="1" applyAlignment="1">
      <alignment/>
    </xf>
    <xf numFmtId="0" fontId="44" fillId="18" borderId="0" xfId="63" applyNumberFormat="1" applyFont="1" applyFill="1" applyBorder="1" applyAlignment="1">
      <alignment/>
    </xf>
    <xf numFmtId="0" fontId="44" fillId="0" borderId="0" xfId="63" applyNumberFormat="1" applyFont="1" applyFill="1" applyBorder="1" applyAlignment="1">
      <alignment/>
    </xf>
    <xf numFmtId="172" fontId="44" fillId="0" borderId="21" xfId="0" applyFont="1" applyBorder="1" applyAlignment="1">
      <alignment horizontal="center"/>
    </xf>
    <xf numFmtId="172" fontId="44" fillId="0" borderId="22" xfId="0" applyFont="1" applyBorder="1" applyAlignment="1">
      <alignment horizontal="center"/>
    </xf>
    <xf numFmtId="175" fontId="44" fillId="18" borderId="19" xfId="44" applyNumberFormat="1" applyFont="1" applyFill="1" applyBorder="1" applyAlignment="1">
      <alignment horizontal="right"/>
    </xf>
    <xf numFmtId="175" fontId="44" fillId="18" borderId="0" xfId="44" applyNumberFormat="1" applyFont="1" applyFill="1" applyBorder="1" applyAlignment="1">
      <alignment horizontal="center"/>
    </xf>
    <xf numFmtId="175" fontId="4" fillId="18" borderId="0" xfId="44" applyNumberFormat="1" applyFont="1" applyFill="1" applyAlignment="1">
      <alignment/>
    </xf>
    <xf numFmtId="172" fontId="42" fillId="0" borderId="0" xfId="53" applyNumberFormat="1" applyFont="1" applyAlignment="1" applyProtection="1" quotePrefix="1">
      <alignment/>
      <protection/>
    </xf>
    <xf numFmtId="172" fontId="4" fillId="18" borderId="0" xfId="0" applyFont="1" applyFill="1" applyBorder="1" applyAlignment="1">
      <alignment horizontal="center"/>
    </xf>
    <xf numFmtId="176" fontId="44" fillId="18" borderId="0" xfId="63" applyNumberFormat="1" applyFont="1" applyFill="1" applyBorder="1" applyAlignment="1">
      <alignment/>
    </xf>
    <xf numFmtId="0" fontId="5" fillId="0" borderId="0" xfId="57" applyFont="1" applyAlignment="1">
      <alignment horizontal="left"/>
      <protection/>
    </xf>
    <xf numFmtId="0" fontId="7" fillId="0" borderId="0" xfId="57" applyFont="1">
      <alignment/>
      <protection/>
    </xf>
    <xf numFmtId="0" fontId="5" fillId="0" borderId="0" xfId="57" applyFont="1">
      <alignment/>
      <protection/>
    </xf>
    <xf numFmtId="172" fontId="18" fillId="0" borderId="0" xfId="57" applyNumberFormat="1" applyFont="1" applyAlignment="1">
      <alignment horizontal="center"/>
      <protection/>
    </xf>
    <xf numFmtId="175" fontId="5" fillId="0" borderId="0" xfId="44" applyNumberFormat="1" applyFont="1" applyFill="1" applyAlignment="1">
      <alignment/>
    </xf>
    <xf numFmtId="173" fontId="10" fillId="0" borderId="0" xfId="42" applyNumberFormat="1" applyFont="1" applyAlignment="1">
      <alignment horizontal="left"/>
    </xf>
    <xf numFmtId="175" fontId="5" fillId="0" borderId="0" xfId="44" applyNumberFormat="1" applyFont="1" applyAlignment="1">
      <alignment/>
    </xf>
    <xf numFmtId="176" fontId="5" fillId="0" borderId="0" xfId="63" applyNumberFormat="1" applyFont="1" applyFill="1" applyAlignment="1">
      <alignment/>
    </xf>
    <xf numFmtId="0" fontId="7" fillId="0" borderId="0" xfId="57" applyFont="1" applyFill="1">
      <alignment/>
      <protection/>
    </xf>
    <xf numFmtId="0" fontId="10" fillId="0" borderId="0" xfId="57" applyFont="1" applyAlignment="1">
      <alignment horizontal="right"/>
      <protection/>
    </xf>
    <xf numFmtId="0" fontId="5" fillId="0" borderId="0" xfId="57" applyFont="1" applyFill="1" applyAlignment="1">
      <alignment vertical="center"/>
      <protection/>
    </xf>
    <xf numFmtId="0" fontId="5" fillId="0" borderId="0" xfId="57" applyFont="1" applyAlignment="1">
      <alignment horizontal="right" vertical="center"/>
      <protection/>
    </xf>
    <xf numFmtId="0" fontId="5" fillId="0" borderId="0" xfId="57" applyFont="1" applyAlignment="1">
      <alignment vertical="center"/>
      <protection/>
    </xf>
    <xf numFmtId="41" fontId="5" fillId="0" borderId="0" xfId="57" applyNumberFormat="1" applyFont="1" applyAlignment="1">
      <alignment horizontal="left" vertical="center"/>
      <protection/>
    </xf>
    <xf numFmtId="173" fontId="34" fillId="0" borderId="0" xfId="57" applyNumberFormat="1" applyFont="1" applyFill="1" applyAlignment="1">
      <alignment vertical="center"/>
      <protection/>
    </xf>
    <xf numFmtId="173" fontId="5" fillId="0" borderId="0" xfId="57" applyNumberFormat="1" applyFont="1" applyFill="1" applyAlignment="1">
      <alignment vertical="center"/>
      <protection/>
    </xf>
    <xf numFmtId="0" fontId="7" fillId="0" borderId="0" xfId="57" applyFont="1" applyAlignment="1">
      <alignment horizontal="center"/>
      <protection/>
    </xf>
    <xf numFmtId="173" fontId="5" fillId="0" borderId="0" xfId="57" applyNumberFormat="1" applyFont="1" applyAlignment="1">
      <alignment vertical="center"/>
      <protection/>
    </xf>
    <xf numFmtId="0" fontId="5" fillId="0" borderId="0" xfId="57" applyFont="1" applyAlignment="1">
      <alignment horizontal="left" vertical="center"/>
      <protection/>
    </xf>
    <xf numFmtId="173" fontId="5" fillId="0" borderId="0" xfId="57" applyNumberFormat="1" applyFont="1" applyFill="1" applyAlignment="1">
      <alignment horizontal="center" vertical="center"/>
      <protection/>
    </xf>
    <xf numFmtId="37" fontId="5" fillId="0" borderId="0" xfId="57" applyNumberFormat="1" applyFont="1" applyAlignment="1">
      <alignment vertical="center"/>
      <protection/>
    </xf>
    <xf numFmtId="0" fontId="5" fillId="0" borderId="0" xfId="57" applyFont="1" applyFill="1" applyAlignment="1">
      <alignment horizontal="center" vertical="center"/>
      <protection/>
    </xf>
    <xf numFmtId="37" fontId="5" fillId="0" borderId="0" xfId="57" applyNumberFormat="1" applyFont="1" applyFill="1" applyAlignment="1">
      <alignment vertical="center"/>
      <protection/>
    </xf>
    <xf numFmtId="173" fontId="5" fillId="0" borderId="0" xfId="57" applyNumberFormat="1" applyFont="1" applyBorder="1" applyAlignment="1">
      <alignment vertical="center"/>
      <protection/>
    </xf>
    <xf numFmtId="173" fontId="5" fillId="18" borderId="0" xfId="57" applyNumberFormat="1" applyFont="1" applyFill="1" applyBorder="1" applyAlignment="1">
      <alignment vertical="center"/>
      <protection/>
    </xf>
    <xf numFmtId="173" fontId="5" fillId="0" borderId="0" xfId="57" applyNumberFormat="1" applyFont="1">
      <alignment/>
      <protection/>
    </xf>
    <xf numFmtId="173" fontId="5" fillId="0" borderId="0" xfId="42" applyNumberFormat="1" applyFont="1" applyFill="1" applyAlignment="1">
      <alignment horizontal="right"/>
    </xf>
    <xf numFmtId="172" fontId="5" fillId="0" borderId="0" xfId="0" applyFont="1" applyAlignment="1">
      <alignment/>
    </xf>
    <xf numFmtId="172" fontId="5" fillId="0" borderId="0" xfId="0" applyFont="1" applyFill="1" applyAlignment="1">
      <alignment/>
    </xf>
    <xf numFmtId="3" fontId="5" fillId="0" borderId="0" xfId="0" applyNumberFormat="1" applyFont="1" applyAlignment="1">
      <alignment/>
    </xf>
    <xf numFmtId="0" fontId="5" fillId="0" borderId="0" xfId="0" applyNumberFormat="1" applyFont="1" applyAlignment="1" applyProtection="1">
      <alignment/>
      <protection locked="0"/>
    </xf>
    <xf numFmtId="3" fontId="5" fillId="0" borderId="0" xfId="0" applyNumberFormat="1" applyFont="1" applyFill="1" applyAlignment="1">
      <alignment/>
    </xf>
    <xf numFmtId="0" fontId="5" fillId="0" borderId="0" xfId="0" applyNumberFormat="1" applyFont="1" applyAlignment="1">
      <alignment/>
    </xf>
    <xf numFmtId="173" fontId="5" fillId="0" borderId="10" xfId="42" applyNumberFormat="1" applyFont="1" applyFill="1" applyBorder="1" applyAlignment="1">
      <alignment/>
    </xf>
    <xf numFmtId="175" fontId="5" fillId="0" borderId="0" xfId="44" applyNumberFormat="1" applyFont="1" applyFill="1" applyAlignment="1">
      <alignment/>
    </xf>
    <xf numFmtId="164" fontId="5" fillId="0" borderId="0" xfId="0" applyNumberFormat="1" applyFont="1" applyAlignment="1">
      <alignment horizontal="center"/>
    </xf>
    <xf numFmtId="175" fontId="5" fillId="0" borderId="0" xfId="44" applyNumberFormat="1" applyFont="1" applyAlignment="1">
      <alignment/>
    </xf>
    <xf numFmtId="0" fontId="5" fillId="0" borderId="0" xfId="0" applyNumberFormat="1" applyFont="1" applyAlignment="1">
      <alignment/>
    </xf>
    <xf numFmtId="3" fontId="5" fillId="0" borderId="0" xfId="0" applyNumberFormat="1" applyFont="1" applyFill="1" applyAlignment="1">
      <alignment vertical="top" wrapText="1"/>
    </xf>
    <xf numFmtId="41" fontId="5" fillId="0" borderId="0" xfId="0" applyNumberFormat="1" applyFont="1" applyAlignment="1">
      <alignment/>
    </xf>
    <xf numFmtId="165" fontId="5" fillId="0" borderId="0" xfId="0" applyNumberFormat="1" applyFont="1" applyAlignment="1">
      <alignment/>
    </xf>
    <xf numFmtId="173" fontId="5" fillId="0" borderId="0" xfId="42" applyNumberFormat="1" applyFont="1" applyAlignment="1">
      <alignment/>
    </xf>
    <xf numFmtId="41" fontId="5" fillId="0" borderId="10" xfId="0" applyNumberFormat="1" applyFont="1" applyFill="1" applyBorder="1" applyAlignment="1">
      <alignment/>
    </xf>
    <xf numFmtId="165" fontId="5" fillId="0" borderId="0" xfId="0" applyNumberFormat="1" applyFont="1" applyFill="1" applyAlignment="1">
      <alignment/>
    </xf>
    <xf numFmtId="0" fontId="5" fillId="0" borderId="0" xfId="0" applyNumberFormat="1" applyFont="1" applyFill="1" applyAlignment="1">
      <alignment/>
    </xf>
    <xf numFmtId="175" fontId="5" fillId="0" borderId="0" xfId="44" applyNumberFormat="1" applyFont="1" applyBorder="1" applyAlignment="1">
      <alignment/>
    </xf>
    <xf numFmtId="175" fontId="5" fillId="0" borderId="24" xfId="44" applyNumberFormat="1" applyFont="1" applyBorder="1" applyAlignment="1">
      <alignment/>
    </xf>
    <xf numFmtId="10" fontId="16" fillId="0" borderId="0" xfId="63" applyNumberFormat="1" applyFont="1" applyFill="1" applyAlignment="1">
      <alignment/>
    </xf>
    <xf numFmtId="173" fontId="10" fillId="18" borderId="0" xfId="42" applyNumberFormat="1" applyFont="1" applyFill="1" applyAlignment="1">
      <alignment/>
    </xf>
    <xf numFmtId="172" fontId="4" fillId="0" borderId="11" xfId="0" applyFont="1" applyBorder="1" applyAlignment="1">
      <alignment/>
    </xf>
    <xf numFmtId="182" fontId="44" fillId="0" borderId="13" xfId="0" applyNumberFormat="1" applyFont="1" applyBorder="1" applyAlignment="1" quotePrefix="1">
      <alignment horizontal="center"/>
    </xf>
    <xf numFmtId="172" fontId="44" fillId="0" borderId="0" xfId="0" applyFont="1" applyBorder="1" applyAlignment="1">
      <alignment horizontal="center"/>
    </xf>
    <xf numFmtId="172" fontId="44" fillId="0" borderId="20" xfId="0" applyFont="1" applyBorder="1" applyAlignment="1">
      <alignment horizontal="center"/>
    </xf>
    <xf numFmtId="172" fontId="44" fillId="0" borderId="10" xfId="0" applyFont="1" applyBorder="1" applyAlignment="1">
      <alignment horizontal="center"/>
    </xf>
    <xf numFmtId="172" fontId="44" fillId="0" borderId="30" xfId="0" applyFont="1" applyBorder="1" applyAlignment="1">
      <alignment horizontal="center"/>
    </xf>
    <xf numFmtId="172" fontId="44" fillId="18" borderId="20" xfId="0" applyFont="1" applyFill="1" applyBorder="1" applyAlignment="1">
      <alignment/>
    </xf>
    <xf numFmtId="172" fontId="42" fillId="0" borderId="0" xfId="53" applyFont="1" applyFill="1" applyAlignment="1" quotePrefix="1">
      <alignment/>
    </xf>
    <xf numFmtId="172" fontId="42" fillId="0" borderId="0" xfId="53" applyFont="1" applyAlignment="1" quotePrefix="1">
      <alignment/>
    </xf>
    <xf numFmtId="3" fontId="5" fillId="0" borderId="10" xfId="0" applyNumberFormat="1" applyFont="1" applyBorder="1" applyAlignment="1">
      <alignment horizontal="center"/>
    </xf>
    <xf numFmtId="175" fontId="5" fillId="18" borderId="0" xfId="44" applyNumberFormat="1" applyFont="1" applyFill="1" applyAlignment="1" applyProtection="1">
      <alignment/>
      <protection locked="0"/>
    </xf>
    <xf numFmtId="3" fontId="5" fillId="0" borderId="0" xfId="0" applyNumberFormat="1" applyFont="1" applyBorder="1" applyAlignment="1">
      <alignment horizontal="center"/>
    </xf>
    <xf numFmtId="41" fontId="5" fillId="18" borderId="0" xfId="0" applyNumberFormat="1" applyFont="1" applyFill="1" applyAlignment="1">
      <alignment/>
    </xf>
    <xf numFmtId="41" fontId="5" fillId="0" borderId="0" xfId="0" applyNumberFormat="1" applyFont="1" applyAlignment="1" quotePrefix="1">
      <alignment/>
    </xf>
    <xf numFmtId="173" fontId="5" fillId="18" borderId="0" xfId="42" applyNumberFormat="1" applyFont="1" applyFill="1" applyAlignment="1">
      <alignment/>
    </xf>
    <xf numFmtId="173" fontId="5" fillId="18" borderId="10" xfId="42" applyNumberFormat="1" applyFont="1" applyFill="1" applyBorder="1" applyAlignment="1">
      <alignment/>
    </xf>
    <xf numFmtId="41" fontId="5" fillId="0" borderId="10" xfId="0" applyNumberFormat="1" applyFont="1" applyBorder="1" applyAlignment="1" quotePrefix="1">
      <alignment/>
    </xf>
    <xf numFmtId="3" fontId="5" fillId="0" borderId="10" xfId="0" applyNumberFormat="1" applyFont="1" applyBorder="1" applyAlignment="1">
      <alignment/>
    </xf>
    <xf numFmtId="175" fontId="5" fillId="0" borderId="0" xfId="44" applyNumberFormat="1" applyFont="1" applyFill="1" applyAlignment="1">
      <alignment/>
    </xf>
    <xf numFmtId="42" fontId="5" fillId="0" borderId="0" xfId="59" applyNumberFormat="1" applyFont="1" applyFill="1" applyAlignment="1" applyProtection="1">
      <alignment horizontal="right"/>
      <protection locked="0"/>
    </xf>
    <xf numFmtId="175" fontId="5" fillId="0" borderId="0" xfId="44" applyNumberFormat="1" applyFont="1" applyFill="1" applyAlignment="1" applyProtection="1">
      <alignment/>
      <protection locked="0"/>
    </xf>
    <xf numFmtId="175" fontId="5" fillId="18" borderId="0" xfId="44" applyNumberFormat="1" applyFont="1" applyFill="1" applyAlignment="1">
      <alignment/>
    </xf>
    <xf numFmtId="41" fontId="5" fillId="0" borderId="0" xfId="0" applyNumberFormat="1" applyFont="1" applyFill="1" applyAlignment="1" applyProtection="1">
      <alignment/>
      <protection locked="0"/>
    </xf>
    <xf numFmtId="41" fontId="5" fillId="18" borderId="10" xfId="0" applyNumberFormat="1" applyFont="1" applyFill="1" applyBorder="1" applyAlignment="1">
      <alignment/>
    </xf>
    <xf numFmtId="0" fontId="5" fillId="0" borderId="0" xfId="0" applyNumberFormat="1" applyFont="1" applyAlignment="1" applyProtection="1">
      <alignment/>
      <protection locked="0"/>
    </xf>
    <xf numFmtId="3" fontId="5" fillId="0" borderId="0" xfId="0" applyNumberFormat="1" applyFont="1" applyAlignment="1">
      <alignment horizontal="center"/>
    </xf>
    <xf numFmtId="0" fontId="5" fillId="0" borderId="10" xfId="0" applyNumberFormat="1" applyFont="1" applyBorder="1" applyAlignment="1" applyProtection="1">
      <alignment horizontal="center"/>
      <protection locked="0"/>
    </xf>
    <xf numFmtId="10" fontId="5" fillId="0" borderId="0" xfId="0" applyNumberFormat="1" applyFont="1" applyFill="1" applyAlignment="1">
      <alignment/>
    </xf>
    <xf numFmtId="169" fontId="5" fillId="0" borderId="0" xfId="0" applyNumberFormat="1" applyFont="1" applyFill="1" applyAlignment="1">
      <alignment/>
    </xf>
    <xf numFmtId="177" fontId="5" fillId="0" borderId="0" xfId="42" applyNumberFormat="1" applyFont="1" applyFill="1" applyAlignment="1">
      <alignment/>
    </xf>
    <xf numFmtId="169" fontId="5" fillId="0" borderId="0" xfId="0" applyNumberFormat="1" applyFont="1" applyAlignment="1">
      <alignment/>
    </xf>
    <xf numFmtId="3" fontId="5" fillId="0" borderId="0" xfId="0" applyNumberFormat="1" applyFont="1" applyAlignment="1" quotePrefix="1">
      <alignment/>
    </xf>
    <xf numFmtId="41" fontId="5" fillId="0" borderId="0" xfId="0" applyNumberFormat="1" applyFont="1" applyFill="1" applyAlignment="1">
      <alignment horizontal="right"/>
    </xf>
    <xf numFmtId="10" fontId="5" fillId="0" borderId="0" xfId="63" applyNumberFormat="1" applyFont="1" applyFill="1" applyAlignment="1">
      <alignment/>
    </xf>
    <xf numFmtId="173" fontId="5" fillId="0" borderId="0" xfId="42" applyNumberFormat="1" applyFont="1" applyFill="1" applyBorder="1" applyAlignment="1">
      <alignment/>
    </xf>
    <xf numFmtId="41" fontId="5" fillId="0" borderId="0" xfId="0" applyNumberFormat="1" applyFont="1" applyFill="1" applyBorder="1" applyAlignment="1">
      <alignment horizontal="right"/>
    </xf>
    <xf numFmtId="10" fontId="5" fillId="0" borderId="10" xfId="63" applyNumberFormat="1" applyFont="1" applyFill="1" applyBorder="1" applyAlignment="1">
      <alignment/>
    </xf>
    <xf numFmtId="169" fontId="5" fillId="0" borderId="10" xfId="0" applyNumberFormat="1" applyFont="1" applyBorder="1" applyAlignment="1">
      <alignment/>
    </xf>
    <xf numFmtId="10" fontId="5" fillId="0" borderId="0" xfId="0" applyNumberFormat="1" applyFont="1" applyAlignment="1">
      <alignment/>
    </xf>
    <xf numFmtId="175" fontId="5" fillId="0" borderId="0" xfId="44" applyNumberFormat="1" applyFont="1" applyFill="1" applyAlignment="1" applyProtection="1">
      <alignment/>
      <protection locked="0"/>
    </xf>
    <xf numFmtId="41" fontId="5" fillId="0" borderId="0" xfId="0" applyNumberFormat="1" applyFont="1" applyFill="1" applyAlignment="1">
      <alignment/>
    </xf>
    <xf numFmtId="41" fontId="5" fillId="0" borderId="10" xfId="0" applyNumberFormat="1" applyFont="1" applyFill="1" applyBorder="1" applyAlignment="1">
      <alignment/>
    </xf>
    <xf numFmtId="4" fontId="29" fillId="0" borderId="0" xfId="60" applyNumberFormat="1" applyFont="1" applyFill="1" applyBorder="1" applyAlignment="1">
      <alignment horizontal="center"/>
      <protection/>
    </xf>
    <xf numFmtId="0" fontId="5" fillId="18" borderId="0" xfId="57" applyFont="1" applyFill="1" applyAlignment="1">
      <alignment vertical="center"/>
      <protection/>
    </xf>
    <xf numFmtId="0" fontId="34" fillId="18" borderId="0" xfId="57" applyFont="1" applyFill="1" applyAlignment="1">
      <alignment horizontal="left" vertical="center"/>
      <protection/>
    </xf>
    <xf numFmtId="0" fontId="5" fillId="18" borderId="0" xfId="57" applyFont="1" applyFill="1" applyAlignment="1">
      <alignment vertical="center"/>
      <protection/>
    </xf>
    <xf numFmtId="0" fontId="34" fillId="18" borderId="0" xfId="57" applyFont="1" applyFill="1" applyAlignment="1">
      <alignment horizontal="left" vertical="center"/>
      <protection/>
    </xf>
    <xf numFmtId="173" fontId="5" fillId="18" borderId="0" xfId="57" applyNumberFormat="1" applyFont="1" applyFill="1" applyAlignment="1">
      <alignment vertical="center"/>
      <protection/>
    </xf>
    <xf numFmtId="0" fontId="34" fillId="18" borderId="0" xfId="57" applyFont="1" applyFill="1" applyAlignment="1">
      <alignment vertical="center" wrapText="1"/>
      <protection/>
    </xf>
    <xf numFmtId="0" fontId="34" fillId="18" borderId="0" xfId="57" applyFont="1" applyFill="1" applyAlignment="1">
      <alignment vertical="center"/>
      <protection/>
    </xf>
    <xf numFmtId="173" fontId="5" fillId="18" borderId="0" xfId="57" applyNumberFormat="1" applyFont="1" applyFill="1" applyBorder="1" applyAlignment="1">
      <alignment vertical="center"/>
      <protection/>
    </xf>
    <xf numFmtId="173" fontId="5" fillId="18" borderId="0" xfId="57" applyNumberFormat="1" applyFont="1" applyFill="1" applyAlignment="1">
      <alignment vertical="center"/>
      <protection/>
    </xf>
    <xf numFmtId="44" fontId="4" fillId="0" borderId="0" xfId="44" applyFont="1" applyBorder="1" applyAlignment="1">
      <alignment horizontal="right"/>
    </xf>
    <xf numFmtId="172" fontId="0" fillId="0" borderId="0" xfId="0" applyFont="1" applyAlignment="1">
      <alignment vertical="top" wrapText="1"/>
    </xf>
    <xf numFmtId="172" fontId="23" fillId="0" borderId="0" xfId="0" applyFont="1" applyFill="1" applyAlignment="1">
      <alignment horizontal="center"/>
    </xf>
    <xf numFmtId="180" fontId="29" fillId="0" borderId="0" xfId="0" applyNumberFormat="1" applyFont="1" applyBorder="1" applyAlignment="1">
      <alignment/>
    </xf>
    <xf numFmtId="4" fontId="18" fillId="0" borderId="20" xfId="0" applyNumberFormat="1" applyFont="1" applyBorder="1" applyAlignment="1">
      <alignment/>
    </xf>
    <xf numFmtId="4" fontId="29" fillId="0" borderId="20" xfId="60" applyNumberFormat="1" applyFont="1" applyFill="1" applyBorder="1" applyAlignment="1">
      <alignment horizontal="center"/>
      <protection/>
    </xf>
    <xf numFmtId="0" fontId="5" fillId="0" borderId="0" xfId="42" applyNumberFormat="1" applyFont="1" applyFill="1" applyAlignment="1">
      <alignment horizontal="center"/>
    </xf>
    <xf numFmtId="0" fontId="5" fillId="0" borderId="20" xfId="42" applyNumberFormat="1" applyFont="1" applyFill="1" applyBorder="1" applyAlignment="1">
      <alignment horizontal="center"/>
    </xf>
    <xf numFmtId="175" fontId="44" fillId="0" borderId="11" xfId="44" applyNumberFormat="1" applyFont="1" applyBorder="1" applyAlignment="1">
      <alignment horizontal="right"/>
    </xf>
    <xf numFmtId="172" fontId="8" fillId="0" borderId="0" xfId="0" applyFont="1" applyAlignment="1">
      <alignment horizontal="center"/>
    </xf>
    <xf numFmtId="175" fontId="10" fillId="0" borderId="0" xfId="58" applyNumberFormat="1" applyFont="1" applyFill="1" applyAlignment="1">
      <alignment horizontal="right"/>
      <protection/>
    </xf>
    <xf numFmtId="172" fontId="5" fillId="0" borderId="0" xfId="0" applyFont="1" applyAlignment="1" quotePrefix="1">
      <alignment/>
    </xf>
    <xf numFmtId="172" fontId="8" fillId="0" borderId="0" xfId="0" applyFont="1" applyAlignment="1" quotePrefix="1">
      <alignment horizontal="center"/>
    </xf>
    <xf numFmtId="164" fontId="4" fillId="0" borderId="0" xfId="63" applyNumberFormat="1" applyFont="1" applyBorder="1" applyAlignment="1">
      <alignment/>
    </xf>
    <xf numFmtId="170" fontId="44" fillId="0" borderId="11" xfId="0" applyNumberFormat="1" applyFont="1" applyBorder="1" applyAlignment="1">
      <alignment/>
    </xf>
    <xf numFmtId="10" fontId="4" fillId="0" borderId="0" xfId="63" applyNumberFormat="1" applyFont="1" applyAlignment="1">
      <alignment/>
    </xf>
    <xf numFmtId="172" fontId="40" fillId="0" borderId="31" xfId="0" applyFont="1" applyBorder="1" applyAlignment="1">
      <alignment horizontal="center"/>
    </xf>
    <xf numFmtId="172" fontId="17" fillId="0" borderId="0" xfId="0" applyFont="1" applyBorder="1" applyAlignment="1">
      <alignment/>
    </xf>
    <xf numFmtId="172" fontId="0" fillId="0" borderId="0" xfId="0" applyFont="1" applyAlignment="1" quotePrefix="1">
      <alignment horizontal="center"/>
    </xf>
    <xf numFmtId="172" fontId="0" fillId="0" borderId="0" xfId="0" applyFont="1" applyAlignment="1">
      <alignment horizontal="center"/>
    </xf>
    <xf numFmtId="172" fontId="23" fillId="0" borderId="0" xfId="0" applyFont="1" applyFill="1" applyAlignment="1">
      <alignment horizontal="left"/>
    </xf>
    <xf numFmtId="172" fontId="7" fillId="0" borderId="10" xfId="0" applyFont="1" applyBorder="1" applyAlignment="1">
      <alignment/>
    </xf>
    <xf numFmtId="169" fontId="7" fillId="0" borderId="0" xfId="0" applyNumberFormat="1" applyFont="1" applyBorder="1" applyAlignment="1">
      <alignment horizontal="center"/>
    </xf>
    <xf numFmtId="172" fontId="7" fillId="0" borderId="0" xfId="0" applyFont="1" applyFill="1" applyBorder="1" applyAlignment="1" quotePrefix="1">
      <alignment horizontal="center"/>
    </xf>
    <xf numFmtId="172" fontId="7" fillId="0" borderId="0" xfId="0" applyFont="1" applyBorder="1" applyAlignment="1" quotePrefix="1">
      <alignment horizontal="center"/>
    </xf>
    <xf numFmtId="175" fontId="5" fillId="19" borderId="0" xfId="44" applyNumberFormat="1" applyFont="1" applyFill="1" applyAlignment="1">
      <alignment/>
    </xf>
    <xf numFmtId="175" fontId="1" fillId="0" borderId="24" xfId="44" applyNumberFormat="1" applyFont="1" applyFill="1" applyBorder="1" applyAlignment="1">
      <alignment horizontal="right"/>
    </xf>
    <xf numFmtId="175" fontId="20" fillId="19" borderId="0" xfId="44" applyNumberFormat="1" applyFont="1" applyFill="1" applyAlignment="1">
      <alignment/>
    </xf>
    <xf numFmtId="173" fontId="20" fillId="19" borderId="0" xfId="42" applyNumberFormat="1" applyFont="1" applyFill="1" applyAlignment="1">
      <alignment/>
    </xf>
    <xf numFmtId="41" fontId="5" fillId="19" borderId="0" xfId="0" applyNumberFormat="1" applyFont="1" applyFill="1" applyAlignment="1">
      <alignment/>
    </xf>
    <xf numFmtId="41" fontId="5" fillId="19" borderId="0" xfId="59" applyNumberFormat="1" applyFont="1" applyFill="1" applyAlignment="1" applyProtection="1">
      <alignment/>
      <protection locked="0"/>
    </xf>
    <xf numFmtId="41" fontId="5" fillId="19" borderId="10" xfId="0" applyNumberFormat="1" applyFont="1" applyFill="1" applyBorder="1" applyAlignment="1">
      <alignment/>
    </xf>
    <xf numFmtId="41" fontId="5" fillId="19" borderId="10" xfId="59" applyNumberFormat="1" applyFont="1" applyFill="1" applyBorder="1" applyAlignment="1" applyProtection="1">
      <alignment/>
      <protection locked="0"/>
    </xf>
    <xf numFmtId="41" fontId="5" fillId="19" borderId="0" xfId="59" applyNumberFormat="1" applyFont="1" applyFill="1" applyAlignment="1" applyProtection="1">
      <alignment/>
      <protection locked="0"/>
    </xf>
    <xf numFmtId="172" fontId="0" fillId="0" borderId="0" xfId="0" applyFont="1" applyAlignment="1">
      <alignment vertical="top"/>
    </xf>
    <xf numFmtId="172" fontId="0" fillId="0" borderId="0" xfId="0" applyAlignment="1">
      <alignment vertical="top"/>
    </xf>
    <xf numFmtId="172" fontId="0" fillId="19" borderId="0" xfId="0" applyFill="1" applyAlignment="1">
      <alignment/>
    </xf>
    <xf numFmtId="172" fontId="0" fillId="18" borderId="0" xfId="0" applyFill="1" applyAlignment="1">
      <alignment/>
    </xf>
    <xf numFmtId="175" fontId="5" fillId="19" borderId="0" xfId="44" applyNumberFormat="1" applyFont="1" applyFill="1" applyBorder="1" applyAlignment="1">
      <alignment/>
    </xf>
    <xf numFmtId="175" fontId="5" fillId="0" borderId="0" xfId="44" applyNumberFormat="1" applyFont="1" applyFill="1" applyBorder="1" applyAlignment="1">
      <alignment/>
    </xf>
    <xf numFmtId="4" fontId="5" fillId="0" borderId="0" xfId="60" applyNumberFormat="1" applyFont="1" applyFill="1" applyBorder="1" applyAlignment="1">
      <alignment/>
      <protection/>
    </xf>
    <xf numFmtId="0" fontId="5" fillId="0" borderId="0" xfId="60" applyNumberFormat="1" applyFont="1" applyFill="1" applyBorder="1" applyAlignment="1">
      <alignment horizontal="center"/>
      <protection/>
    </xf>
    <xf numFmtId="172" fontId="5" fillId="0" borderId="0" xfId="0" applyFont="1" applyFill="1" applyBorder="1" applyAlignment="1">
      <alignment horizontal="center" wrapText="1"/>
    </xf>
    <xf numFmtId="176" fontId="44" fillId="0" borderId="0" xfId="63" applyNumberFormat="1" applyFont="1" applyFill="1" applyBorder="1" applyAlignment="1">
      <alignment/>
    </xf>
    <xf numFmtId="175" fontId="44" fillId="18" borderId="0" xfId="44" applyNumberFormat="1" applyFont="1" applyFill="1" applyBorder="1" applyAlignment="1">
      <alignment horizontal="right"/>
    </xf>
    <xf numFmtId="172" fontId="10" fillId="0" borderId="28" xfId="0" applyFont="1" applyBorder="1" applyAlignment="1">
      <alignment/>
    </xf>
    <xf numFmtId="172" fontId="10" fillId="18" borderId="12" xfId="0" applyFont="1" applyFill="1" applyBorder="1" applyAlignment="1">
      <alignment/>
    </xf>
    <xf numFmtId="7" fontId="10" fillId="0" borderId="25" xfId="0" applyNumberFormat="1" applyFont="1" applyBorder="1" applyAlignment="1">
      <alignment/>
    </xf>
    <xf numFmtId="172" fontId="1" fillId="0" borderId="28" xfId="0" applyFont="1" applyBorder="1" applyAlignment="1">
      <alignment horizontal="center" wrapText="1"/>
    </xf>
    <xf numFmtId="172" fontId="1" fillId="0" borderId="32" xfId="0" applyFont="1" applyBorder="1" applyAlignment="1">
      <alignment horizontal="center" wrapText="1"/>
    </xf>
    <xf numFmtId="172" fontId="18" fillId="0" borderId="0" xfId="0" applyFont="1" applyFill="1" applyAlignment="1">
      <alignment/>
    </xf>
    <xf numFmtId="37" fontId="10" fillId="0" borderId="25" xfId="0" applyNumberFormat="1" applyFont="1" applyBorder="1" applyAlignment="1">
      <alignment horizontal="center"/>
    </xf>
    <xf numFmtId="41" fontId="10" fillId="0" borderId="14" xfId="0" applyNumberFormat="1" applyFont="1" applyBorder="1" applyAlignment="1">
      <alignment/>
    </xf>
    <xf numFmtId="172" fontId="10" fillId="18" borderId="25" xfId="0" applyFont="1" applyFill="1" applyBorder="1" applyAlignment="1">
      <alignment/>
    </xf>
    <xf numFmtId="37" fontId="10" fillId="18" borderId="25" xfId="0" applyNumberFormat="1" applyFont="1" applyFill="1" applyBorder="1" applyAlignment="1">
      <alignment/>
    </xf>
    <xf numFmtId="37" fontId="10" fillId="18" borderId="13" xfId="0" applyNumberFormat="1" applyFont="1" applyFill="1" applyBorder="1" applyAlignment="1">
      <alignment horizontal="center"/>
    </xf>
    <xf numFmtId="172" fontId="10" fillId="18" borderId="13" xfId="0" applyFont="1" applyFill="1" applyBorder="1" applyAlignment="1">
      <alignment horizontal="center"/>
    </xf>
    <xf numFmtId="37" fontId="10" fillId="18" borderId="13" xfId="0" applyNumberFormat="1" applyFont="1" applyFill="1" applyBorder="1" applyAlignment="1">
      <alignment/>
    </xf>
    <xf numFmtId="172" fontId="40" fillId="0" borderId="0" xfId="0" applyFont="1" applyAlignment="1">
      <alignment horizontal="center"/>
    </xf>
    <xf numFmtId="4" fontId="5" fillId="0" borderId="0" xfId="0" applyNumberFormat="1" applyFont="1" applyAlignment="1">
      <alignment horizontal="center"/>
    </xf>
    <xf numFmtId="4" fontId="5" fillId="0" borderId="0" xfId="0" applyNumberFormat="1" applyFont="1" applyAlignment="1">
      <alignment/>
    </xf>
    <xf numFmtId="172" fontId="4" fillId="18" borderId="0" xfId="0" applyFont="1" applyFill="1" applyAlignment="1">
      <alignment/>
    </xf>
    <xf numFmtId="0" fontId="5" fillId="0" borderId="0" xfId="0" applyNumberFormat="1" applyFont="1" applyAlignment="1" applyProtection="1">
      <alignment horizontal="center"/>
      <protection locked="0"/>
    </xf>
    <xf numFmtId="0" fontId="5" fillId="0" borderId="0" xfId="0" applyNumberFormat="1" applyFont="1" applyAlignment="1">
      <alignment horizontal="center"/>
    </xf>
    <xf numFmtId="172" fontId="5" fillId="0" borderId="10" xfId="0" applyFont="1" applyBorder="1" applyAlignment="1">
      <alignment/>
    </xf>
    <xf numFmtId="41" fontId="5" fillId="18" borderId="0" xfId="59" applyNumberFormat="1" applyFont="1" applyFill="1" applyAlignment="1" applyProtection="1">
      <alignment vertical="center"/>
      <protection locked="0"/>
    </xf>
    <xf numFmtId="41" fontId="5" fillId="18" borderId="0" xfId="59" applyNumberFormat="1" applyFont="1" applyFill="1" applyAlignment="1" applyProtection="1">
      <alignment/>
      <protection locked="0"/>
    </xf>
    <xf numFmtId="0" fontId="5" fillId="0" borderId="0" xfId="0" applyNumberFormat="1" applyFont="1" applyFill="1" applyAlignment="1">
      <alignment vertical="top"/>
    </xf>
    <xf numFmtId="172" fontId="0" fillId="0" borderId="0" xfId="0" applyFont="1" applyBorder="1" applyAlignment="1">
      <alignment/>
    </xf>
    <xf numFmtId="175" fontId="5" fillId="0" borderId="10" xfId="44" applyNumberFormat="1" applyFont="1" applyBorder="1" applyAlignment="1">
      <alignment/>
    </xf>
    <xf numFmtId="0" fontId="5" fillId="0" borderId="0" xfId="0" applyNumberFormat="1" applyFont="1" applyFill="1" applyAlignment="1" applyProtection="1">
      <alignment/>
      <protection locked="0"/>
    </xf>
    <xf numFmtId="164" fontId="5" fillId="0" borderId="0" xfId="0" applyNumberFormat="1" applyFont="1" applyFill="1" applyAlignment="1">
      <alignment horizontal="right"/>
    </xf>
    <xf numFmtId="41" fontId="5" fillId="0" borderId="0" xfId="0" applyNumberFormat="1" applyFont="1" applyFill="1" applyAlignment="1">
      <alignment/>
    </xf>
    <xf numFmtId="164" fontId="5" fillId="0" borderId="0" xfId="0" applyNumberFormat="1" applyFont="1" applyFill="1" applyAlignment="1">
      <alignment horizontal="center"/>
    </xf>
    <xf numFmtId="175" fontId="5" fillId="0" borderId="10" xfId="44" applyNumberFormat="1" applyFont="1" applyFill="1" applyBorder="1" applyAlignment="1">
      <alignment/>
    </xf>
    <xf numFmtId="175" fontId="5" fillId="18" borderId="0" xfId="44" applyNumberFormat="1" applyFont="1" applyFill="1" applyBorder="1" applyAlignment="1">
      <alignment/>
    </xf>
    <xf numFmtId="175" fontId="5" fillId="18" borderId="10" xfId="44" applyNumberFormat="1" applyFont="1" applyFill="1" applyBorder="1" applyAlignment="1">
      <alignment/>
    </xf>
    <xf numFmtId="3" fontId="5" fillId="18" borderId="0" xfId="0" applyNumberFormat="1" applyFont="1" applyFill="1" applyAlignment="1">
      <alignment/>
    </xf>
    <xf numFmtId="41" fontId="5" fillId="18" borderId="10" xfId="59" applyNumberFormat="1" applyFont="1" applyFill="1" applyBorder="1" applyAlignment="1" applyProtection="1">
      <alignment/>
      <protection locked="0"/>
    </xf>
    <xf numFmtId="10" fontId="5" fillId="0" borderId="0" xfId="0" applyNumberFormat="1" applyFont="1" applyAlignment="1">
      <alignment/>
    </xf>
    <xf numFmtId="172" fontId="5" fillId="0" borderId="0" xfId="0" applyFont="1" applyAlignment="1">
      <alignment horizontal="right"/>
    </xf>
    <xf numFmtId="3" fontId="5" fillId="0" borderId="0" xfId="0" applyNumberFormat="1" applyFont="1" applyAlignment="1">
      <alignment horizontal="right"/>
    </xf>
    <xf numFmtId="172" fontId="5" fillId="0" borderId="0" xfId="0" applyFont="1" applyAlignment="1">
      <alignment horizontal="center"/>
    </xf>
    <xf numFmtId="0" fontId="5" fillId="0" borderId="0" xfId="0" applyNumberFormat="1" applyFont="1" applyAlignment="1" quotePrefix="1">
      <alignment horizontal="center"/>
    </xf>
    <xf numFmtId="49" fontId="5" fillId="0" borderId="0" xfId="0" applyNumberFormat="1" applyFont="1" applyAlignment="1" quotePrefix="1">
      <alignment horizontal="center"/>
    </xf>
    <xf numFmtId="0" fontId="5" fillId="0" borderId="0" xfId="0" applyNumberFormat="1" applyFont="1" applyFill="1" applyAlignment="1" applyProtection="1">
      <alignment horizontal="center"/>
      <protection locked="0"/>
    </xf>
    <xf numFmtId="175" fontId="5" fillId="19" borderId="0" xfId="44" applyNumberFormat="1" applyFont="1" applyFill="1" applyAlignment="1">
      <alignment/>
    </xf>
    <xf numFmtId="3" fontId="5" fillId="0" borderId="0" xfId="0" applyNumberFormat="1" applyFont="1" applyFill="1" applyAlignment="1" quotePrefix="1">
      <alignment/>
    </xf>
    <xf numFmtId="41" fontId="5" fillId="0" borderId="10" xfId="0" applyNumberFormat="1" applyFont="1" applyBorder="1" applyAlignment="1">
      <alignment/>
    </xf>
    <xf numFmtId="175" fontId="5" fillId="18" borderId="0" xfId="59" applyNumberFormat="1" applyFont="1" applyFill="1" applyAlignment="1" applyProtection="1">
      <alignment/>
      <protection locked="0"/>
    </xf>
    <xf numFmtId="41" fontId="5" fillId="18" borderId="0" xfId="0" applyNumberFormat="1" applyFont="1" applyFill="1" applyBorder="1" applyAlignment="1">
      <alignment/>
    </xf>
    <xf numFmtId="41" fontId="5" fillId="0" borderId="0" xfId="0" applyNumberFormat="1" applyFont="1" applyFill="1" applyBorder="1" applyAlignment="1">
      <alignment/>
    </xf>
    <xf numFmtId="41" fontId="5" fillId="0" borderId="0" xfId="0" applyNumberFormat="1" applyFont="1" applyBorder="1" applyAlignment="1">
      <alignment/>
    </xf>
    <xf numFmtId="0" fontId="5" fillId="0" borderId="0" xfId="0" applyNumberFormat="1" applyFont="1" applyAlignment="1" applyProtection="1">
      <alignment horizontal="center" vertical="center"/>
      <protection locked="0"/>
    </xf>
    <xf numFmtId="0" fontId="5" fillId="0" borderId="0" xfId="0" applyNumberFormat="1" applyFont="1" applyAlignment="1">
      <alignment vertical="center"/>
    </xf>
    <xf numFmtId="3" fontId="5" fillId="0" borderId="0" xfId="0" applyNumberFormat="1" applyFont="1" applyAlignment="1">
      <alignment vertical="center" wrapText="1"/>
    </xf>
    <xf numFmtId="41" fontId="5" fillId="18" borderId="10" xfId="0" applyNumberFormat="1" applyFont="1" applyFill="1" applyBorder="1" applyAlignment="1">
      <alignment vertical="center"/>
    </xf>
    <xf numFmtId="3" fontId="5" fillId="0" borderId="0" xfId="0" applyNumberFormat="1" applyFont="1" applyAlignment="1">
      <alignment vertical="center"/>
    </xf>
    <xf numFmtId="165" fontId="5" fillId="0" borderId="0" xfId="0" applyNumberFormat="1" applyFont="1" applyAlignment="1">
      <alignment vertical="center"/>
    </xf>
    <xf numFmtId="166" fontId="5" fillId="0" borderId="0" xfId="0" applyNumberFormat="1" applyFont="1" applyAlignment="1">
      <alignment/>
    </xf>
    <xf numFmtId="3" fontId="5" fillId="0" borderId="0" xfId="0" applyNumberFormat="1" applyFont="1" applyFill="1" applyAlignment="1">
      <alignment horizontal="right"/>
    </xf>
    <xf numFmtId="166" fontId="5" fillId="0" borderId="0" xfId="0" applyNumberFormat="1" applyFont="1" applyFill="1" applyAlignment="1">
      <alignment/>
    </xf>
    <xf numFmtId="166" fontId="5" fillId="0" borderId="0" xfId="0" applyNumberFormat="1" applyFont="1" applyFill="1" applyAlignment="1">
      <alignment horizontal="right"/>
    </xf>
    <xf numFmtId="166" fontId="5" fillId="0" borderId="0" xfId="0" applyNumberFormat="1" applyFont="1" applyAlignment="1">
      <alignment horizontal="center"/>
    </xf>
    <xf numFmtId="164" fontId="5" fillId="0" borderId="0" xfId="0" applyNumberFormat="1" applyFont="1" applyAlignment="1">
      <alignment horizontal="left"/>
    </xf>
    <xf numFmtId="10" fontId="5" fillId="0" borderId="0" xfId="0" applyNumberFormat="1" applyFont="1" applyFill="1" applyAlignment="1">
      <alignment horizontal="right"/>
    </xf>
    <xf numFmtId="0" fontId="5" fillId="16" borderId="0" xfId="0" applyNumberFormat="1" applyFont="1" applyFill="1" applyAlignment="1" applyProtection="1">
      <alignment horizontal="center"/>
      <protection locked="0"/>
    </xf>
    <xf numFmtId="187" fontId="5" fillId="0" borderId="0" xfId="42" applyNumberFormat="1" applyFont="1" applyFill="1" applyAlignment="1">
      <alignment horizontal="right"/>
    </xf>
    <xf numFmtId="10" fontId="5" fillId="0" borderId="0" xfId="0" applyNumberFormat="1" applyFont="1" applyAlignment="1">
      <alignment horizontal="left"/>
    </xf>
    <xf numFmtId="3" fontId="5" fillId="0" borderId="0" xfId="0" applyNumberFormat="1" applyFont="1" applyAlignment="1">
      <alignment horizontal="left"/>
    </xf>
    <xf numFmtId="164" fontId="5" fillId="0" borderId="0" xfId="0" applyNumberFormat="1" applyFont="1" applyAlignment="1" applyProtection="1">
      <alignment horizontal="left"/>
      <protection locked="0"/>
    </xf>
    <xf numFmtId="175" fontId="5" fillId="0" borderId="0" xfId="44" applyNumberFormat="1" applyFont="1" applyFill="1" applyAlignment="1">
      <alignment horizontal="right"/>
    </xf>
    <xf numFmtId="10" fontId="5" fillId="0" borderId="0" xfId="63" applyNumberFormat="1" applyFont="1" applyAlignment="1">
      <alignment/>
    </xf>
    <xf numFmtId="167" fontId="5" fillId="0" borderId="0" xfId="0" applyNumberFormat="1" applyFont="1" applyAlignment="1">
      <alignment/>
    </xf>
    <xf numFmtId="164" fontId="5" fillId="0" borderId="0" xfId="0" applyNumberFormat="1" applyFont="1" applyFill="1" applyAlignment="1" applyProtection="1" quotePrefix="1">
      <alignment horizontal="left"/>
      <protection locked="0"/>
    </xf>
    <xf numFmtId="175" fontId="5" fillId="0" borderId="33" xfId="44" applyNumberFormat="1" applyFont="1" applyBorder="1" applyAlignment="1">
      <alignment/>
    </xf>
    <xf numFmtId="172" fontId="5" fillId="0" borderId="0" xfId="0" applyFont="1" applyAlignment="1">
      <alignment/>
    </xf>
    <xf numFmtId="179" fontId="18" fillId="0" borderId="0" xfId="0" applyNumberFormat="1" applyFont="1" applyFill="1" applyAlignment="1" quotePrefix="1">
      <alignment horizontal="center"/>
    </xf>
    <xf numFmtId="172" fontId="5" fillId="0" borderId="0" xfId="0" applyFont="1" applyBorder="1" applyAlignment="1">
      <alignment/>
    </xf>
    <xf numFmtId="172" fontId="5" fillId="0" borderId="0" xfId="0" applyFont="1" applyBorder="1" applyAlignment="1">
      <alignment horizontal="right"/>
    </xf>
    <xf numFmtId="37" fontId="5" fillId="0" borderId="0" xfId="0" applyNumberFormat="1" applyFont="1" applyBorder="1" applyAlignment="1">
      <alignment/>
    </xf>
    <xf numFmtId="172" fontId="7" fillId="0" borderId="0" xfId="0" applyFont="1" applyBorder="1" applyAlignment="1">
      <alignment horizontal="left"/>
    </xf>
    <xf numFmtId="7" fontId="5" fillId="0" borderId="0" xfId="0" applyNumberFormat="1" applyFont="1" applyBorder="1" applyAlignment="1">
      <alignment/>
    </xf>
    <xf numFmtId="37" fontId="5" fillId="0" borderId="0" xfId="0" applyNumberFormat="1" applyFont="1" applyAlignment="1">
      <alignment/>
    </xf>
    <xf numFmtId="39" fontId="5" fillId="0" borderId="0" xfId="0" applyNumberFormat="1" applyFont="1" applyAlignment="1">
      <alignment/>
    </xf>
    <xf numFmtId="172" fontId="1" fillId="0" borderId="27" xfId="0" applyFont="1" applyFill="1" applyBorder="1" applyAlignment="1">
      <alignment horizontal="center"/>
    </xf>
    <xf numFmtId="172" fontId="1" fillId="0" borderId="34" xfId="0" applyFont="1" applyBorder="1" applyAlignment="1">
      <alignment horizontal="center" wrapText="1"/>
    </xf>
    <xf numFmtId="172" fontId="1" fillId="0" borderId="35" xfId="0" applyFont="1" applyBorder="1" applyAlignment="1">
      <alignment horizontal="center" wrapText="1"/>
    </xf>
    <xf numFmtId="172" fontId="1" fillId="0" borderId="27" xfId="0" applyFont="1" applyBorder="1" applyAlignment="1">
      <alignment horizontal="center"/>
    </xf>
    <xf numFmtId="172" fontId="1" fillId="0" borderId="27" xfId="0" applyFont="1" applyBorder="1" applyAlignment="1">
      <alignment horizontal="center" wrapText="1"/>
    </xf>
    <xf numFmtId="39" fontId="5" fillId="0" borderId="22" xfId="0" applyNumberFormat="1" applyFont="1" applyFill="1" applyBorder="1" applyAlignment="1">
      <alignment horizontal="center"/>
    </xf>
    <xf numFmtId="39" fontId="5" fillId="0" borderId="14" xfId="0" applyNumberFormat="1" applyFont="1" applyFill="1" applyBorder="1" applyAlignment="1">
      <alignment horizontal="center"/>
    </xf>
    <xf numFmtId="173" fontId="5" fillId="18" borderId="14" xfId="0" applyNumberFormat="1" applyFont="1" applyFill="1" applyBorder="1" applyAlignment="1">
      <alignment/>
    </xf>
    <xf numFmtId="173" fontId="5" fillId="0" borderId="14" xfId="0" applyNumberFormat="1" applyFont="1" applyBorder="1" applyAlignment="1">
      <alignment/>
    </xf>
    <xf numFmtId="10" fontId="5" fillId="0" borderId="14" xfId="63" applyNumberFormat="1" applyFont="1" applyBorder="1" applyAlignment="1">
      <alignment/>
    </xf>
    <xf numFmtId="39" fontId="5" fillId="0" borderId="28" xfId="0" applyNumberFormat="1" applyFont="1" applyFill="1" applyBorder="1" applyAlignment="1">
      <alignment horizontal="center"/>
    </xf>
    <xf numFmtId="39" fontId="5" fillId="0" borderId="12" xfId="0" applyNumberFormat="1" applyFont="1" applyFill="1" applyBorder="1" applyAlignment="1">
      <alignment horizontal="center"/>
    </xf>
    <xf numFmtId="173" fontId="5" fillId="18" borderId="12" xfId="0" applyNumberFormat="1" applyFont="1" applyFill="1" applyBorder="1" applyAlignment="1">
      <alignment/>
    </xf>
    <xf numFmtId="173" fontId="5" fillId="0" borderId="12" xfId="0" applyNumberFormat="1" applyFont="1" applyBorder="1" applyAlignment="1">
      <alignment/>
    </xf>
    <xf numFmtId="10" fontId="5" fillId="0" borderId="12" xfId="63" applyNumberFormat="1" applyFont="1" applyBorder="1" applyAlignment="1">
      <alignment/>
    </xf>
    <xf numFmtId="39" fontId="5" fillId="0" borderId="35" xfId="0" applyNumberFormat="1" applyFont="1" applyFill="1" applyBorder="1" applyAlignment="1">
      <alignment horizontal="center"/>
    </xf>
    <xf numFmtId="39" fontId="5" fillId="0" borderId="27" xfId="0" applyNumberFormat="1" applyFont="1" applyFill="1" applyBorder="1" applyAlignment="1">
      <alignment horizontal="center"/>
    </xf>
    <xf numFmtId="173" fontId="5" fillId="18" borderId="27" xfId="0" applyNumberFormat="1" applyFont="1" applyFill="1" applyBorder="1" applyAlignment="1">
      <alignment/>
    </xf>
    <xf numFmtId="173" fontId="5" fillId="0" borderId="27" xfId="0" applyNumberFormat="1" applyFont="1" applyBorder="1" applyAlignment="1">
      <alignment/>
    </xf>
    <xf numFmtId="172" fontId="5" fillId="0" borderId="14" xfId="0" applyFont="1" applyBorder="1" applyAlignment="1">
      <alignment horizontal="right"/>
    </xf>
    <xf numFmtId="172" fontId="5" fillId="0" borderId="36" xfId="0" applyFont="1" applyBorder="1" applyAlignment="1">
      <alignment horizontal="right"/>
    </xf>
    <xf numFmtId="39" fontId="5" fillId="0" borderId="22" xfId="0" applyNumberFormat="1" applyFont="1" applyBorder="1" applyAlignment="1">
      <alignment horizontal="center"/>
    </xf>
    <xf numFmtId="39" fontId="5" fillId="0" borderId="14" xfId="0" applyNumberFormat="1" applyFont="1" applyBorder="1" applyAlignment="1">
      <alignment horizontal="center"/>
    </xf>
    <xf numFmtId="172" fontId="5" fillId="0" borderId="12" xfId="0" applyFont="1" applyBorder="1" applyAlignment="1">
      <alignment horizontal="right"/>
    </xf>
    <xf numFmtId="172" fontId="5" fillId="0" borderId="32" xfId="0" applyFont="1" applyBorder="1" applyAlignment="1">
      <alignment horizontal="right"/>
    </xf>
    <xf numFmtId="39" fontId="5" fillId="0" borderId="28" xfId="0" applyNumberFormat="1" applyFont="1" applyBorder="1" applyAlignment="1">
      <alignment horizontal="center"/>
    </xf>
    <xf numFmtId="39" fontId="5" fillId="0" borderId="12" xfId="0" applyNumberFormat="1" applyFont="1" applyBorder="1" applyAlignment="1">
      <alignment horizontal="center"/>
    </xf>
    <xf numFmtId="39" fontId="5" fillId="0" borderId="0" xfId="0" applyNumberFormat="1" applyFont="1" applyAlignment="1">
      <alignment horizontal="right"/>
    </xf>
    <xf numFmtId="7" fontId="5" fillId="0" borderId="0" xfId="0" applyNumberFormat="1" applyFont="1" applyAlignment="1">
      <alignment/>
    </xf>
    <xf numFmtId="172" fontId="1" fillId="0" borderId="0" xfId="0" applyFont="1" applyBorder="1" applyAlignment="1">
      <alignment horizontal="center" wrapText="1"/>
    </xf>
    <xf numFmtId="41" fontId="5" fillId="18" borderId="12" xfId="0" applyNumberFormat="1" applyFont="1" applyFill="1" applyBorder="1" applyAlignment="1">
      <alignment/>
    </xf>
    <xf numFmtId="41" fontId="5" fillId="0" borderId="12" xfId="0" applyNumberFormat="1" applyFont="1" applyBorder="1" applyAlignment="1">
      <alignment/>
    </xf>
    <xf numFmtId="41" fontId="5" fillId="0" borderId="12" xfId="0" applyNumberFormat="1" applyFont="1" applyFill="1" applyBorder="1" applyAlignment="1">
      <alignment/>
    </xf>
    <xf numFmtId="41" fontId="5" fillId="18" borderId="27" xfId="0" applyNumberFormat="1" applyFont="1" applyFill="1" applyBorder="1" applyAlignment="1">
      <alignment/>
    </xf>
    <xf numFmtId="41" fontId="5" fillId="0" borderId="27" xfId="0" applyNumberFormat="1" applyFont="1" applyBorder="1" applyAlignment="1">
      <alignment/>
    </xf>
    <xf numFmtId="41" fontId="5" fillId="0" borderId="27" xfId="0" applyNumberFormat="1" applyFont="1" applyFill="1" applyBorder="1" applyAlignment="1">
      <alignment/>
    </xf>
    <xf numFmtId="41" fontId="5" fillId="0" borderId="14" xfId="0" applyNumberFormat="1" applyFont="1" applyBorder="1" applyAlignment="1">
      <alignment/>
    </xf>
    <xf numFmtId="172" fontId="5" fillId="0" borderId="0" xfId="0" applyFont="1" applyBorder="1" applyAlignment="1">
      <alignment horizontal="left"/>
    </xf>
    <xf numFmtId="41" fontId="5" fillId="0" borderId="14" xfId="0" applyNumberFormat="1" applyFont="1" applyBorder="1" applyAlignment="1">
      <alignment horizontal="right"/>
    </xf>
    <xf numFmtId="41" fontId="5" fillId="0" borderId="12" xfId="0" applyNumberFormat="1" applyFont="1" applyBorder="1" applyAlignment="1">
      <alignment horizontal="right"/>
    </xf>
    <xf numFmtId="3" fontId="5" fillId="0" borderId="0" xfId="0" applyNumberFormat="1" applyFont="1" applyAlignment="1">
      <alignment/>
    </xf>
    <xf numFmtId="172" fontId="10" fillId="0" borderId="0" xfId="0" applyFont="1" applyAlignment="1">
      <alignment/>
    </xf>
    <xf numFmtId="172" fontId="10" fillId="18" borderId="14" xfId="0" applyFont="1" applyFill="1" applyBorder="1" applyAlignment="1">
      <alignment horizontal="center"/>
    </xf>
    <xf numFmtId="37" fontId="10" fillId="18" borderId="14" xfId="0" applyNumberFormat="1" applyFont="1" applyFill="1" applyBorder="1" applyAlignment="1">
      <alignment horizontal="center"/>
    </xf>
    <xf numFmtId="172" fontId="10" fillId="0" borderId="14" xfId="0" applyFont="1" applyBorder="1" applyAlignment="1">
      <alignment horizontal="center"/>
    </xf>
    <xf numFmtId="41" fontId="10" fillId="18" borderId="14" xfId="0" applyNumberFormat="1" applyFont="1" applyFill="1" applyBorder="1" applyAlignment="1">
      <alignment/>
    </xf>
    <xf numFmtId="41" fontId="10" fillId="18" borderId="14" xfId="0" applyNumberFormat="1" applyFont="1" applyFill="1" applyBorder="1" applyAlignment="1">
      <alignment horizontal="center"/>
    </xf>
    <xf numFmtId="41" fontId="10" fillId="18" borderId="12" xfId="0" applyNumberFormat="1" applyFont="1" applyFill="1" applyBorder="1" applyAlignment="1">
      <alignment/>
    </xf>
    <xf numFmtId="41" fontId="10" fillId="18" borderId="12" xfId="0" applyNumberFormat="1" applyFont="1" applyFill="1" applyBorder="1" applyAlignment="1">
      <alignment horizontal="center"/>
    </xf>
    <xf numFmtId="184" fontId="10" fillId="18" borderId="12" xfId="0" applyNumberFormat="1" applyFont="1" applyFill="1" applyBorder="1" applyAlignment="1">
      <alignment/>
    </xf>
    <xf numFmtId="184" fontId="10" fillId="18" borderId="12" xfId="0" applyNumberFormat="1" applyFont="1" applyFill="1" applyBorder="1" applyAlignment="1">
      <alignment horizontal="right"/>
    </xf>
    <xf numFmtId="37" fontId="10" fillId="18" borderId="15" xfId="0" applyNumberFormat="1" applyFont="1" applyFill="1" applyBorder="1" applyAlignment="1">
      <alignment horizontal="center"/>
    </xf>
    <xf numFmtId="7" fontId="10" fillId="18" borderId="12" xfId="0" applyNumberFormat="1" applyFont="1" applyFill="1" applyBorder="1" applyAlignment="1">
      <alignment horizontal="center"/>
    </xf>
    <xf numFmtId="172" fontId="5" fillId="18" borderId="24" xfId="0" applyFont="1" applyFill="1" applyBorder="1" applyAlignment="1">
      <alignment/>
    </xf>
    <xf numFmtId="37" fontId="10" fillId="0" borderId="13" xfId="0" applyNumberFormat="1" applyFont="1" applyBorder="1" applyAlignment="1">
      <alignment horizontal="center"/>
    </xf>
    <xf numFmtId="172" fontId="10" fillId="0" borderId="0" xfId="0" applyFont="1" applyAlignment="1">
      <alignment horizontal="center"/>
    </xf>
    <xf numFmtId="37" fontId="10" fillId="18" borderId="19" xfId="0" applyNumberFormat="1" applyFont="1" applyFill="1" applyBorder="1" applyAlignment="1">
      <alignment horizontal="center"/>
    </xf>
    <xf numFmtId="37" fontId="10" fillId="18" borderId="0" xfId="0" applyNumberFormat="1" applyFont="1" applyFill="1" applyBorder="1" applyAlignment="1">
      <alignment horizontal="center"/>
    </xf>
    <xf numFmtId="37" fontId="10" fillId="0" borderId="20" xfId="0" applyNumberFormat="1" applyFont="1" applyBorder="1" applyAlignment="1">
      <alignment horizontal="center"/>
    </xf>
    <xf numFmtId="37" fontId="10" fillId="18" borderId="25" xfId="0" applyNumberFormat="1" applyFont="1" applyFill="1" applyBorder="1" applyAlignment="1">
      <alignment horizontal="center"/>
    </xf>
    <xf numFmtId="37" fontId="10" fillId="18" borderId="19" xfId="0" applyNumberFormat="1" applyFont="1" applyFill="1" applyBorder="1" applyAlignment="1">
      <alignment horizontal="center"/>
    </xf>
    <xf numFmtId="37" fontId="10" fillId="18" borderId="13" xfId="0" applyNumberFormat="1" applyFont="1" applyFill="1" applyBorder="1" applyAlignment="1">
      <alignment horizontal="center"/>
    </xf>
    <xf numFmtId="37" fontId="10" fillId="18" borderId="0" xfId="0" applyNumberFormat="1" applyFont="1" applyFill="1" applyBorder="1" applyAlignment="1">
      <alignment horizontal="center"/>
    </xf>
    <xf numFmtId="37" fontId="10" fillId="0" borderId="13" xfId="0" applyNumberFormat="1" applyFont="1" applyBorder="1" applyAlignment="1">
      <alignment horizontal="center"/>
    </xf>
    <xf numFmtId="172" fontId="10" fillId="0" borderId="13" xfId="0" applyFont="1" applyBorder="1" applyAlignment="1">
      <alignment horizontal="center"/>
    </xf>
    <xf numFmtId="7" fontId="10" fillId="0" borderId="0" xfId="0" applyNumberFormat="1" applyFont="1" applyAlignment="1">
      <alignment/>
    </xf>
    <xf numFmtId="37" fontId="10" fillId="0" borderId="21" xfId="0" applyNumberFormat="1" applyFont="1" applyFill="1" applyBorder="1" applyAlignment="1">
      <alignment horizontal="center"/>
    </xf>
    <xf numFmtId="37" fontId="10" fillId="0" borderId="14" xfId="0" applyNumberFormat="1" applyFont="1" applyFill="1" applyBorder="1" applyAlignment="1">
      <alignment horizontal="center"/>
    </xf>
    <xf numFmtId="37" fontId="10" fillId="0" borderId="11" xfId="0" applyNumberFormat="1" applyFont="1" applyFill="1" applyBorder="1" applyAlignment="1" quotePrefix="1">
      <alignment horizontal="center"/>
    </xf>
    <xf numFmtId="172" fontId="5" fillId="0" borderId="0" xfId="0" applyFont="1" applyFill="1" applyAlignment="1">
      <alignment horizontal="center"/>
    </xf>
    <xf numFmtId="37" fontId="10" fillId="0" borderId="21" xfId="0" applyNumberFormat="1" applyFont="1" applyFill="1" applyBorder="1" applyAlignment="1">
      <alignment horizontal="center"/>
    </xf>
    <xf numFmtId="37" fontId="10" fillId="0" borderId="14" xfId="0" applyNumberFormat="1" applyFont="1" applyFill="1" applyBorder="1" applyAlignment="1">
      <alignment horizontal="center"/>
    </xf>
    <xf numFmtId="37" fontId="10" fillId="0" borderId="11" xfId="0" applyNumberFormat="1" applyFont="1" applyFill="1" applyBorder="1" applyAlignment="1">
      <alignment horizontal="center"/>
    </xf>
    <xf numFmtId="37" fontId="10" fillId="0" borderId="22" xfId="0" applyNumberFormat="1" applyFont="1" applyBorder="1" applyAlignment="1">
      <alignment horizontal="center"/>
    </xf>
    <xf numFmtId="172" fontId="5" fillId="0" borderId="0" xfId="0" applyFont="1" applyFill="1" applyBorder="1" applyAlignment="1">
      <alignment/>
    </xf>
    <xf numFmtId="41" fontId="10" fillId="0" borderId="12" xfId="0" applyNumberFormat="1" applyFont="1" applyFill="1" applyBorder="1" applyAlignment="1">
      <alignment/>
    </xf>
    <xf numFmtId="41" fontId="10" fillId="0" borderId="0" xfId="0" applyNumberFormat="1" applyFont="1" applyFill="1" applyBorder="1" applyAlignment="1">
      <alignment/>
    </xf>
    <xf numFmtId="173" fontId="5" fillId="0" borderId="0" xfId="42" applyNumberFormat="1" applyFont="1" applyFill="1" applyBorder="1" applyAlignment="1">
      <alignment/>
    </xf>
    <xf numFmtId="37" fontId="10" fillId="0" borderId="11" xfId="0" applyNumberFormat="1" applyFont="1" applyFill="1" applyBorder="1" applyAlignment="1" quotePrefix="1">
      <alignment horizontal="center"/>
    </xf>
    <xf numFmtId="41" fontId="10" fillId="18" borderId="12" xfId="0" applyNumberFormat="1" applyFont="1" applyFill="1" applyBorder="1" applyAlignment="1">
      <alignment horizontal="right"/>
    </xf>
    <xf numFmtId="15" fontId="5" fillId="0" borderId="0" xfId="0" applyNumberFormat="1" applyFont="1" applyBorder="1" applyAlignment="1">
      <alignment/>
    </xf>
    <xf numFmtId="0" fontId="7" fillId="18" borderId="0" xfId="57" applyNumberFormat="1" applyFont="1" applyFill="1" applyAlignment="1">
      <alignment horizontal="center"/>
      <protection/>
    </xf>
    <xf numFmtId="175" fontId="5" fillId="18" borderId="0" xfId="44" applyNumberFormat="1" applyFont="1" applyFill="1" applyAlignment="1">
      <alignment/>
    </xf>
    <xf numFmtId="172" fontId="5" fillId="0" borderId="0" xfId="0" applyFont="1" applyFill="1" applyAlignment="1">
      <alignment horizontal="left"/>
    </xf>
    <xf numFmtId="172" fontId="4" fillId="0" borderId="0" xfId="0" applyFont="1" applyBorder="1" applyAlignment="1" quotePrefix="1">
      <alignment/>
    </xf>
    <xf numFmtId="172" fontId="4" fillId="0" borderId="20" xfId="0" applyFont="1" applyBorder="1" applyAlignment="1" quotePrefix="1">
      <alignment/>
    </xf>
    <xf numFmtId="172" fontId="5" fillId="0" borderId="0" xfId="0" applyFont="1" applyFill="1" applyBorder="1" applyAlignment="1">
      <alignment/>
    </xf>
    <xf numFmtId="0" fontId="5" fillId="0" borderId="19" xfId="0" applyNumberFormat="1" applyFont="1" applyFill="1" applyBorder="1" applyAlignment="1">
      <alignment horizontal="center"/>
    </xf>
    <xf numFmtId="172" fontId="5" fillId="0" borderId="13" xfId="0" applyFont="1" applyFill="1" applyBorder="1" applyAlignment="1">
      <alignment horizontal="center"/>
    </xf>
    <xf numFmtId="172" fontId="5" fillId="0" borderId="0" xfId="0" applyFont="1" applyFill="1" applyBorder="1" applyAlignment="1">
      <alignment horizontal="center"/>
    </xf>
    <xf numFmtId="172" fontId="5" fillId="0" borderId="19" xfId="0" applyFont="1" applyFill="1" applyBorder="1" applyAlignment="1">
      <alignment horizontal="center"/>
    </xf>
    <xf numFmtId="172" fontId="5" fillId="0" borderId="11" xfId="0" applyFont="1" applyFill="1" applyBorder="1" applyAlignment="1">
      <alignment/>
    </xf>
    <xf numFmtId="175" fontId="5" fillId="0" borderId="0" xfId="42" applyNumberFormat="1" applyFont="1" applyFill="1" applyBorder="1" applyAlignment="1">
      <alignment horizontal="right"/>
    </xf>
    <xf numFmtId="0" fontId="5" fillId="0" borderId="0" xfId="0" applyNumberFormat="1" applyFont="1" applyFill="1" applyBorder="1" applyAlignment="1">
      <alignment/>
    </xf>
    <xf numFmtId="172" fontId="5" fillId="0" borderId="19" xfId="0" applyFont="1" applyFill="1" applyBorder="1" applyAlignment="1">
      <alignment/>
    </xf>
    <xf numFmtId="172" fontId="5" fillId="0" borderId="0" xfId="0" applyFont="1" applyFill="1" applyBorder="1" applyAlignment="1">
      <alignment horizontal="right"/>
    </xf>
    <xf numFmtId="172" fontId="5" fillId="0" borderId="14" xfId="0" applyFont="1" applyFill="1" applyBorder="1" applyAlignment="1">
      <alignment horizontal="right"/>
    </xf>
    <xf numFmtId="172" fontId="5" fillId="0" borderId="21" xfId="0" applyFont="1" applyFill="1" applyBorder="1" applyAlignment="1">
      <alignment horizontal="right"/>
    </xf>
    <xf numFmtId="172" fontId="5" fillId="0" borderId="24" xfId="0" applyFont="1" applyFill="1" applyBorder="1" applyAlignment="1">
      <alignment horizontal="right"/>
    </xf>
    <xf numFmtId="172" fontId="5" fillId="0" borderId="24" xfId="0" applyFont="1" applyFill="1" applyBorder="1" applyAlignment="1">
      <alignment/>
    </xf>
    <xf numFmtId="172" fontId="5" fillId="0" borderId="20" xfId="0" applyFont="1" applyFill="1" applyBorder="1" applyAlignment="1">
      <alignment/>
    </xf>
    <xf numFmtId="170" fontId="5" fillId="0" borderId="0" xfId="0" applyNumberFormat="1" applyFont="1" applyFill="1" applyBorder="1" applyAlignment="1">
      <alignment/>
    </xf>
    <xf numFmtId="3" fontId="5" fillId="0" borderId="0" xfId="0" applyNumberFormat="1" applyFont="1" applyFill="1" applyBorder="1" applyAlignment="1">
      <alignment horizontal="center"/>
    </xf>
    <xf numFmtId="175" fontId="5" fillId="18" borderId="12" xfId="42" applyNumberFormat="1" applyFont="1" applyFill="1" applyBorder="1" applyAlignment="1">
      <alignment horizontal="right"/>
    </xf>
    <xf numFmtId="175" fontId="5" fillId="0" borderId="12" xfId="42" applyNumberFormat="1" applyFont="1" applyFill="1" applyBorder="1" applyAlignment="1">
      <alignment horizontal="right"/>
    </xf>
    <xf numFmtId="41" fontId="5" fillId="18" borderId="12" xfId="42" applyNumberFormat="1" applyFont="1" applyFill="1" applyBorder="1" applyAlignment="1">
      <alignment horizontal="right"/>
    </xf>
    <xf numFmtId="41" fontId="5" fillId="18" borderId="15" xfId="42" applyNumberFormat="1" applyFont="1" applyFill="1" applyBorder="1" applyAlignment="1">
      <alignment horizontal="right"/>
    </xf>
    <xf numFmtId="41" fontId="5" fillId="0" borderId="19" xfId="0" applyNumberFormat="1" applyFont="1" applyFill="1" applyBorder="1" applyAlignment="1">
      <alignment horizontal="center"/>
    </xf>
    <xf numFmtId="41" fontId="5" fillId="0" borderId="0" xfId="42" applyNumberFormat="1" applyFont="1" applyFill="1" applyBorder="1" applyAlignment="1">
      <alignment horizontal="right"/>
    </xf>
    <xf numFmtId="41" fontId="5" fillId="0" borderId="18" xfId="0" applyNumberFormat="1" applyFont="1" applyFill="1" applyBorder="1" applyAlignment="1">
      <alignment horizontal="center"/>
    </xf>
    <xf numFmtId="3" fontId="5" fillId="0" borderId="0" xfId="0" applyNumberFormat="1" applyFont="1" applyFill="1" applyBorder="1" applyAlignment="1">
      <alignment/>
    </xf>
    <xf numFmtId="41" fontId="5" fillId="0" borderId="0" xfId="0" applyNumberFormat="1" applyFont="1" applyFill="1" applyBorder="1" applyAlignment="1">
      <alignment/>
    </xf>
    <xf numFmtId="175" fontId="5" fillId="0" borderId="21" xfId="0" applyNumberFormat="1" applyFont="1" applyFill="1" applyBorder="1" applyAlignment="1">
      <alignment horizontal="right"/>
    </xf>
    <xf numFmtId="175" fontId="5" fillId="0" borderId="11" xfId="42" applyNumberFormat="1" applyFont="1" applyFill="1" applyBorder="1" applyAlignment="1">
      <alignment horizontal="right"/>
    </xf>
    <xf numFmtId="41" fontId="5" fillId="0" borderId="13" xfId="42" applyNumberFormat="1" applyFont="1" applyFill="1" applyBorder="1" applyAlignment="1">
      <alignment horizontal="right"/>
    </xf>
    <xf numFmtId="41" fontId="5" fillId="0" borderId="19" xfId="42" applyNumberFormat="1" applyFont="1" applyFill="1" applyBorder="1" applyAlignment="1">
      <alignment horizontal="right"/>
    </xf>
    <xf numFmtId="41" fontId="5" fillId="0" borderId="0" xfId="0" applyNumberFormat="1" applyFont="1" applyFill="1" applyBorder="1" applyAlignment="1">
      <alignment horizontal="center"/>
    </xf>
    <xf numFmtId="41" fontId="5" fillId="0" borderId="20" xfId="0" applyNumberFormat="1" applyFont="1" applyFill="1" applyBorder="1" applyAlignment="1">
      <alignment/>
    </xf>
    <xf numFmtId="173" fontId="5" fillId="0" borderId="0" xfId="0" applyNumberFormat="1" applyFont="1" applyFill="1" applyBorder="1" applyAlignment="1">
      <alignment horizontal="right"/>
    </xf>
    <xf numFmtId="175" fontId="5" fillId="0" borderId="0" xfId="0" applyNumberFormat="1" applyFont="1" applyFill="1" applyBorder="1" applyAlignment="1">
      <alignment horizontal="right"/>
    </xf>
    <xf numFmtId="175" fontId="5" fillId="0" borderId="20" xfId="42" applyNumberFormat="1" applyFont="1" applyFill="1" applyBorder="1" applyAlignment="1">
      <alignment horizontal="right"/>
    </xf>
    <xf numFmtId="175" fontId="5" fillId="0" borderId="25" xfId="42" applyNumberFormat="1" applyFont="1" applyFill="1" applyBorder="1" applyAlignment="1">
      <alignment horizontal="right"/>
    </xf>
    <xf numFmtId="172" fontId="5" fillId="0" borderId="21" xfId="0" applyFont="1" applyFill="1" applyBorder="1" applyAlignment="1">
      <alignment/>
    </xf>
    <xf numFmtId="172" fontId="5" fillId="0" borderId="11" xfId="0" applyFont="1" applyFill="1" applyBorder="1" applyAlignment="1">
      <alignment/>
    </xf>
    <xf numFmtId="172" fontId="5" fillId="0" borderId="14" xfId="0" applyFont="1" applyFill="1" applyBorder="1" applyAlignment="1">
      <alignment/>
    </xf>
    <xf numFmtId="172" fontId="5" fillId="0" borderId="22" xfId="0" applyFont="1" applyFill="1" applyBorder="1" applyAlignment="1">
      <alignment/>
    </xf>
    <xf numFmtId="172" fontId="17" fillId="0" borderId="0" xfId="0" applyFont="1" applyFill="1" applyAlignment="1">
      <alignment horizontal="left"/>
    </xf>
    <xf numFmtId="172" fontId="0" fillId="0" borderId="0" xfId="0" applyFont="1" applyFill="1" applyAlignment="1">
      <alignment horizontal="right"/>
    </xf>
    <xf numFmtId="172" fontId="24" fillId="0" borderId="0" xfId="0" applyFont="1" applyFill="1" applyAlignment="1">
      <alignment/>
    </xf>
    <xf numFmtId="172" fontId="38" fillId="0" borderId="10" xfId="0" applyFont="1" applyFill="1" applyBorder="1" applyAlignment="1">
      <alignment horizontal="right"/>
    </xf>
    <xf numFmtId="173" fontId="4" fillId="0" borderId="0" xfId="42" applyNumberFormat="1" applyFont="1" applyFill="1" applyAlignment="1">
      <alignment/>
    </xf>
    <xf numFmtId="172" fontId="4" fillId="0" borderId="0" xfId="0" applyFont="1" applyFill="1" applyAlignment="1" quotePrefix="1">
      <alignment/>
    </xf>
    <xf numFmtId="175" fontId="4" fillId="19" borderId="0" xfId="44" applyNumberFormat="1" applyFont="1" applyFill="1" applyAlignment="1">
      <alignment/>
    </xf>
    <xf numFmtId="175" fontId="4" fillId="19" borderId="0" xfId="0" applyNumberFormat="1" applyFont="1" applyFill="1" applyAlignment="1">
      <alignment/>
    </xf>
    <xf numFmtId="173" fontId="4" fillId="0" borderId="0" xfId="0" applyNumberFormat="1" applyFont="1" applyFill="1" applyAlignment="1">
      <alignment/>
    </xf>
    <xf numFmtId="173" fontId="4" fillId="19" borderId="0" xfId="0" applyNumberFormat="1" applyFont="1" applyFill="1" applyAlignment="1">
      <alignment/>
    </xf>
    <xf numFmtId="10" fontId="4" fillId="19" borderId="0" xfId="63" applyNumberFormat="1" applyFont="1" applyFill="1" applyAlignment="1">
      <alignment/>
    </xf>
    <xf numFmtId="173" fontId="4" fillId="0" borderId="0" xfId="42" applyNumberFormat="1" applyFont="1" applyFill="1" applyAlignment="1">
      <alignment horizontal="right"/>
    </xf>
    <xf numFmtId="10" fontId="4" fillId="0" borderId="0" xfId="0" applyNumberFormat="1" applyFont="1" applyFill="1" applyBorder="1" applyAlignment="1">
      <alignment/>
    </xf>
    <xf numFmtId="10" fontId="4" fillId="0" borderId="0" xfId="0" applyNumberFormat="1" applyFont="1" applyFill="1" applyAlignment="1">
      <alignment/>
    </xf>
    <xf numFmtId="10" fontId="4" fillId="19" borderId="0" xfId="0" applyNumberFormat="1" applyFont="1" applyFill="1" applyAlignment="1">
      <alignment/>
    </xf>
    <xf numFmtId="10" fontId="4" fillId="19" borderId="0" xfId="0" applyNumberFormat="1" applyFont="1" applyFill="1" applyAlignment="1">
      <alignment horizontal="right"/>
    </xf>
    <xf numFmtId="10" fontId="4" fillId="0" borderId="0" xfId="63" applyNumberFormat="1" applyFont="1" applyFill="1" applyAlignment="1">
      <alignment/>
    </xf>
    <xf numFmtId="173" fontId="4" fillId="0" borderId="0" xfId="42" applyNumberFormat="1" applyFont="1" applyFill="1" applyAlignment="1" quotePrefix="1">
      <alignment horizontal="center"/>
    </xf>
    <xf numFmtId="10" fontId="4" fillId="0" borderId="0" xfId="0" applyNumberFormat="1" applyFont="1" applyFill="1" applyAlignment="1">
      <alignment horizontal="right"/>
    </xf>
    <xf numFmtId="172" fontId="4" fillId="0" borderId="0" xfId="0" applyFont="1" applyFill="1" applyAlignment="1">
      <alignment horizontal="center"/>
    </xf>
    <xf numFmtId="172" fontId="4" fillId="0" borderId="0" xfId="0" applyFont="1" applyFill="1" applyAlignment="1" quotePrefix="1">
      <alignment horizontal="center"/>
    </xf>
    <xf numFmtId="172" fontId="38" fillId="0" borderId="0" xfId="0" applyFont="1" applyFill="1" applyAlignment="1">
      <alignment horizontal="right"/>
    </xf>
    <xf numFmtId="172" fontId="38" fillId="0" borderId="0" xfId="0" applyFont="1" applyFill="1" applyAlignment="1">
      <alignment horizontal="center"/>
    </xf>
    <xf numFmtId="172" fontId="38" fillId="0" borderId="10" xfId="0" applyFont="1" applyFill="1" applyBorder="1" applyAlignment="1">
      <alignment horizontal="left"/>
    </xf>
    <xf numFmtId="172" fontId="38" fillId="0" borderId="10" xfId="0" applyFont="1" applyFill="1" applyBorder="1" applyAlignment="1">
      <alignment horizontal="center"/>
    </xf>
    <xf numFmtId="172" fontId="38" fillId="0" borderId="0" xfId="0" applyFont="1" applyFill="1" applyAlignment="1">
      <alignment horizontal="left"/>
    </xf>
    <xf numFmtId="172" fontId="38" fillId="0" borderId="0" xfId="0" applyFont="1" applyFill="1" applyAlignment="1" quotePrefix="1">
      <alignment horizontal="center"/>
    </xf>
    <xf numFmtId="173" fontId="38" fillId="0" borderId="0" xfId="42" applyNumberFormat="1" applyFont="1" applyFill="1" applyAlignment="1">
      <alignment/>
    </xf>
    <xf numFmtId="0" fontId="4" fillId="18" borderId="0" xfId="0" applyNumberFormat="1" applyFont="1" applyFill="1" applyAlignment="1">
      <alignment horizontal="center"/>
    </xf>
    <xf numFmtId="172" fontId="4" fillId="18" borderId="0" xfId="0" applyFont="1" applyFill="1" applyAlignment="1">
      <alignment/>
    </xf>
    <xf numFmtId="176" fontId="4" fillId="0" borderId="0" xfId="0" applyNumberFormat="1" applyFont="1" applyFill="1" applyAlignment="1">
      <alignment/>
    </xf>
    <xf numFmtId="10" fontId="4" fillId="0" borderId="0" xfId="0" applyNumberFormat="1" applyFont="1" applyFill="1" applyAlignment="1" quotePrefix="1">
      <alignment horizontal="center"/>
    </xf>
    <xf numFmtId="175" fontId="4" fillId="18" borderId="0" xfId="44" applyNumberFormat="1" applyFont="1" applyFill="1" applyBorder="1" applyAlignment="1">
      <alignment horizontal="right"/>
    </xf>
    <xf numFmtId="0" fontId="4" fillId="0" borderId="0" xfId="0" applyNumberFormat="1" applyFont="1" applyFill="1" applyAlignment="1">
      <alignment horizontal="center"/>
    </xf>
    <xf numFmtId="172" fontId="38" fillId="0" borderId="0" xfId="0" applyFont="1" applyFill="1" applyAlignment="1">
      <alignment/>
    </xf>
    <xf numFmtId="172" fontId="38" fillId="0" borderId="0" xfId="0" applyFont="1" applyFill="1" applyAlignment="1" quotePrefix="1">
      <alignment/>
    </xf>
    <xf numFmtId="175" fontId="4" fillId="0" borderId="11" xfId="44" applyNumberFormat="1" applyFont="1" applyFill="1" applyBorder="1" applyAlignment="1">
      <alignment/>
    </xf>
    <xf numFmtId="10" fontId="4" fillId="18" borderId="0" xfId="0" applyNumberFormat="1" applyFont="1" applyFill="1" applyAlignment="1">
      <alignment/>
    </xf>
    <xf numFmtId="10" fontId="4" fillId="18" borderId="0" xfId="63" applyNumberFormat="1" applyFont="1" applyFill="1" applyAlignment="1">
      <alignment/>
    </xf>
    <xf numFmtId="172" fontId="64" fillId="0" borderId="0" xfId="0" applyFont="1" applyFill="1" applyAlignment="1">
      <alignment/>
    </xf>
    <xf numFmtId="175" fontId="38" fillId="0" borderId="0" xfId="44" applyNumberFormat="1" applyFont="1" applyFill="1" applyBorder="1" applyAlignment="1">
      <alignment/>
    </xf>
    <xf numFmtId="175" fontId="4" fillId="0" borderId="0" xfId="44" applyNumberFormat="1" applyFont="1" applyFill="1" applyAlignment="1">
      <alignment horizontal="center"/>
    </xf>
    <xf numFmtId="10" fontId="4" fillId="0" borderId="11" xfId="0" applyNumberFormat="1" applyFont="1" applyFill="1" applyBorder="1" applyAlignment="1">
      <alignment/>
    </xf>
    <xf numFmtId="10" fontId="4" fillId="0" borderId="0" xfId="63" applyNumberFormat="1" applyFont="1" applyFill="1" applyAlignment="1">
      <alignment horizontal="center"/>
    </xf>
    <xf numFmtId="0" fontId="5" fillId="0" borderId="0" xfId="0" applyNumberFormat="1" applyFont="1" applyAlignment="1" applyProtection="1">
      <alignment horizontal="right"/>
      <protection locked="0"/>
    </xf>
    <xf numFmtId="172" fontId="5" fillId="0" borderId="23" xfId="0" applyFont="1" applyBorder="1" applyAlignment="1">
      <alignment/>
    </xf>
    <xf numFmtId="0" fontId="5" fillId="0" borderId="23" xfId="0" applyNumberFormat="1" applyFont="1" applyBorder="1" applyAlignment="1">
      <alignment/>
    </xf>
    <xf numFmtId="0" fontId="5" fillId="0" borderId="23" xfId="0" applyNumberFormat="1" applyFont="1" applyBorder="1" applyAlignment="1" applyProtection="1">
      <alignment horizontal="center"/>
      <protection locked="0"/>
    </xf>
    <xf numFmtId="0" fontId="5" fillId="0" borderId="0" xfId="0" applyNumberFormat="1" applyFont="1" applyBorder="1" applyAlignment="1" applyProtection="1">
      <alignment horizontal="center"/>
      <protection locked="0"/>
    </xf>
    <xf numFmtId="0" fontId="5" fillId="0" borderId="0" xfId="0" applyNumberFormat="1" applyFont="1" applyFill="1" applyAlignment="1">
      <alignment/>
    </xf>
    <xf numFmtId="42" fontId="5" fillId="19" borderId="0" xfId="0" applyNumberFormat="1" applyFont="1" applyFill="1" applyAlignment="1">
      <alignment horizontal="right"/>
    </xf>
    <xf numFmtId="0" fontId="5" fillId="0" borderId="10" xfId="0" applyNumberFormat="1" applyFont="1" applyBorder="1" applyAlignment="1" applyProtection="1">
      <alignment horizontal="centerContinuous"/>
      <protection locked="0"/>
    </xf>
    <xf numFmtId="175" fontId="5" fillId="19" borderId="0" xfId="44" applyNumberFormat="1" applyFont="1" applyFill="1" applyAlignment="1" quotePrefix="1">
      <alignment horizontal="right"/>
    </xf>
    <xf numFmtId="183" fontId="5" fillId="0" borderId="0" xfId="0" applyNumberFormat="1" applyFont="1" applyFill="1" applyAlignment="1">
      <alignment/>
    </xf>
    <xf numFmtId="175" fontId="5" fillId="0" borderId="0" xfId="44" applyNumberFormat="1" applyFont="1" applyFill="1" applyAlignment="1" applyProtection="1">
      <alignment/>
      <protection locked="0"/>
    </xf>
    <xf numFmtId="173" fontId="5" fillId="19" borderId="0" xfId="42" applyNumberFormat="1" applyFont="1" applyFill="1" applyAlignment="1" quotePrefix="1">
      <alignment horizontal="right"/>
    </xf>
    <xf numFmtId="173" fontId="5" fillId="0" borderId="0" xfId="42" applyNumberFormat="1" applyFont="1" applyFill="1" applyAlignment="1" applyProtection="1">
      <alignment/>
      <protection locked="0"/>
    </xf>
    <xf numFmtId="3" fontId="5" fillId="0" borderId="0" xfId="0" applyNumberFormat="1" applyFont="1" applyFill="1" applyBorder="1" applyAlignment="1">
      <alignment/>
    </xf>
    <xf numFmtId="173" fontId="5" fillId="0" borderId="11" xfId="42" applyNumberFormat="1" applyFont="1" applyFill="1" applyBorder="1" applyAlignment="1" applyProtection="1">
      <alignment/>
      <protection locked="0"/>
    </xf>
    <xf numFmtId="175" fontId="5" fillId="0" borderId="0" xfId="0" applyNumberFormat="1" applyFont="1" applyAlignment="1">
      <alignment/>
    </xf>
    <xf numFmtId="3" fontId="5" fillId="0" borderId="0" xfId="0" applyNumberFormat="1" applyFont="1" applyFill="1" applyAlignment="1">
      <alignment horizontal="fill"/>
    </xf>
    <xf numFmtId="3" fontId="5" fillId="0" borderId="0" xfId="0" applyNumberFormat="1" applyFont="1" applyAlignment="1">
      <alignment horizontal="fill"/>
    </xf>
    <xf numFmtId="42" fontId="5" fillId="0" borderId="0" xfId="0" applyNumberFormat="1" applyFont="1" applyFill="1" applyBorder="1" applyAlignment="1" applyProtection="1">
      <alignment horizontal="right"/>
      <protection locked="0"/>
    </xf>
    <xf numFmtId="175" fontId="5" fillId="0" borderId="0" xfId="0" applyNumberFormat="1" applyFont="1" applyFill="1" applyBorder="1" applyAlignment="1" applyProtection="1">
      <alignment horizontal="right"/>
      <protection locked="0"/>
    </xf>
    <xf numFmtId="41" fontId="5" fillId="19" borderId="0" xfId="0" applyNumberFormat="1" applyFont="1" applyFill="1" applyAlignment="1">
      <alignment/>
    </xf>
    <xf numFmtId="3" fontId="5" fillId="0" borderId="0" xfId="0" applyNumberFormat="1" applyFont="1" applyFill="1" applyAlignment="1">
      <alignment/>
    </xf>
    <xf numFmtId="0" fontId="5" fillId="0" borderId="0" xfId="0" applyNumberFormat="1" applyFont="1" applyFill="1" applyBorder="1" applyAlignment="1">
      <alignment/>
    </xf>
    <xf numFmtId="0" fontId="5" fillId="0" borderId="0" xfId="0" applyNumberFormat="1" applyFont="1" applyFill="1" applyAlignment="1" applyProtection="1">
      <alignment horizontal="right"/>
      <protection locked="0"/>
    </xf>
    <xf numFmtId="0" fontId="5" fillId="0" borderId="10" xfId="0" applyNumberFormat="1" applyFont="1" applyFill="1" applyBorder="1" applyAlignment="1">
      <alignment/>
    </xf>
    <xf numFmtId="172" fontId="5" fillId="0" borderId="10" xfId="0" applyFont="1" applyFill="1" applyBorder="1" applyAlignment="1">
      <alignment/>
    </xf>
    <xf numFmtId="174" fontId="5" fillId="0" borderId="0" xfId="44" applyNumberFormat="1" applyFont="1" applyFill="1" applyAlignment="1">
      <alignment/>
    </xf>
    <xf numFmtId="168" fontId="5" fillId="0" borderId="0" xfId="0" applyNumberFormat="1" applyFont="1" applyFill="1" applyAlignment="1">
      <alignment/>
    </xf>
    <xf numFmtId="168" fontId="5" fillId="0" borderId="11" xfId="0" applyNumberFormat="1" applyFont="1" applyFill="1" applyBorder="1" applyAlignment="1">
      <alignment horizontal="center"/>
    </xf>
    <xf numFmtId="172" fontId="5" fillId="0" borderId="11" xfId="0" applyFont="1" applyFill="1" applyBorder="1" applyAlignment="1">
      <alignment horizontal="center"/>
    </xf>
    <xf numFmtId="0" fontId="5" fillId="0" borderId="0" xfId="0" applyNumberFormat="1" applyFont="1" applyFill="1" applyAlignment="1">
      <alignment horizontal="left"/>
    </xf>
    <xf numFmtId="174" fontId="5" fillId="0" borderId="0" xfId="44" applyNumberFormat="1" applyFont="1" applyFill="1" applyAlignment="1">
      <alignment/>
    </xf>
    <xf numFmtId="0" fontId="5" fillId="0" borderId="0" xfId="0" applyNumberFormat="1" applyFont="1" applyFill="1" applyAlignment="1" applyProtection="1">
      <alignment/>
      <protection locked="0"/>
    </xf>
    <xf numFmtId="176" fontId="5" fillId="0" borderId="0" xfId="0" applyNumberFormat="1" applyFont="1" applyFill="1" applyAlignment="1">
      <alignment/>
    </xf>
    <xf numFmtId="169" fontId="5" fillId="0" borderId="0" xfId="0" applyNumberFormat="1" applyFont="1" applyFill="1" applyAlignment="1">
      <alignment/>
    </xf>
    <xf numFmtId="1" fontId="5" fillId="0" borderId="0" xfId="0" applyNumberFormat="1" applyFont="1" applyFill="1" applyAlignment="1">
      <alignment horizontal="center"/>
    </xf>
    <xf numFmtId="0" fontId="5" fillId="0" borderId="0" xfId="0" applyNumberFormat="1" applyFont="1" applyFill="1" applyAlignment="1">
      <alignment horizontal="right"/>
    </xf>
    <xf numFmtId="42" fontId="5" fillId="19" borderId="0" xfId="0" applyNumberFormat="1" applyFont="1" applyFill="1" applyAlignment="1">
      <alignment/>
    </xf>
    <xf numFmtId="175" fontId="5" fillId="0" borderId="0" xfId="44" applyNumberFormat="1" applyFont="1" applyFill="1" applyAlignment="1" applyProtection="1">
      <alignment vertical="center"/>
      <protection locked="0"/>
    </xf>
    <xf numFmtId="0" fontId="5" fillId="0" borderId="0" xfId="0" applyNumberFormat="1" applyFont="1" applyAlignment="1">
      <alignment horizontal="fill"/>
    </xf>
    <xf numFmtId="0" fontId="5" fillId="0" borderId="10" xfId="0" applyNumberFormat="1" applyFont="1" applyBorder="1" applyAlignment="1">
      <alignment/>
    </xf>
    <xf numFmtId="173" fontId="5" fillId="0" borderId="0" xfId="42" applyNumberFormat="1" applyFont="1" applyFill="1" applyAlignment="1">
      <alignment/>
    </xf>
    <xf numFmtId="171" fontId="5" fillId="0" borderId="0" xfId="0" applyNumberFormat="1" applyFont="1" applyAlignment="1">
      <alignment/>
    </xf>
    <xf numFmtId="173" fontId="5" fillId="0" borderId="0" xfId="42" applyNumberFormat="1" applyFont="1" applyBorder="1" applyAlignment="1">
      <alignment/>
    </xf>
    <xf numFmtId="41" fontId="5" fillId="19" borderId="0" xfId="0" applyNumberFormat="1" applyFont="1" applyFill="1" applyBorder="1" applyAlignment="1">
      <alignment/>
    </xf>
    <xf numFmtId="3" fontId="5" fillId="0" borderId="0" xfId="0" applyNumberFormat="1" applyFont="1" applyBorder="1" applyAlignment="1">
      <alignment/>
    </xf>
    <xf numFmtId="165" fontId="5" fillId="0" borderId="0" xfId="0" applyNumberFormat="1" applyFont="1" applyBorder="1" applyAlignment="1">
      <alignment/>
    </xf>
    <xf numFmtId="173" fontId="5" fillId="0" borderId="0" xfId="42" applyNumberFormat="1" applyFont="1" applyFill="1" applyAlignment="1" applyProtection="1">
      <alignment/>
      <protection locked="0"/>
    </xf>
    <xf numFmtId="173" fontId="5" fillId="0" borderId="0" xfId="42" applyNumberFormat="1" applyFont="1" applyFill="1" applyBorder="1" applyAlignment="1" applyProtection="1">
      <alignment/>
      <protection locked="0"/>
    </xf>
    <xf numFmtId="164" fontId="5" fillId="0" borderId="0" xfId="0" applyNumberFormat="1" applyFont="1" applyFill="1" applyAlignment="1" applyProtection="1">
      <alignment horizontal="left"/>
      <protection locked="0"/>
    </xf>
    <xf numFmtId="3" fontId="5" fillId="19" borderId="0" xfId="0" applyNumberFormat="1" applyFont="1" applyFill="1" applyAlignment="1">
      <alignment/>
    </xf>
    <xf numFmtId="0" fontId="5" fillId="0" borderId="0" xfId="0" applyNumberFormat="1" applyFont="1" applyAlignment="1">
      <alignment horizontal="centerContinuous"/>
    </xf>
    <xf numFmtId="41" fontId="5" fillId="0" borderId="0" xfId="0" applyNumberFormat="1" applyFont="1" applyFill="1" applyAlignment="1">
      <alignment/>
    </xf>
    <xf numFmtId="0" fontId="5" fillId="0" borderId="10" xfId="0" applyNumberFormat="1" applyFont="1" applyFill="1" applyBorder="1" applyAlignment="1" applyProtection="1">
      <alignment/>
      <protection locked="0"/>
    </xf>
    <xf numFmtId="0" fontId="5" fillId="0" borderId="10" xfId="0" applyNumberFormat="1" applyFont="1" applyFill="1" applyBorder="1" applyAlignment="1">
      <alignment/>
    </xf>
    <xf numFmtId="175" fontId="5" fillId="19" borderId="10" xfId="44" applyNumberFormat="1" applyFont="1" applyFill="1" applyBorder="1" applyAlignment="1">
      <alignment/>
    </xf>
    <xf numFmtId="175" fontId="5" fillId="19" borderId="10" xfId="44" applyNumberFormat="1" applyFont="1" applyFill="1" applyBorder="1" applyAlignment="1" applyProtection="1">
      <alignment/>
      <protection locked="0"/>
    </xf>
    <xf numFmtId="3" fontId="5" fillId="0" borderId="0" xfId="0" applyNumberFormat="1" applyFont="1" applyFill="1" applyAlignment="1">
      <alignment horizontal="center"/>
    </xf>
    <xf numFmtId="49" fontId="5" fillId="0" borderId="0" xfId="0" applyNumberFormat="1" applyFont="1" applyFill="1" applyAlignment="1">
      <alignment/>
    </xf>
    <xf numFmtId="49" fontId="5" fillId="0" borderId="0" xfId="0" applyNumberFormat="1" applyFont="1" applyFill="1" applyAlignment="1">
      <alignment/>
    </xf>
    <xf numFmtId="49" fontId="5" fillId="0" borderId="0" xfId="0" applyNumberFormat="1" applyFont="1" applyFill="1" applyBorder="1" applyAlignment="1">
      <alignment/>
    </xf>
    <xf numFmtId="49" fontId="5" fillId="0" borderId="0" xfId="0" applyNumberFormat="1" applyFont="1" applyFill="1" applyAlignment="1">
      <alignment horizontal="center"/>
    </xf>
    <xf numFmtId="165" fontId="5" fillId="0" borderId="0" xfId="0" applyNumberFormat="1" applyFont="1" applyFill="1" applyAlignment="1">
      <alignment horizontal="right"/>
    </xf>
    <xf numFmtId="0" fontId="5" fillId="0" borderId="0" xfId="0" applyNumberFormat="1" applyFont="1" applyFill="1" applyAlignment="1">
      <alignment horizontal="center"/>
    </xf>
    <xf numFmtId="165" fontId="5" fillId="0" borderId="0" xfId="0" applyNumberFormat="1" applyFont="1" applyFill="1" applyAlignment="1">
      <alignment/>
    </xf>
    <xf numFmtId="175" fontId="5" fillId="19" borderId="0" xfId="44" applyNumberFormat="1" applyFont="1" applyFill="1" applyAlignment="1" applyProtection="1">
      <alignment/>
      <protection locked="0"/>
    </xf>
    <xf numFmtId="41" fontId="5" fillId="19" borderId="0" xfId="0" applyNumberFormat="1" applyFont="1" applyFill="1" applyAlignment="1">
      <alignment vertical="top"/>
    </xf>
    <xf numFmtId="41" fontId="5" fillId="19" borderId="0" xfId="59" applyNumberFormat="1" applyFont="1" applyFill="1" applyAlignment="1" applyProtection="1">
      <alignment vertical="top"/>
      <protection locked="0"/>
    </xf>
    <xf numFmtId="3" fontId="5" fillId="0" borderId="10" xfId="0" applyNumberFormat="1" applyFont="1" applyFill="1" applyBorder="1" applyAlignment="1">
      <alignment/>
    </xf>
    <xf numFmtId="3" fontId="5" fillId="19" borderId="11" xfId="0" applyNumberFormat="1" applyFont="1" applyFill="1" applyBorder="1" applyAlignment="1">
      <alignment/>
    </xf>
    <xf numFmtId="173" fontId="5" fillId="0" borderId="11" xfId="42" applyNumberFormat="1" applyFont="1" applyBorder="1" applyAlignment="1">
      <alignment/>
    </xf>
    <xf numFmtId="186" fontId="5" fillId="0" borderId="0" xfId="0" applyNumberFormat="1" applyFont="1" applyAlignment="1">
      <alignment/>
    </xf>
    <xf numFmtId="166" fontId="5" fillId="0" borderId="0" xfId="0" applyNumberFormat="1" applyFont="1" applyAlignment="1" applyProtection="1">
      <alignment horizontal="center"/>
      <protection locked="0"/>
    </xf>
    <xf numFmtId="166" fontId="5" fillId="0" borderId="0" xfId="0" applyNumberFormat="1" applyFont="1" applyAlignment="1">
      <alignment horizontal="right"/>
    </xf>
    <xf numFmtId="169" fontId="5" fillId="0" borderId="0" xfId="0" applyNumberFormat="1" applyFont="1" applyAlignment="1">
      <alignment horizontal="left"/>
    </xf>
    <xf numFmtId="0" fontId="5" fillId="0" borderId="0" xfId="0" applyNumberFormat="1" applyFont="1" applyAlignment="1" applyProtection="1" quotePrefix="1">
      <alignment horizontal="right"/>
      <protection locked="0"/>
    </xf>
    <xf numFmtId="185" fontId="5" fillId="0" borderId="0" xfId="0" applyNumberFormat="1" applyFont="1" applyFill="1" applyAlignment="1">
      <alignment/>
    </xf>
    <xf numFmtId="172" fontId="5" fillId="0" borderId="0" xfId="0" applyNumberFormat="1" applyFont="1" applyAlignment="1" applyProtection="1">
      <alignment/>
      <protection locked="0"/>
    </xf>
    <xf numFmtId="172" fontId="5" fillId="0" borderId="0" xfId="0" applyFont="1" applyFill="1" applyAlignment="1" applyProtection="1">
      <alignment/>
      <protection/>
    </xf>
    <xf numFmtId="170" fontId="5" fillId="0" borderId="0" xfId="0" applyNumberFormat="1" applyFont="1" applyAlignment="1" applyProtection="1">
      <alignment horizontal="right"/>
      <protection locked="0"/>
    </xf>
    <xf numFmtId="170" fontId="5" fillId="0" borderId="0" xfId="0" applyNumberFormat="1" applyFont="1" applyAlignment="1" applyProtection="1">
      <alignment/>
      <protection locked="0"/>
    </xf>
    <xf numFmtId="3" fontId="5" fillId="0" borderId="0" xfId="0" applyNumberFormat="1" applyFont="1" applyFill="1" applyAlignment="1" applyProtection="1">
      <alignment/>
      <protection/>
    </xf>
    <xf numFmtId="4" fontId="5" fillId="0" borderId="0" xfId="60" applyNumberFormat="1" applyFont="1" applyFill="1" applyAlignment="1">
      <alignment horizontal="center"/>
      <protection/>
    </xf>
    <xf numFmtId="4" fontId="5" fillId="0" borderId="0" xfId="60" applyNumberFormat="1" applyFont="1" applyFill="1" applyAlignment="1">
      <alignment/>
      <protection/>
    </xf>
    <xf numFmtId="10" fontId="5" fillId="0" borderId="0" xfId="60" applyNumberFormat="1" applyFont="1" applyFill="1" applyAlignment="1">
      <alignment/>
      <protection/>
    </xf>
    <xf numFmtId="4" fontId="5" fillId="0" borderId="0" xfId="60" applyNumberFormat="1" applyFont="1" applyFill="1" applyBorder="1" applyAlignment="1">
      <alignment/>
      <protection/>
    </xf>
    <xf numFmtId="4" fontId="5" fillId="0" borderId="0" xfId="60" applyNumberFormat="1" applyFont="1" applyFill="1" applyAlignment="1">
      <alignment/>
      <protection/>
    </xf>
    <xf numFmtId="3" fontId="5" fillId="0" borderId="0" xfId="60" applyNumberFormat="1" applyFont="1" applyFill="1" applyAlignment="1">
      <alignment horizontal="left"/>
      <protection/>
    </xf>
    <xf numFmtId="172" fontId="5" fillId="0" borderId="0" xfId="0" applyFont="1" applyFill="1" applyAlignment="1">
      <alignment/>
    </xf>
    <xf numFmtId="43" fontId="5" fillId="0" borderId="0" xfId="42" applyFont="1" applyFill="1" applyAlignment="1">
      <alignment/>
    </xf>
    <xf numFmtId="3" fontId="5" fillId="0" borderId="0" xfId="60" applyNumberFormat="1" applyFont="1" applyFill="1" applyAlignment="1">
      <alignment horizontal="left"/>
      <protection/>
    </xf>
    <xf numFmtId="43" fontId="5" fillId="0" borderId="0" xfId="0" applyNumberFormat="1" applyFont="1" applyAlignment="1">
      <alignment/>
    </xf>
    <xf numFmtId="43" fontId="5" fillId="0" borderId="0" xfId="0" applyNumberFormat="1" applyFont="1" applyFill="1" applyBorder="1" applyAlignment="1">
      <alignment/>
    </xf>
    <xf numFmtId="3" fontId="5" fillId="0" borderId="0" xfId="60" applyNumberFormat="1" applyFont="1" applyFill="1" applyBorder="1" applyAlignment="1">
      <alignment horizontal="left"/>
      <protection/>
    </xf>
    <xf numFmtId="3" fontId="5" fillId="0" borderId="0" xfId="60" applyNumberFormat="1" applyFont="1" applyFill="1" applyBorder="1" applyAlignment="1">
      <alignment horizontal="left"/>
      <protection/>
    </xf>
    <xf numFmtId="170" fontId="5" fillId="0" borderId="0" xfId="0" applyNumberFormat="1" applyFont="1" applyFill="1" applyAlignment="1">
      <alignment/>
    </xf>
    <xf numFmtId="172" fontId="44" fillId="18" borderId="13" xfId="0" applyFont="1" applyFill="1" applyBorder="1" applyAlignment="1">
      <alignment/>
    </xf>
    <xf numFmtId="175" fontId="65" fillId="18" borderId="0" xfId="44" applyNumberFormat="1" applyFont="1" applyFill="1" applyBorder="1" applyAlignment="1" applyProtection="1">
      <alignment vertical="center"/>
      <protection locked="0"/>
    </xf>
    <xf numFmtId="175" fontId="65" fillId="0" borderId="0" xfId="0" applyNumberFormat="1" applyFont="1" applyFill="1" applyBorder="1" applyAlignment="1">
      <alignment/>
    </xf>
    <xf numFmtId="175" fontId="65" fillId="18" borderId="20" xfId="44" applyNumberFormat="1" applyFont="1" applyFill="1" applyBorder="1" applyAlignment="1">
      <alignment/>
    </xf>
    <xf numFmtId="10" fontId="10" fillId="0" borderId="0" xfId="63" applyNumberFormat="1" applyFont="1" applyFill="1" applyBorder="1" applyAlignment="1" applyProtection="1">
      <alignment vertical="center"/>
      <protection locked="0"/>
    </xf>
    <xf numFmtId="175" fontId="10" fillId="0" borderId="0" xfId="0" applyNumberFormat="1" applyFont="1" applyFill="1" applyBorder="1" applyAlignment="1">
      <alignment/>
    </xf>
    <xf numFmtId="175" fontId="10" fillId="0" borderId="0" xfId="44" applyNumberFormat="1" applyFont="1" applyFill="1" applyBorder="1" applyAlignment="1">
      <alignment/>
    </xf>
    <xf numFmtId="175" fontId="10" fillId="0" borderId="0" xfId="44" applyNumberFormat="1" applyFont="1" applyFill="1" applyBorder="1" applyAlignment="1" applyProtection="1">
      <alignment vertical="center"/>
      <protection locked="0"/>
    </xf>
    <xf numFmtId="172" fontId="40" fillId="0" borderId="0" xfId="0" applyFont="1" applyBorder="1" applyAlignment="1">
      <alignment/>
    </xf>
    <xf numFmtId="172" fontId="0" fillId="0" borderId="10" xfId="0" applyFont="1" applyBorder="1" applyAlignment="1">
      <alignment/>
    </xf>
    <xf numFmtId="172" fontId="40" fillId="0" borderId="10" xfId="0" applyFont="1" applyBorder="1" applyAlignment="1">
      <alignment horizontal="center"/>
    </xf>
    <xf numFmtId="172" fontId="40" fillId="0" borderId="10" xfId="0" applyFont="1" applyFill="1" applyBorder="1" applyAlignment="1">
      <alignment horizontal="center"/>
    </xf>
    <xf numFmtId="0" fontId="0" fillId="0" borderId="0" xfId="42" applyNumberFormat="1" applyFont="1" applyAlignment="1">
      <alignment/>
    </xf>
    <xf numFmtId="172" fontId="0" fillId="0" borderId="0" xfId="0" applyFont="1" applyFill="1" applyBorder="1" applyAlignment="1">
      <alignment/>
    </xf>
    <xf numFmtId="170" fontId="0" fillId="0" borderId="0" xfId="0" applyNumberFormat="1" applyFont="1" applyBorder="1" applyAlignment="1">
      <alignment/>
    </xf>
    <xf numFmtId="170" fontId="0" fillId="19" borderId="0" xfId="0" applyNumberFormat="1" applyFont="1" applyFill="1" applyBorder="1" applyAlignment="1">
      <alignment/>
    </xf>
    <xf numFmtId="170" fontId="0" fillId="0" borderId="0" xfId="42" applyNumberFormat="1" applyFont="1" applyBorder="1" applyAlignment="1">
      <alignment/>
    </xf>
    <xf numFmtId="0" fontId="0" fillId="0" borderId="0" xfId="0" applyNumberFormat="1" applyFont="1" applyAlignment="1">
      <alignment horizontal="right"/>
    </xf>
    <xf numFmtId="172" fontId="0" fillId="19" borderId="0" xfId="0" applyFont="1" applyFill="1" applyAlignment="1">
      <alignment/>
    </xf>
    <xf numFmtId="0" fontId="0" fillId="0" borderId="0" xfId="0" applyNumberFormat="1" applyFont="1" applyAlignment="1">
      <alignment/>
    </xf>
    <xf numFmtId="178" fontId="0" fillId="0" borderId="0" xfId="42" applyNumberFormat="1" applyFont="1" applyAlignment="1">
      <alignment/>
    </xf>
    <xf numFmtId="173" fontId="0" fillId="0" borderId="0" xfId="42" applyNumberFormat="1" applyFont="1" applyAlignment="1">
      <alignment/>
    </xf>
    <xf numFmtId="41" fontId="5" fillId="0" borderId="0" xfId="59" applyNumberFormat="1" applyFont="1" applyFill="1" applyBorder="1" applyAlignment="1" applyProtection="1">
      <alignment/>
      <protection locked="0"/>
    </xf>
    <xf numFmtId="41" fontId="5" fillId="19" borderId="11" xfId="0" applyNumberFormat="1" applyFont="1" applyFill="1" applyBorder="1" applyAlignment="1">
      <alignment/>
    </xf>
    <xf numFmtId="41" fontId="5" fillId="19" borderId="11" xfId="59" applyNumberFormat="1" applyFont="1" applyFill="1" applyBorder="1" applyAlignment="1" applyProtection="1">
      <alignment/>
      <protection locked="0"/>
    </xf>
    <xf numFmtId="175" fontId="5" fillId="0" borderId="11" xfId="44" applyNumberFormat="1" applyFont="1" applyFill="1" applyBorder="1" applyAlignment="1">
      <alignment/>
    </xf>
    <xf numFmtId="173" fontId="0" fillId="0" borderId="11" xfId="42" applyNumberFormat="1" applyFont="1" applyBorder="1" applyAlignment="1">
      <alignment/>
    </xf>
    <xf numFmtId="175" fontId="5" fillId="19" borderId="0" xfId="59" applyNumberFormat="1" applyFont="1" applyFill="1" applyAlignment="1" applyProtection="1">
      <alignment/>
      <protection locked="0"/>
    </xf>
    <xf numFmtId="173" fontId="5" fillId="19" borderId="0" xfId="42" applyNumberFormat="1" applyFont="1" applyFill="1" applyAlignment="1" applyProtection="1">
      <alignment/>
      <protection locked="0"/>
    </xf>
    <xf numFmtId="173" fontId="5" fillId="19" borderId="11" xfId="42" applyNumberFormat="1" applyFont="1" applyFill="1" applyBorder="1" applyAlignment="1" applyProtection="1">
      <alignment/>
      <protection locked="0"/>
    </xf>
    <xf numFmtId="175" fontId="0" fillId="0" borderId="0" xfId="44" applyNumberFormat="1" applyFont="1" applyAlignment="1">
      <alignment/>
    </xf>
    <xf numFmtId="41" fontId="5" fillId="18" borderId="0" xfId="0" applyNumberFormat="1" applyFont="1" applyFill="1" applyAlignment="1">
      <alignment/>
    </xf>
    <xf numFmtId="172" fontId="0" fillId="0" borderId="12" xfId="0" applyFont="1" applyBorder="1" applyAlignment="1">
      <alignment horizontal="center"/>
    </xf>
    <xf numFmtId="172" fontId="0" fillId="0" borderId="12" xfId="0" applyFont="1" applyBorder="1" applyAlignment="1" quotePrefix="1">
      <alignment horizontal="center"/>
    </xf>
    <xf numFmtId="10" fontId="5" fillId="19" borderId="12" xfId="63" applyNumberFormat="1" applyFont="1" applyFill="1" applyBorder="1" applyAlignment="1">
      <alignment/>
    </xf>
    <xf numFmtId="173" fontId="5" fillId="0" borderId="12" xfId="42" applyNumberFormat="1" applyFont="1" applyBorder="1" applyAlignment="1">
      <alignment/>
    </xf>
    <xf numFmtId="172" fontId="0" fillId="0" borderId="0" xfId="0" applyFont="1" applyAlignment="1">
      <alignment vertical="top"/>
    </xf>
    <xf numFmtId="182" fontId="4" fillId="0" borderId="0" xfId="0" applyNumberFormat="1" applyFont="1" applyFill="1" applyAlignment="1" quotePrefix="1">
      <alignment horizontal="left"/>
    </xf>
    <xf numFmtId="182" fontId="0" fillId="0" borderId="0" xfId="0" applyNumberFormat="1" applyFont="1" applyFill="1" applyAlignment="1" quotePrefix="1">
      <alignment horizontal="left"/>
    </xf>
    <xf numFmtId="172" fontId="5" fillId="0" borderId="0" xfId="0" applyFont="1" applyBorder="1" applyAlignment="1">
      <alignment/>
    </xf>
    <xf numFmtId="41" fontId="5" fillId="20" borderId="0" xfId="0" applyNumberFormat="1" applyFont="1" applyFill="1" applyAlignment="1">
      <alignment/>
    </xf>
    <xf numFmtId="175" fontId="5" fillId="18" borderId="10" xfId="44" applyNumberFormat="1" applyFont="1" applyFill="1" applyBorder="1" applyAlignment="1" applyProtection="1">
      <alignment/>
      <protection locked="0"/>
    </xf>
    <xf numFmtId="41" fontId="5" fillId="0" borderId="0" xfId="59" applyNumberFormat="1" applyFont="1" applyFill="1" applyAlignment="1" applyProtection="1">
      <alignment vertical="center"/>
      <protection locked="0"/>
    </xf>
    <xf numFmtId="41" fontId="5" fillId="0" borderId="0" xfId="59" applyNumberFormat="1" applyFont="1" applyFill="1" applyAlignment="1" applyProtection="1">
      <alignment/>
      <protection locked="0"/>
    </xf>
    <xf numFmtId="41" fontId="5" fillId="0" borderId="0" xfId="0" applyNumberFormat="1" applyFont="1" applyFill="1" applyAlignment="1">
      <alignment vertical="top"/>
    </xf>
    <xf numFmtId="3" fontId="5" fillId="0" borderId="0" xfId="0" applyNumberFormat="1" applyFont="1" applyFill="1" applyAlignment="1">
      <alignment/>
    </xf>
    <xf numFmtId="166" fontId="5" fillId="0" borderId="0" xfId="0" applyNumberFormat="1" applyFont="1" applyAlignment="1">
      <alignment horizontal="left"/>
    </xf>
    <xf numFmtId="0" fontId="5" fillId="0" borderId="0" xfId="0" applyNumberFormat="1" applyFont="1" applyFill="1" applyAlignment="1">
      <alignment/>
    </xf>
    <xf numFmtId="175" fontId="5" fillId="0" borderId="0" xfId="44" applyNumberFormat="1" applyFont="1" applyFill="1" applyBorder="1" applyAlignment="1" applyProtection="1">
      <alignment/>
      <protection locked="0"/>
    </xf>
    <xf numFmtId="172" fontId="5" fillId="0" borderId="0" xfId="0" applyFont="1" applyFill="1" applyAlignment="1">
      <alignment/>
    </xf>
    <xf numFmtId="0" fontId="10" fillId="0" borderId="0" xfId="58" applyFont="1" applyAlignment="1">
      <alignment wrapText="1"/>
      <protection/>
    </xf>
    <xf numFmtId="176" fontId="10" fillId="18" borderId="0" xfId="63" applyNumberFormat="1" applyFont="1" applyFill="1" applyAlignment="1">
      <alignment wrapText="1"/>
    </xf>
    <xf numFmtId="176" fontId="10" fillId="18" borderId="11" xfId="63" applyNumberFormat="1" applyFont="1" applyFill="1" applyBorder="1" applyAlignment="1">
      <alignment wrapText="1"/>
    </xf>
    <xf numFmtId="0" fontId="1" fillId="0" borderId="11" xfId="58" applyFont="1" applyFill="1" applyBorder="1" applyAlignment="1">
      <alignment horizontal="left"/>
      <protection/>
    </xf>
    <xf numFmtId="0" fontId="10" fillId="0" borderId="11" xfId="58" applyFont="1" applyFill="1" applyBorder="1" applyAlignment="1">
      <alignment horizontal="center"/>
      <protection/>
    </xf>
    <xf numFmtId="0" fontId="10" fillId="0" borderId="11" xfId="58" applyFont="1" applyBorder="1" applyAlignment="1">
      <alignment wrapText="1"/>
      <protection/>
    </xf>
    <xf numFmtId="0" fontId="1" fillId="0" borderId="11" xfId="58" applyFont="1" applyBorder="1" applyAlignment="1">
      <alignment horizontal="left"/>
      <protection/>
    </xf>
    <xf numFmtId="0" fontId="10" fillId="0" borderId="11" xfId="58" applyFont="1" applyFill="1" applyBorder="1">
      <alignment/>
      <protection/>
    </xf>
    <xf numFmtId="42" fontId="5" fillId="0" borderId="0" xfId="0" applyNumberFormat="1" applyFont="1" applyAlignment="1">
      <alignment/>
    </xf>
    <xf numFmtId="172" fontId="7" fillId="0" borderId="11" xfId="0" applyFont="1" applyFill="1" applyBorder="1" applyAlignment="1">
      <alignment horizontal="center"/>
    </xf>
    <xf numFmtId="172" fontId="4" fillId="18" borderId="11" xfId="0" applyFont="1" applyFill="1" applyBorder="1" applyAlignment="1">
      <alignment/>
    </xf>
    <xf numFmtId="175" fontId="4" fillId="18" borderId="11" xfId="44" applyNumberFormat="1" applyFont="1" applyFill="1" applyBorder="1" applyAlignment="1">
      <alignment/>
    </xf>
    <xf numFmtId="176" fontId="4" fillId="0" borderId="11" xfId="0" applyNumberFormat="1" applyFont="1" applyFill="1" applyBorder="1" applyAlignment="1">
      <alignment/>
    </xf>
    <xf numFmtId="10" fontId="4" fillId="0" borderId="11" xfId="63" applyNumberFormat="1" applyFont="1" applyFill="1" applyBorder="1" applyAlignment="1">
      <alignment/>
    </xf>
    <xf numFmtId="10" fontId="4" fillId="0" borderId="11" xfId="0" applyNumberFormat="1" applyFont="1" applyFill="1" applyBorder="1" applyAlignment="1" quotePrefix="1">
      <alignment horizontal="center"/>
    </xf>
    <xf numFmtId="172" fontId="4" fillId="0" borderId="11" xfId="0" applyFont="1" applyFill="1" applyBorder="1" applyAlignment="1">
      <alignment/>
    </xf>
    <xf numFmtId="172" fontId="64" fillId="0" borderId="11" xfId="0" applyFont="1" applyFill="1" applyBorder="1" applyAlignment="1">
      <alignment/>
    </xf>
    <xf numFmtId="175" fontId="4" fillId="0" borderId="11" xfId="44" applyNumberFormat="1" applyFont="1" applyFill="1" applyBorder="1" applyAlignment="1">
      <alignment horizontal="center"/>
    </xf>
    <xf numFmtId="172" fontId="4" fillId="0" borderId="24" xfId="0" applyFont="1" applyFill="1" applyBorder="1" applyAlignment="1">
      <alignment/>
    </xf>
    <xf numFmtId="175" fontId="4" fillId="0" borderId="24" xfId="44" applyNumberFormat="1" applyFont="1" applyFill="1" applyBorder="1" applyAlignment="1">
      <alignment/>
    </xf>
    <xf numFmtId="10" fontId="4" fillId="0" borderId="11" xfId="63" applyNumberFormat="1" applyFont="1" applyFill="1" applyBorder="1" applyAlignment="1">
      <alignment horizontal="center"/>
    </xf>
    <xf numFmtId="172" fontId="4" fillId="0" borderId="0" xfId="0" applyFont="1" applyFill="1" applyBorder="1" applyAlignment="1">
      <alignment horizontal="center"/>
    </xf>
    <xf numFmtId="0" fontId="1" fillId="0" borderId="0" xfId="58" applyFont="1" applyFill="1" applyBorder="1" applyAlignment="1">
      <alignment horizontal="center" wrapText="1"/>
      <protection/>
    </xf>
    <xf numFmtId="43" fontId="5" fillId="18" borderId="0" xfId="0" applyNumberFormat="1" applyFont="1" applyFill="1" applyAlignment="1">
      <alignment/>
    </xf>
    <xf numFmtId="43" fontId="5" fillId="18" borderId="0" xfId="0" applyNumberFormat="1" applyFont="1" applyFill="1" applyBorder="1" applyAlignment="1">
      <alignment/>
    </xf>
    <xf numFmtId="0" fontId="10" fillId="0" borderId="0" xfId="57" applyFont="1" applyAlignment="1">
      <alignment/>
      <protection/>
    </xf>
    <xf numFmtId="0" fontId="10" fillId="0" borderId="0" xfId="57" applyFont="1" applyAlignment="1">
      <alignment wrapText="1"/>
      <protection/>
    </xf>
    <xf numFmtId="41" fontId="18" fillId="0" borderId="0" xfId="57" applyNumberFormat="1" applyFont="1" applyAlignment="1">
      <alignment horizontal="center"/>
      <protection/>
    </xf>
    <xf numFmtId="170" fontId="4" fillId="0" borderId="22" xfId="0" applyNumberFormat="1" applyFont="1" applyBorder="1" applyAlignment="1">
      <alignment/>
    </xf>
    <xf numFmtId="173" fontId="0" fillId="0" borderId="0" xfId="42" applyNumberFormat="1" applyFont="1" applyBorder="1" applyAlignment="1">
      <alignment horizontal="left"/>
    </xf>
    <xf numFmtId="170" fontId="4" fillId="18" borderId="0" xfId="0" applyNumberFormat="1" applyFont="1" applyFill="1" applyAlignment="1">
      <alignment/>
    </xf>
    <xf numFmtId="176" fontId="4" fillId="19" borderId="11" xfId="63" applyNumberFormat="1" applyFont="1" applyFill="1" applyBorder="1" applyAlignment="1">
      <alignment/>
    </xf>
    <xf numFmtId="170" fontId="4" fillId="18" borderId="11" xfId="0" applyNumberFormat="1" applyFont="1" applyFill="1" applyBorder="1" applyAlignment="1">
      <alignment/>
    </xf>
    <xf numFmtId="170" fontId="4" fillId="0" borderId="26" xfId="0" applyNumberFormat="1" applyFont="1" applyBorder="1" applyAlignment="1">
      <alignment/>
    </xf>
    <xf numFmtId="41" fontId="17" fillId="0" borderId="0" xfId="57" applyNumberFormat="1" applyFont="1" applyFill="1" applyAlignment="1">
      <alignment horizontal="left"/>
      <protection/>
    </xf>
    <xf numFmtId="41" fontId="13" fillId="0" borderId="0" xfId="57" applyNumberFormat="1" applyFont="1" applyFill="1" applyAlignment="1">
      <alignment horizontal="left"/>
      <protection/>
    </xf>
    <xf numFmtId="41" fontId="5" fillId="0" borderId="0" xfId="57" applyNumberFormat="1" applyFont="1" applyAlignment="1">
      <alignment horizontal="right"/>
      <protection/>
    </xf>
    <xf numFmtId="41" fontId="10" fillId="0" borderId="0" xfId="57" applyNumberFormat="1" applyFont="1">
      <alignment/>
      <protection/>
    </xf>
    <xf numFmtId="0" fontId="10" fillId="0" borderId="0" xfId="57" applyNumberFormat="1" applyFont="1">
      <alignment/>
      <protection/>
    </xf>
    <xf numFmtId="0" fontId="13" fillId="0" borderId="0" xfId="57" applyNumberFormat="1" applyFont="1" applyFill="1" applyAlignment="1">
      <alignment horizontal="center"/>
      <protection/>
    </xf>
    <xf numFmtId="0" fontId="3" fillId="0" borderId="0" xfId="57" applyNumberFormat="1" applyFont="1">
      <alignment/>
      <protection/>
    </xf>
    <xf numFmtId="41" fontId="5" fillId="0" borderId="0" xfId="57" applyNumberFormat="1" applyFont="1" applyAlignment="1">
      <alignment horizontal="left"/>
      <protection/>
    </xf>
    <xf numFmtId="41" fontId="7" fillId="0" borderId="0" xfId="57" applyNumberFormat="1" applyFont="1">
      <alignment/>
      <protection/>
    </xf>
    <xf numFmtId="41" fontId="5" fillId="0" borderId="0" xfId="57" applyNumberFormat="1" applyFont="1">
      <alignment/>
      <protection/>
    </xf>
    <xf numFmtId="0" fontId="5" fillId="0" borderId="0" xfId="57" applyNumberFormat="1" applyFont="1" applyAlignment="1">
      <alignment horizontal="center"/>
      <protection/>
    </xf>
    <xf numFmtId="0" fontId="5" fillId="0" borderId="0" xfId="57" applyNumberFormat="1" applyFont="1">
      <alignment/>
      <protection/>
    </xf>
    <xf numFmtId="41" fontId="5" fillId="0" borderId="0" xfId="57" applyNumberFormat="1" applyFont="1" applyAlignment="1">
      <alignment horizontal="left"/>
      <protection/>
    </xf>
    <xf numFmtId="0" fontId="5" fillId="0" borderId="0" xfId="42" applyNumberFormat="1" applyFont="1" applyAlignment="1">
      <alignment/>
    </xf>
    <xf numFmtId="41" fontId="17" fillId="0" borderId="0" xfId="57" applyNumberFormat="1" applyFont="1" applyAlignment="1">
      <alignment horizontal="left"/>
      <protection/>
    </xf>
    <xf numFmtId="41" fontId="17" fillId="0" borderId="0" xfId="0" applyNumberFormat="1" applyFont="1" applyAlignment="1">
      <alignment/>
    </xf>
    <xf numFmtId="41" fontId="10" fillId="0" borderId="0" xfId="57" applyNumberFormat="1" applyFont="1">
      <alignment/>
      <protection/>
    </xf>
    <xf numFmtId="41" fontId="10" fillId="0" borderId="0" xfId="57" applyNumberFormat="1" applyFont="1" applyAlignment="1">
      <alignment horizontal="left"/>
      <protection/>
    </xf>
    <xf numFmtId="0" fontId="5" fillId="0" borderId="0" xfId="57" applyNumberFormat="1" applyFont="1" applyAlignment="1">
      <alignment horizontal="right"/>
      <protection/>
    </xf>
    <xf numFmtId="41" fontId="3" fillId="0" borderId="0" xfId="57" applyNumberFormat="1" applyFont="1">
      <alignment/>
      <protection/>
    </xf>
    <xf numFmtId="0" fontId="13" fillId="0" borderId="0" xfId="57" applyNumberFormat="1" applyFont="1" applyAlignment="1">
      <alignment horizontal="center"/>
      <protection/>
    </xf>
    <xf numFmtId="41" fontId="10" fillId="0" borderId="0" xfId="57" applyNumberFormat="1" applyFont="1" applyFill="1">
      <alignment/>
      <protection/>
    </xf>
    <xf numFmtId="41" fontId="10" fillId="0" borderId="0" xfId="57" applyNumberFormat="1" applyFont="1" applyFill="1">
      <alignment/>
      <protection/>
    </xf>
    <xf numFmtId="41" fontId="5" fillId="0" borderId="0" xfId="57" applyNumberFormat="1" applyFont="1" applyAlignment="1">
      <alignment vertical="center"/>
      <protection/>
    </xf>
    <xf numFmtId="41" fontId="5" fillId="0" borderId="0" xfId="57" applyNumberFormat="1" applyFont="1" applyFill="1" applyBorder="1" applyAlignment="1">
      <alignment vertical="center"/>
      <protection/>
    </xf>
    <xf numFmtId="41" fontId="5" fillId="0" borderId="0" xfId="57" applyNumberFormat="1" applyFont="1" applyBorder="1" applyAlignment="1">
      <alignment vertical="center"/>
      <protection/>
    </xf>
    <xf numFmtId="0" fontId="5" fillId="0" borderId="0" xfId="57" applyNumberFormat="1" applyFont="1" applyAlignment="1">
      <alignment vertical="center"/>
      <protection/>
    </xf>
    <xf numFmtId="41" fontId="5" fillId="0" borderId="0" xfId="57" applyNumberFormat="1" applyFont="1" applyAlignment="1">
      <alignment vertical="center"/>
      <protection/>
    </xf>
    <xf numFmtId="41" fontId="5" fillId="0" borderId="0" xfId="57" applyNumberFormat="1" applyFont="1" applyBorder="1" applyAlignment="1">
      <alignment vertical="center"/>
      <protection/>
    </xf>
    <xf numFmtId="41" fontId="5" fillId="0" borderId="0" xfId="57" applyNumberFormat="1" applyFont="1" applyFill="1" applyAlignment="1">
      <alignment vertical="center"/>
      <protection/>
    </xf>
    <xf numFmtId="0" fontId="5" fillId="0" borderId="0" xfId="57" applyNumberFormat="1" applyFont="1" applyAlignment="1">
      <alignment vertical="center"/>
      <protection/>
    </xf>
    <xf numFmtId="41" fontId="34" fillId="0" borderId="0" xfId="57" applyNumberFormat="1" applyFont="1" applyFill="1" applyAlignment="1">
      <alignment vertical="center"/>
      <protection/>
    </xf>
    <xf numFmtId="41" fontId="10" fillId="0" borderId="0" xfId="57" applyNumberFormat="1" applyFont="1" applyBorder="1">
      <alignment/>
      <protection/>
    </xf>
    <xf numFmtId="0" fontId="10" fillId="0" borderId="0" xfId="57" applyNumberFormat="1" applyFont="1" applyAlignment="1">
      <alignment wrapText="1"/>
      <protection/>
    </xf>
    <xf numFmtId="41" fontId="34" fillId="0" borderId="0" xfId="57" applyNumberFormat="1" applyFont="1" applyAlignment="1">
      <alignment horizontal="left"/>
      <protection/>
    </xf>
    <xf numFmtId="41" fontId="34" fillId="0" borderId="0" xfId="57" applyNumberFormat="1" applyFont="1" applyBorder="1">
      <alignment/>
      <protection/>
    </xf>
    <xf numFmtId="41" fontId="5" fillId="0" borderId="0" xfId="57" applyNumberFormat="1" applyFont="1" applyBorder="1">
      <alignment/>
      <protection/>
    </xf>
    <xf numFmtId="41" fontId="5" fillId="0" borderId="0" xfId="57" applyNumberFormat="1" applyFont="1" applyFill="1">
      <alignment/>
      <protection/>
    </xf>
    <xf numFmtId="0" fontId="5" fillId="0" borderId="0" xfId="57" applyNumberFormat="1" applyFont="1" applyAlignment="1">
      <alignment wrapText="1"/>
      <protection/>
    </xf>
    <xf numFmtId="41" fontId="7" fillId="0" borderId="0" xfId="57" applyNumberFormat="1" applyFont="1" applyBorder="1">
      <alignment/>
      <protection/>
    </xf>
    <xf numFmtId="175" fontId="5" fillId="0" borderId="0" xfId="57" applyNumberFormat="1" applyFont="1">
      <alignment/>
      <protection/>
    </xf>
    <xf numFmtId="175" fontId="5" fillId="0" borderId="0" xfId="57" applyNumberFormat="1" applyFont="1" applyFill="1">
      <alignment/>
      <protection/>
    </xf>
    <xf numFmtId="0" fontId="5" fillId="0" borderId="0" xfId="42" applyNumberFormat="1" applyFont="1" applyAlignment="1">
      <alignment wrapText="1"/>
    </xf>
    <xf numFmtId="41" fontId="7" fillId="0" borderId="0" xfId="57" applyNumberFormat="1" applyFont="1" applyFill="1" applyBorder="1">
      <alignment/>
      <protection/>
    </xf>
    <xf numFmtId="41" fontId="1" fillId="0" borderId="0" xfId="57" applyNumberFormat="1" applyFont="1" applyFill="1" applyBorder="1">
      <alignment/>
      <protection/>
    </xf>
    <xf numFmtId="41" fontId="10" fillId="0" borderId="0" xfId="57" applyNumberFormat="1" applyFont="1" applyFill="1" applyAlignment="1">
      <alignment horizontal="center"/>
      <protection/>
    </xf>
    <xf numFmtId="41" fontId="1" fillId="0" borderId="0" xfId="57" applyNumberFormat="1" applyFont="1">
      <alignment/>
      <protection/>
    </xf>
    <xf numFmtId="41" fontId="7" fillId="0" borderId="0" xfId="57" applyNumberFormat="1" applyFont="1" applyFill="1" applyBorder="1" applyAlignment="1">
      <alignment horizontal="left"/>
      <protection/>
    </xf>
    <xf numFmtId="41" fontId="13" fillId="0" borderId="0" xfId="57" applyNumberFormat="1" applyFont="1">
      <alignment/>
      <protection/>
    </xf>
    <xf numFmtId="41" fontId="13" fillId="0" borderId="0" xfId="57" applyNumberFormat="1" applyFont="1" applyFill="1" applyAlignment="1">
      <alignment horizontal="center"/>
      <protection/>
    </xf>
    <xf numFmtId="41" fontId="34" fillId="0" borderId="0" xfId="57" applyNumberFormat="1" applyFont="1">
      <alignment/>
      <protection/>
    </xf>
    <xf numFmtId="0" fontId="5" fillId="0" borderId="0" xfId="57" applyNumberFormat="1" applyFont="1">
      <alignment/>
      <protection/>
    </xf>
    <xf numFmtId="41" fontId="5" fillId="0" borderId="0" xfId="57" applyNumberFormat="1" applyFont="1">
      <alignment/>
      <protection/>
    </xf>
    <xf numFmtId="41" fontId="5" fillId="0" borderId="0" xfId="57" applyNumberFormat="1" applyFont="1" applyFill="1">
      <alignment/>
      <protection/>
    </xf>
    <xf numFmtId="175" fontId="5" fillId="0" borderId="0" xfId="42" applyNumberFormat="1" applyFont="1" applyFill="1" applyAlignment="1">
      <alignment horizontal="right"/>
    </xf>
    <xf numFmtId="41" fontId="66" fillId="0" borderId="0" xfId="57" applyNumberFormat="1" applyFont="1" applyFill="1" applyBorder="1" applyAlignment="1">
      <alignment horizontal="left"/>
      <protection/>
    </xf>
    <xf numFmtId="0" fontId="10" fillId="0" borderId="0" xfId="57" applyFont="1" applyFill="1" applyAlignment="1">
      <alignment horizontal="center"/>
      <protection/>
    </xf>
    <xf numFmtId="41" fontId="5" fillId="0" borderId="0" xfId="57" applyNumberFormat="1" applyFont="1" applyFill="1" applyAlignment="1">
      <alignment horizontal="left"/>
      <protection/>
    </xf>
    <xf numFmtId="41" fontId="7" fillId="0" borderId="0" xfId="57" applyNumberFormat="1" applyFont="1" applyFill="1">
      <alignment/>
      <protection/>
    </xf>
    <xf numFmtId="41" fontId="5" fillId="0" borderId="0" xfId="57" applyNumberFormat="1" applyFont="1" applyFill="1">
      <alignment/>
      <protection/>
    </xf>
    <xf numFmtId="175" fontId="5" fillId="0" borderId="0" xfId="57" applyNumberFormat="1" applyFont="1" applyFill="1">
      <alignment/>
      <protection/>
    </xf>
    <xf numFmtId="175" fontId="5" fillId="0" borderId="0" xfId="42" applyNumberFormat="1" applyFont="1" applyFill="1" applyAlignment="1">
      <alignment/>
    </xf>
    <xf numFmtId="176" fontId="5" fillId="0" borderId="0" xfId="63" applyNumberFormat="1" applyFont="1" applyFill="1" applyAlignment="1">
      <alignment/>
    </xf>
    <xf numFmtId="0" fontId="10" fillId="0" borderId="0" xfId="57" applyFont="1" applyAlignment="1">
      <alignment horizontal="left"/>
      <protection/>
    </xf>
    <xf numFmtId="0" fontId="5" fillId="0" borderId="0" xfId="57" applyFont="1" applyAlignment="1">
      <alignment horizontal="right" vertical="center"/>
      <protection/>
    </xf>
    <xf numFmtId="0" fontId="5" fillId="0" borderId="0" xfId="57" applyFont="1" applyAlignment="1">
      <alignment horizontal="right"/>
      <protection/>
    </xf>
    <xf numFmtId="0" fontId="10" fillId="0" borderId="0" xfId="57" applyFont="1" applyAlignment="1">
      <alignment horizontal="center"/>
      <protection/>
    </xf>
    <xf numFmtId="0" fontId="10" fillId="0" borderId="0" xfId="57" applyFont="1" applyAlignment="1">
      <alignment vertical="center"/>
      <protection/>
    </xf>
    <xf numFmtId="0" fontId="5" fillId="0" borderId="0" xfId="57" applyFont="1">
      <alignment/>
      <protection/>
    </xf>
    <xf numFmtId="0" fontId="10" fillId="0" borderId="0" xfId="57" applyFont="1">
      <alignment/>
      <protection/>
    </xf>
    <xf numFmtId="0" fontId="10" fillId="0" borderId="0" xfId="57" applyFont="1" applyFill="1">
      <alignment/>
      <protection/>
    </xf>
    <xf numFmtId="0" fontId="10" fillId="0" borderId="0" xfId="57" applyFont="1" applyFill="1">
      <alignment/>
      <protection/>
    </xf>
    <xf numFmtId="0" fontId="10" fillId="0" borderId="0" xfId="57" applyFont="1">
      <alignment/>
      <protection/>
    </xf>
    <xf numFmtId="0" fontId="5" fillId="0" borderId="0" xfId="57" applyFont="1" applyAlignment="1">
      <alignment horizontal="left" vertical="center"/>
      <protection/>
    </xf>
    <xf numFmtId="0" fontId="7" fillId="0" borderId="0" xfId="57" applyFont="1" applyBorder="1" applyAlignment="1">
      <alignment horizontal="left" vertical="center"/>
      <protection/>
    </xf>
    <xf numFmtId="0" fontId="7" fillId="0" borderId="0" xfId="57" applyFont="1" applyFill="1" applyBorder="1" applyAlignment="1">
      <alignment horizontal="left" vertical="center"/>
      <protection/>
    </xf>
    <xf numFmtId="173" fontId="5" fillId="0" borderId="0" xfId="57" applyNumberFormat="1" applyFont="1" applyAlignment="1">
      <alignment vertical="center"/>
      <protection/>
    </xf>
    <xf numFmtId="37" fontId="5" fillId="0" borderId="0" xfId="57" applyNumberFormat="1" applyFont="1" applyAlignment="1">
      <alignment vertical="center"/>
      <protection/>
    </xf>
    <xf numFmtId="0" fontId="67" fillId="0" borderId="0" xfId="57" applyFont="1" applyFill="1" applyBorder="1" applyAlignment="1">
      <alignment horizontal="left" vertical="center"/>
      <protection/>
    </xf>
    <xf numFmtId="0" fontId="67" fillId="0" borderId="0" xfId="57" applyFont="1" applyFill="1" applyBorder="1" applyAlignment="1">
      <alignment vertical="center"/>
      <protection/>
    </xf>
    <xf numFmtId="0" fontId="10" fillId="0" borderId="0" xfId="57" applyFont="1" applyFill="1">
      <alignment/>
      <protection/>
    </xf>
    <xf numFmtId="0" fontId="7" fillId="0" borderId="0" xfId="57" applyFont="1" applyBorder="1" applyAlignment="1">
      <alignment vertical="center"/>
      <protection/>
    </xf>
    <xf numFmtId="0" fontId="7" fillId="0" borderId="0" xfId="57" applyFont="1" applyFill="1" applyBorder="1" applyAlignment="1">
      <alignment vertical="center"/>
      <protection/>
    </xf>
    <xf numFmtId="0" fontId="5" fillId="0" borderId="0" xfId="57" applyFont="1" applyAlignment="1">
      <alignment vertical="center"/>
      <protection/>
    </xf>
    <xf numFmtId="0" fontId="68" fillId="0" borderId="0" xfId="57" applyFont="1" applyFill="1" applyBorder="1" applyAlignment="1">
      <alignment vertical="center"/>
      <protection/>
    </xf>
    <xf numFmtId="0" fontId="7" fillId="0" borderId="0" xfId="57" applyFont="1" applyBorder="1">
      <alignment/>
      <protection/>
    </xf>
    <xf numFmtId="0" fontId="7" fillId="0" borderId="0" xfId="57" applyFont="1" applyFill="1" applyBorder="1">
      <alignment/>
      <protection/>
    </xf>
    <xf numFmtId="0" fontId="66" fillId="0" borderId="0" xfId="57" applyFont="1" applyFill="1" applyBorder="1">
      <alignment/>
      <protection/>
    </xf>
    <xf numFmtId="37" fontId="10" fillId="0" borderId="0" xfId="57" applyNumberFormat="1" applyFont="1" applyFill="1">
      <alignment/>
      <protection/>
    </xf>
    <xf numFmtId="0" fontId="66" fillId="0" borderId="0" xfId="57" applyFont="1" applyFill="1" applyBorder="1" applyAlignment="1">
      <alignment horizontal="left"/>
      <protection/>
    </xf>
    <xf numFmtId="172" fontId="0" fillId="0" borderId="0" xfId="0" applyFont="1" applyAlignment="1">
      <alignment horizontal="right"/>
    </xf>
    <xf numFmtId="172" fontId="5" fillId="0" borderId="0" xfId="0" applyFont="1" applyAlignment="1" quotePrefix="1">
      <alignment horizontal="left"/>
    </xf>
    <xf numFmtId="172" fontId="5" fillId="0" borderId="0" xfId="0" applyFont="1" applyAlignment="1">
      <alignment horizontal="left"/>
    </xf>
    <xf numFmtId="164" fontId="5" fillId="19" borderId="0" xfId="63" applyNumberFormat="1" applyFont="1" applyFill="1" applyAlignment="1">
      <alignment/>
    </xf>
    <xf numFmtId="175" fontId="5" fillId="18" borderId="0" xfId="44" applyNumberFormat="1" applyFont="1" applyFill="1" applyAlignment="1">
      <alignment/>
    </xf>
    <xf numFmtId="41" fontId="5" fillId="18" borderId="0" xfId="42" applyNumberFormat="1" applyFont="1" applyFill="1" applyAlignment="1">
      <alignment/>
    </xf>
    <xf numFmtId="172" fontId="69" fillId="0" borderId="0" xfId="0" applyFont="1" applyAlignment="1">
      <alignment/>
    </xf>
    <xf numFmtId="172" fontId="70" fillId="0" borderId="0" xfId="0" applyFont="1" applyAlignment="1">
      <alignment/>
    </xf>
    <xf numFmtId="1" fontId="70" fillId="0" borderId="0" xfId="0" applyNumberFormat="1" applyFont="1" applyAlignment="1">
      <alignment horizontal="center"/>
    </xf>
    <xf numFmtId="177" fontId="5" fillId="0" borderId="0" xfId="0" applyNumberFormat="1" applyFont="1" applyFill="1" applyBorder="1" applyAlignment="1" applyProtection="1">
      <alignment/>
      <protection locked="0"/>
    </xf>
    <xf numFmtId="172" fontId="17" fillId="0" borderId="0" xfId="0" applyFont="1" applyFill="1" applyAlignment="1">
      <alignment horizontal="center"/>
    </xf>
    <xf numFmtId="172" fontId="0" fillId="0" borderId="0" xfId="0" applyFont="1" applyFill="1" applyAlignment="1">
      <alignment horizontal="center"/>
    </xf>
    <xf numFmtId="41" fontId="10" fillId="18" borderId="0" xfId="0" applyNumberFormat="1" applyFont="1" applyFill="1" applyAlignment="1">
      <alignment/>
    </xf>
    <xf numFmtId="10" fontId="10" fillId="0" borderId="0" xfId="63" applyNumberFormat="1" applyFont="1" applyAlignment="1">
      <alignment/>
    </xf>
    <xf numFmtId="170" fontId="1" fillId="0" borderId="0" xfId="0" applyNumberFormat="1" applyFont="1" applyFill="1" applyAlignment="1">
      <alignment/>
    </xf>
    <xf numFmtId="175" fontId="1" fillId="0" borderId="26" xfId="44" applyNumberFormat="1" applyFont="1" applyFill="1" applyBorder="1" applyAlignment="1">
      <alignment/>
    </xf>
    <xf numFmtId="170" fontId="10" fillId="0" borderId="0" xfId="0" applyNumberFormat="1" applyFont="1" applyAlignment="1">
      <alignment/>
    </xf>
    <xf numFmtId="172" fontId="5" fillId="0" borderId="0" xfId="0" applyFont="1" applyFill="1" applyAlignment="1">
      <alignment horizontal="centerContinuous"/>
    </xf>
    <xf numFmtId="172" fontId="5" fillId="0" borderId="0" xfId="0" applyFont="1" applyFill="1" applyAlignment="1">
      <alignment wrapText="1"/>
    </xf>
    <xf numFmtId="175" fontId="5" fillId="18" borderId="0" xfId="44" applyNumberFormat="1" applyFont="1" applyFill="1" applyBorder="1" applyAlignment="1" applyProtection="1">
      <alignment/>
      <protection/>
    </xf>
    <xf numFmtId="0" fontId="7" fillId="0" borderId="0" xfId="0" applyNumberFormat="1" applyFont="1" applyFill="1" applyAlignment="1" applyProtection="1">
      <alignment/>
      <protection locked="0"/>
    </xf>
    <xf numFmtId="175" fontId="5" fillId="0" borderId="0" xfId="44" applyNumberFormat="1" applyFont="1" applyFill="1" applyBorder="1" applyAlignment="1" applyProtection="1">
      <alignment/>
      <protection/>
    </xf>
    <xf numFmtId="0" fontId="5" fillId="0" borderId="0" xfId="0" applyNumberFormat="1" applyFont="1" applyFill="1" applyAlignment="1" applyProtection="1" quotePrefix="1">
      <alignment/>
      <protection locked="0"/>
    </xf>
    <xf numFmtId="175" fontId="5" fillId="18" borderId="11" xfId="44" applyNumberFormat="1" applyFont="1" applyFill="1" applyBorder="1" applyAlignment="1" applyProtection="1">
      <alignment/>
      <protection/>
    </xf>
    <xf numFmtId="175" fontId="5" fillId="0" borderId="11" xfId="44" applyNumberFormat="1" applyFont="1" applyFill="1" applyBorder="1" applyAlignment="1">
      <alignment/>
    </xf>
    <xf numFmtId="3" fontId="5" fillId="0" borderId="0" xfId="0" applyNumberFormat="1" applyFont="1" applyFill="1" applyBorder="1" applyAlignment="1" applyProtection="1">
      <alignment/>
      <protection/>
    </xf>
    <xf numFmtId="175" fontId="5" fillId="18" borderId="0" xfId="44" applyNumberFormat="1" applyFont="1" applyFill="1" applyBorder="1" applyAlignment="1" applyProtection="1">
      <alignment/>
      <protection/>
    </xf>
    <xf numFmtId="177" fontId="5" fillId="0" borderId="11" xfId="0" applyNumberFormat="1" applyFont="1" applyFill="1" applyBorder="1" applyAlignment="1">
      <alignment/>
    </xf>
    <xf numFmtId="37" fontId="5" fillId="18" borderId="0" xfId="0" applyNumberFormat="1" applyFont="1" applyFill="1" applyAlignment="1">
      <alignment/>
    </xf>
    <xf numFmtId="37" fontId="5" fillId="18" borderId="11" xfId="0" applyNumberFormat="1" applyFont="1" applyFill="1" applyBorder="1" applyAlignment="1">
      <alignment/>
    </xf>
    <xf numFmtId="177" fontId="5" fillId="0" borderId="11" xfId="0" applyNumberFormat="1" applyFont="1" applyFill="1" applyBorder="1" applyAlignment="1">
      <alignment/>
    </xf>
    <xf numFmtId="177" fontId="5" fillId="0" borderId="11" xfId="0" applyNumberFormat="1" applyFont="1" applyFill="1" applyBorder="1" applyAlignment="1" applyProtection="1">
      <alignment/>
      <protection locked="0"/>
    </xf>
    <xf numFmtId="170" fontId="5" fillId="0" borderId="0" xfId="0" applyNumberFormat="1" applyFont="1" applyFill="1" applyBorder="1" applyAlignment="1" applyProtection="1">
      <alignment/>
      <protection/>
    </xf>
    <xf numFmtId="172" fontId="27" fillId="0" borderId="0" xfId="0" applyFont="1" applyAlignment="1">
      <alignment horizontal="center"/>
    </xf>
    <xf numFmtId="172" fontId="5" fillId="0" borderId="15" xfId="0" applyFont="1" applyFill="1" applyBorder="1" applyAlignment="1">
      <alignment horizontal="center"/>
    </xf>
    <xf numFmtId="172" fontId="5" fillId="0" borderId="24" xfId="0" applyFont="1" applyFill="1" applyBorder="1" applyAlignment="1">
      <alignment horizontal="center" wrapText="1"/>
    </xf>
    <xf numFmtId="172" fontId="5" fillId="0" borderId="28" xfId="0" applyFont="1" applyFill="1" applyBorder="1" applyAlignment="1">
      <alignment horizontal="center" wrapText="1"/>
    </xf>
    <xf numFmtId="172" fontId="5" fillId="0" borderId="19" xfId="0" applyFont="1" applyBorder="1" applyAlignment="1">
      <alignment/>
    </xf>
    <xf numFmtId="175" fontId="0" fillId="18" borderId="25" xfId="44" applyNumberFormat="1" applyFont="1" applyFill="1" applyBorder="1" applyAlignment="1">
      <alignment/>
    </xf>
    <xf numFmtId="175" fontId="5" fillId="18" borderId="25" xfId="44" applyNumberFormat="1" applyFont="1" applyFill="1" applyBorder="1" applyAlignment="1">
      <alignment/>
    </xf>
    <xf numFmtId="175" fontId="5" fillId="18" borderId="16" xfId="44" applyNumberFormat="1" applyFont="1" applyFill="1" applyBorder="1" applyAlignment="1">
      <alignment/>
    </xf>
    <xf numFmtId="175" fontId="0" fillId="18" borderId="13" xfId="44" applyNumberFormat="1" applyFont="1" applyFill="1" applyBorder="1" applyAlignment="1">
      <alignment/>
    </xf>
    <xf numFmtId="175" fontId="5" fillId="18" borderId="13" xfId="44" applyNumberFormat="1" applyFont="1" applyFill="1" applyBorder="1" applyAlignment="1">
      <alignment/>
    </xf>
    <xf numFmtId="175" fontId="5" fillId="18" borderId="19" xfId="44" applyNumberFormat="1" applyFont="1" applyFill="1" applyBorder="1" applyAlignment="1">
      <alignment/>
    </xf>
    <xf numFmtId="172" fontId="16" fillId="0" borderId="0" xfId="0" applyFont="1" applyFill="1" applyAlignment="1">
      <alignment/>
    </xf>
    <xf numFmtId="175" fontId="5" fillId="18" borderId="14" xfId="44" applyNumberFormat="1" applyFont="1" applyFill="1" applyBorder="1" applyAlignment="1">
      <alignment/>
    </xf>
    <xf numFmtId="172" fontId="5" fillId="0" borderId="21" xfId="0" applyFont="1" applyBorder="1" applyAlignment="1">
      <alignment/>
    </xf>
    <xf numFmtId="172" fontId="5" fillId="0" borderId="11" xfId="0" applyFont="1" applyBorder="1" applyAlignment="1">
      <alignment/>
    </xf>
    <xf numFmtId="175" fontId="5" fillId="0" borderId="12" xfId="44" applyNumberFormat="1" applyFont="1" applyBorder="1" applyAlignment="1">
      <alignment/>
    </xf>
    <xf numFmtId="175" fontId="5" fillId="0" borderId="15" xfId="44" applyNumberFormat="1" applyFont="1" applyBorder="1" applyAlignment="1">
      <alignment/>
    </xf>
    <xf numFmtId="172" fontId="0" fillId="0" borderId="0" xfId="0" applyFont="1" applyFill="1" applyAlignment="1">
      <alignment/>
    </xf>
    <xf numFmtId="0"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0" fillId="0" borderId="0" xfId="0" applyNumberFormat="1" applyFont="1" applyFill="1" applyAlignment="1">
      <alignment/>
    </xf>
    <xf numFmtId="172" fontId="0" fillId="0" borderId="0" xfId="0" applyFont="1" applyAlignment="1">
      <alignment/>
    </xf>
    <xf numFmtId="172" fontId="72" fillId="0" borderId="0" xfId="0" applyFont="1" applyFill="1" applyAlignment="1">
      <alignment/>
    </xf>
    <xf numFmtId="41" fontId="5" fillId="18" borderId="0" xfId="0" applyNumberFormat="1" applyFont="1" applyFill="1" applyAlignment="1">
      <alignment vertical="top"/>
    </xf>
    <xf numFmtId="41" fontId="5" fillId="18" borderId="0" xfId="59" applyNumberFormat="1" applyFont="1" applyFill="1" applyAlignment="1" applyProtection="1">
      <alignment vertical="top"/>
      <protection locked="0"/>
    </xf>
    <xf numFmtId="41" fontId="5" fillId="18" borderId="0" xfId="59" applyNumberFormat="1" applyFont="1" applyFill="1" applyBorder="1" applyAlignment="1" applyProtection="1">
      <alignment/>
      <protection locked="0"/>
    </xf>
    <xf numFmtId="0" fontId="5" fillId="0" borderId="0" xfId="0" applyNumberFormat="1" applyFont="1" applyAlignment="1" applyProtection="1">
      <alignment/>
      <protection locked="0"/>
    </xf>
    <xf numFmtId="0" fontId="5" fillId="0" borderId="0" xfId="0" applyNumberFormat="1" applyFont="1" applyFill="1" applyAlignment="1" applyProtection="1">
      <alignment horizontal="right"/>
      <protection locked="0"/>
    </xf>
    <xf numFmtId="10" fontId="5" fillId="18" borderId="0" xfId="0" applyNumberFormat="1" applyFont="1" applyFill="1" applyAlignment="1" applyProtection="1">
      <alignment/>
      <protection locked="0"/>
    </xf>
    <xf numFmtId="0" fontId="5" fillId="0" borderId="0" xfId="0" applyNumberFormat="1" applyFont="1" applyAlignment="1" applyProtection="1">
      <alignment/>
      <protection locked="0"/>
    </xf>
    <xf numFmtId="4" fontId="5" fillId="0" borderId="0" xfId="60" applyNumberFormat="1" applyFont="1" applyFill="1" applyAlignment="1">
      <alignment horizontal="center"/>
      <protection/>
    </xf>
    <xf numFmtId="4" fontId="5" fillId="0" borderId="11" xfId="60" applyNumberFormat="1" applyFont="1" applyFill="1" applyBorder="1" applyAlignment="1">
      <alignment/>
      <protection/>
    </xf>
    <xf numFmtId="172" fontId="5" fillId="0" borderId="11" xfId="0" applyFont="1" applyFill="1" applyBorder="1" applyAlignment="1">
      <alignment/>
    </xf>
    <xf numFmtId="0" fontId="5" fillId="0" borderId="11" xfId="60" applyNumberFormat="1" applyFont="1" applyFill="1" applyBorder="1" applyAlignment="1">
      <alignment horizontal="center"/>
      <protection/>
    </xf>
    <xf numFmtId="172" fontId="5" fillId="0" borderId="11" xfId="0" applyFont="1" applyFill="1" applyBorder="1" applyAlignment="1">
      <alignment horizontal="center" wrapText="1"/>
    </xf>
    <xf numFmtId="172" fontId="5" fillId="0" borderId="11" xfId="0" applyFont="1" applyBorder="1" applyAlignment="1">
      <alignment horizontal="center"/>
    </xf>
    <xf numFmtId="172" fontId="5" fillId="0" borderId="0" xfId="0" applyFont="1" applyAlignment="1" quotePrefix="1">
      <alignment horizontal="center"/>
    </xf>
    <xf numFmtId="42" fontId="5" fillId="0" borderId="26" xfId="0" applyNumberFormat="1" applyFont="1" applyFill="1" applyBorder="1" applyAlignment="1" applyProtection="1">
      <alignment horizontal="right"/>
      <protection locked="0"/>
    </xf>
    <xf numFmtId="175" fontId="5" fillId="19" borderId="0" xfId="44" applyNumberFormat="1" applyFont="1" applyFill="1" applyAlignment="1">
      <alignment/>
    </xf>
    <xf numFmtId="176" fontId="5" fillId="0" borderId="0" xfId="63" applyNumberFormat="1" applyFont="1" applyFill="1" applyBorder="1" applyAlignment="1" applyProtection="1">
      <alignment horizontal="right"/>
      <protection locked="0"/>
    </xf>
    <xf numFmtId="0" fontId="10" fillId="0" borderId="0" xfId="58" applyFont="1" applyAlignment="1">
      <alignment/>
      <protection/>
    </xf>
    <xf numFmtId="0" fontId="1" fillId="0" borderId="10" xfId="58" applyFont="1" applyFill="1" applyBorder="1" applyAlignment="1">
      <alignment horizontal="center" wrapText="1"/>
      <protection/>
    </xf>
    <xf numFmtId="0" fontId="1" fillId="0" borderId="0" xfId="58" applyFont="1" applyFill="1" applyBorder="1" applyAlignment="1" quotePrefix="1">
      <alignment horizontal="center" wrapText="1"/>
      <protection/>
    </xf>
    <xf numFmtId="42" fontId="10" fillId="19" borderId="0" xfId="58" applyNumberFormat="1" applyFont="1" applyFill="1">
      <alignment/>
      <protection/>
    </xf>
    <xf numFmtId="41" fontId="10" fillId="19" borderId="0" xfId="58" applyNumberFormat="1" applyFont="1" applyFill="1" applyAlignment="1">
      <alignment/>
      <protection/>
    </xf>
    <xf numFmtId="42" fontId="10" fillId="0" borderId="0" xfId="58" applyNumberFormat="1" applyFont="1" applyFill="1" applyAlignment="1">
      <alignment horizontal="right"/>
      <protection/>
    </xf>
    <xf numFmtId="173" fontId="10" fillId="18" borderId="0" xfId="42" applyNumberFormat="1" applyFont="1" applyFill="1" applyAlignment="1">
      <alignment horizontal="right"/>
    </xf>
    <xf numFmtId="41" fontId="10" fillId="18" borderId="0" xfId="58" applyNumberFormat="1" applyFont="1" applyFill="1" applyAlignment="1">
      <alignment wrapText="1"/>
      <protection/>
    </xf>
    <xf numFmtId="175" fontId="10" fillId="0" borderId="24" xfId="44" applyNumberFormat="1" applyFont="1" applyFill="1" applyBorder="1" applyAlignment="1">
      <alignment horizontal="right"/>
    </xf>
    <xf numFmtId="0" fontId="1" fillId="0" borderId="11" xfId="58" applyFont="1" applyBorder="1" applyAlignment="1">
      <alignment horizontal="center" wrapText="1"/>
      <protection/>
    </xf>
    <xf numFmtId="0" fontId="10" fillId="0" borderId="0" xfId="58" applyFont="1" applyFill="1" applyBorder="1" applyAlignment="1">
      <alignment wrapText="1"/>
      <protection/>
    </xf>
    <xf numFmtId="173" fontId="10" fillId="18" borderId="0" xfId="42" applyNumberFormat="1" applyFont="1" applyFill="1" applyAlignment="1">
      <alignment wrapText="1"/>
    </xf>
    <xf numFmtId="173" fontId="4" fillId="0" borderId="0" xfId="42" applyNumberFormat="1" applyFont="1" applyFill="1" applyBorder="1" applyAlignment="1">
      <alignment/>
    </xf>
    <xf numFmtId="176" fontId="10" fillId="0" borderId="0" xfId="63" applyNumberFormat="1" applyFont="1" applyAlignment="1">
      <alignment wrapText="1"/>
    </xf>
    <xf numFmtId="173" fontId="10" fillId="0" borderId="0" xfId="42" applyNumberFormat="1" applyFont="1" applyAlignment="1">
      <alignment wrapText="1"/>
    </xf>
    <xf numFmtId="0" fontId="1" fillId="0" borderId="0" xfId="58" applyFont="1" applyAlignment="1">
      <alignment horizontal="center" wrapText="1"/>
      <protection/>
    </xf>
    <xf numFmtId="0" fontId="10" fillId="0" borderId="0" xfId="58" applyFont="1" applyAlignment="1">
      <alignment horizontal="left"/>
      <protection/>
    </xf>
    <xf numFmtId="176" fontId="10" fillId="18" borderId="0" xfId="63" applyNumberFormat="1" applyFont="1" applyFill="1" applyAlignment="1">
      <alignment horizontal="right" wrapText="1"/>
    </xf>
    <xf numFmtId="176" fontId="10" fillId="0" borderId="0" xfId="63" applyNumberFormat="1" applyFont="1" applyFill="1" applyBorder="1" applyAlignment="1">
      <alignment wrapText="1"/>
    </xf>
    <xf numFmtId="176" fontId="10" fillId="0" borderId="0" xfId="58" applyNumberFormat="1" applyFont="1" applyAlignment="1">
      <alignment wrapText="1"/>
      <protection/>
    </xf>
    <xf numFmtId="176" fontId="10" fillId="0" borderId="0" xfId="58" applyNumberFormat="1" applyFont="1" applyFill="1" applyBorder="1" applyAlignment="1">
      <alignment wrapText="1"/>
      <protection/>
    </xf>
    <xf numFmtId="42" fontId="10" fillId="0" borderId="0" xfId="58" applyNumberFormat="1" applyFont="1" applyFill="1" applyAlignment="1">
      <alignment/>
      <protection/>
    </xf>
    <xf numFmtId="173" fontId="10" fillId="0" borderId="0" xfId="42" applyNumberFormat="1" applyFont="1" applyFill="1" applyAlignment="1">
      <alignment horizontal="right"/>
    </xf>
    <xf numFmtId="0" fontId="10" fillId="0" borderId="0" xfId="58" applyFont="1" applyFill="1" applyAlignment="1">
      <alignment horizontal="center"/>
      <protection/>
    </xf>
    <xf numFmtId="0" fontId="10" fillId="0" borderId="0" xfId="58" applyFont="1" applyFill="1">
      <alignment/>
      <protection/>
    </xf>
    <xf numFmtId="0" fontId="4" fillId="18" borderId="0" xfId="0" applyNumberFormat="1" applyFont="1" applyFill="1" applyBorder="1" applyAlignment="1">
      <alignment horizontal="center"/>
    </xf>
    <xf numFmtId="0" fontId="4" fillId="18" borderId="11" xfId="0" applyNumberFormat="1" applyFont="1" applyFill="1" applyBorder="1" applyAlignment="1">
      <alignment horizontal="center"/>
    </xf>
    <xf numFmtId="172" fontId="38" fillId="0" borderId="0" xfId="0" applyFont="1" applyFill="1" applyBorder="1" applyAlignment="1">
      <alignment/>
    </xf>
    <xf numFmtId="44" fontId="4" fillId="0" borderId="0" xfId="44" applyFont="1" applyFill="1" applyAlignment="1" quotePrefix="1">
      <alignment horizontal="center"/>
    </xf>
    <xf numFmtId="44" fontId="4" fillId="0" borderId="11" xfId="44" applyFont="1" applyFill="1" applyBorder="1" applyAlignment="1" quotePrefix="1">
      <alignment horizontal="center"/>
    </xf>
    <xf numFmtId="172" fontId="38" fillId="0" borderId="24" xfId="0" applyFont="1" applyFill="1" applyBorder="1" applyAlignment="1">
      <alignment/>
    </xf>
    <xf numFmtId="172" fontId="38" fillId="0" borderId="26" xfId="0" applyFont="1" applyFill="1" applyBorder="1" applyAlignment="1">
      <alignment/>
    </xf>
    <xf numFmtId="172" fontId="4" fillId="0" borderId="26" xfId="0" applyFont="1" applyFill="1" applyBorder="1" applyAlignment="1">
      <alignment/>
    </xf>
    <xf numFmtId="175" fontId="4" fillId="0" borderId="26" xfId="44" applyNumberFormat="1" applyFont="1" applyFill="1" applyBorder="1" applyAlignment="1">
      <alignment/>
    </xf>
    <xf numFmtId="175" fontId="38" fillId="0" borderId="26" xfId="44" applyNumberFormat="1" applyFont="1" applyFill="1" applyBorder="1" applyAlignment="1">
      <alignment/>
    </xf>
    <xf numFmtId="43" fontId="4" fillId="0" borderId="0" xfId="42" applyFont="1" applyFill="1" applyAlignment="1" quotePrefix="1">
      <alignment horizontal="center"/>
    </xf>
    <xf numFmtId="173" fontId="4" fillId="0" borderId="0" xfId="42" applyNumberFormat="1" applyFont="1" applyFill="1" applyAlignment="1">
      <alignment horizontal="center"/>
    </xf>
    <xf numFmtId="42" fontId="5" fillId="19" borderId="0" xfId="0" applyNumberFormat="1" applyFont="1" applyFill="1" applyBorder="1" applyAlignment="1" applyProtection="1">
      <alignment horizontal="right"/>
      <protection locked="0"/>
    </xf>
    <xf numFmtId="165" fontId="5" fillId="0" borderId="0" xfId="0" applyNumberFormat="1" applyFont="1" applyFill="1" applyBorder="1" applyAlignment="1">
      <alignment/>
    </xf>
    <xf numFmtId="41" fontId="5" fillId="19" borderId="11" xfId="0" applyNumberFormat="1" applyFont="1" applyFill="1" applyBorder="1" applyAlignment="1">
      <alignment/>
    </xf>
    <xf numFmtId="41" fontId="5" fillId="0" borderId="11" xfId="0" applyNumberFormat="1" applyFont="1" applyFill="1" applyBorder="1" applyAlignment="1">
      <alignment/>
    </xf>
    <xf numFmtId="173" fontId="5" fillId="0" borderId="11" xfId="42" applyNumberFormat="1" applyFont="1" applyFill="1" applyBorder="1" applyAlignment="1">
      <alignment/>
    </xf>
    <xf numFmtId="175" fontId="5" fillId="19" borderId="0" xfId="44" applyNumberFormat="1" applyFont="1" applyFill="1" applyAlignment="1" applyProtection="1">
      <alignment vertical="center"/>
      <protection locked="0"/>
    </xf>
    <xf numFmtId="41" fontId="5" fillId="19" borderId="0" xfId="59" applyNumberFormat="1" applyFont="1" applyFill="1" applyBorder="1" applyAlignment="1" applyProtection="1">
      <alignment/>
      <protection locked="0"/>
    </xf>
    <xf numFmtId="10" fontId="5" fillId="18" borderId="0" xfId="0" applyNumberFormat="1" applyFont="1" applyFill="1" applyAlignment="1" applyProtection="1">
      <alignment/>
      <protection locked="0"/>
    </xf>
    <xf numFmtId="175" fontId="5" fillId="18" borderId="0" xfId="59" applyNumberFormat="1" applyFont="1" applyFill="1" applyAlignment="1" applyProtection="1">
      <alignment/>
      <protection locked="0"/>
    </xf>
    <xf numFmtId="41" fontId="5" fillId="18" borderId="10" xfId="0" applyNumberFormat="1" applyFont="1" applyFill="1" applyBorder="1" applyAlignment="1">
      <alignment/>
    </xf>
    <xf numFmtId="175" fontId="5" fillId="18" borderId="0" xfId="44" applyNumberFormat="1" applyFont="1" applyFill="1" applyAlignment="1" applyProtection="1">
      <alignment/>
      <protection locked="0"/>
    </xf>
    <xf numFmtId="3" fontId="5" fillId="18" borderId="0" xfId="0" applyNumberFormat="1" applyFont="1" applyFill="1" applyBorder="1" applyAlignment="1">
      <alignment/>
    </xf>
    <xf numFmtId="172" fontId="38" fillId="18" borderId="0" xfId="0" applyFont="1" applyFill="1" applyBorder="1" applyAlignment="1">
      <alignment wrapText="1"/>
    </xf>
    <xf numFmtId="172" fontId="4" fillId="18" borderId="20" xfId="0" applyFont="1" applyFill="1" applyBorder="1" applyAlignment="1">
      <alignment horizontal="center"/>
    </xf>
    <xf numFmtId="14" fontId="4" fillId="18" borderId="0" xfId="63" applyNumberFormat="1" applyFont="1" applyFill="1" applyBorder="1" applyAlignment="1">
      <alignment horizontal="right"/>
    </xf>
    <xf numFmtId="172" fontId="4" fillId="0" borderId="19" xfId="0" applyFont="1" applyFill="1" applyBorder="1" applyAlignment="1">
      <alignment wrapText="1"/>
    </xf>
    <xf numFmtId="172" fontId="4" fillId="18" borderId="20" xfId="0" applyFont="1" applyFill="1" applyBorder="1" applyAlignment="1">
      <alignment horizontal="center" wrapText="1"/>
    </xf>
    <xf numFmtId="17" fontId="4" fillId="18" borderId="0" xfId="63" applyNumberFormat="1" applyFont="1" applyFill="1" applyBorder="1" applyAlignment="1">
      <alignment horizontal="right"/>
    </xf>
    <xf numFmtId="172" fontId="4" fillId="18" borderId="0" xfId="0" applyFont="1" applyFill="1" applyBorder="1" applyAlignment="1">
      <alignment horizontal="center" wrapText="1"/>
    </xf>
    <xf numFmtId="172" fontId="1" fillId="0" borderId="12" xfId="0" applyFont="1" applyFill="1" applyBorder="1" applyAlignment="1">
      <alignment horizontal="center" wrapText="1"/>
    </xf>
    <xf numFmtId="172" fontId="5" fillId="19" borderId="0" xfId="0" applyFont="1" applyFill="1" applyAlignment="1">
      <alignment/>
    </xf>
    <xf numFmtId="172" fontId="5" fillId="19" borderId="0" xfId="0" applyFont="1" applyFill="1" applyBorder="1" applyAlignment="1">
      <alignment/>
    </xf>
    <xf numFmtId="3" fontId="73" fillId="21" borderId="0" xfId="0" applyNumberFormat="1" applyFont="1" applyFill="1" applyAlignment="1">
      <alignment/>
    </xf>
    <xf numFmtId="188" fontId="5" fillId="18" borderId="14" xfId="0" applyNumberFormat="1" applyFont="1" applyFill="1" applyBorder="1" applyAlignment="1">
      <alignment horizontal="right"/>
    </xf>
    <xf numFmtId="188" fontId="5" fillId="18" borderId="12" xfId="0" applyNumberFormat="1" applyFont="1" applyFill="1" applyBorder="1" applyAlignment="1">
      <alignment horizontal="right"/>
    </xf>
    <xf numFmtId="188" fontId="5" fillId="18" borderId="27" xfId="0" applyNumberFormat="1" applyFont="1" applyFill="1" applyBorder="1" applyAlignment="1">
      <alignment horizontal="right"/>
    </xf>
    <xf numFmtId="188" fontId="5" fillId="18" borderId="12" xfId="0" applyNumberFormat="1" applyFont="1" applyFill="1" applyBorder="1" applyAlignment="1">
      <alignment/>
    </xf>
    <xf numFmtId="188" fontId="5" fillId="18" borderId="27" xfId="0" applyNumberFormat="1" applyFont="1" applyFill="1" applyBorder="1" applyAlignment="1">
      <alignment/>
    </xf>
    <xf numFmtId="179" fontId="5" fillId="18" borderId="12" xfId="0" applyNumberFormat="1" applyFont="1" applyFill="1" applyBorder="1" applyAlignment="1">
      <alignment/>
    </xf>
    <xf numFmtId="179" fontId="5" fillId="18" borderId="27" xfId="0" applyNumberFormat="1" applyFont="1" applyFill="1" applyBorder="1" applyAlignment="1">
      <alignment/>
    </xf>
    <xf numFmtId="179" fontId="5" fillId="18" borderId="36" xfId="0" applyNumberFormat="1" applyFont="1" applyFill="1" applyBorder="1" applyAlignment="1">
      <alignment/>
    </xf>
    <xf numFmtId="179" fontId="5" fillId="18" borderId="32" xfId="0" applyNumberFormat="1" applyFont="1" applyFill="1" applyBorder="1" applyAlignment="1">
      <alignment/>
    </xf>
    <xf numFmtId="179" fontId="5" fillId="18" borderId="34" xfId="0" applyNumberFormat="1" applyFont="1" applyFill="1" applyBorder="1" applyAlignment="1">
      <alignment/>
    </xf>
    <xf numFmtId="172" fontId="1" fillId="0" borderId="37" xfId="0" applyFont="1" applyBorder="1" applyAlignment="1">
      <alignment horizontal="center" wrapText="1"/>
    </xf>
    <xf numFmtId="3" fontId="10" fillId="0" borderId="0" xfId="44" applyNumberFormat="1" applyFont="1" applyAlignment="1">
      <alignment/>
    </xf>
    <xf numFmtId="3" fontId="10" fillId="0" borderId="0" xfId="44" applyNumberFormat="1" applyFont="1" applyFill="1" applyAlignment="1">
      <alignment/>
    </xf>
    <xf numFmtId="3" fontId="10" fillId="0" borderId="0" xfId="0" applyNumberFormat="1" applyFont="1" applyFill="1" applyAlignment="1">
      <alignment/>
    </xf>
    <xf numFmtId="172" fontId="10" fillId="18" borderId="25" xfId="0" applyFont="1" applyFill="1" applyBorder="1" applyAlignment="1">
      <alignment horizontal="center"/>
    </xf>
    <xf numFmtId="172" fontId="74" fillId="0" borderId="20" xfId="0" applyFont="1" applyBorder="1" applyAlignment="1">
      <alignment/>
    </xf>
    <xf numFmtId="3" fontId="10" fillId="18" borderId="12" xfId="0" applyNumberFormat="1" applyFont="1" applyFill="1" applyBorder="1" applyAlignment="1">
      <alignment/>
    </xf>
    <xf numFmtId="3" fontId="10" fillId="0" borderId="12" xfId="0" applyNumberFormat="1" applyFont="1" applyFill="1" applyBorder="1" applyAlignment="1">
      <alignment/>
    </xf>
    <xf numFmtId="3" fontId="10" fillId="18" borderId="28" xfId="0" applyNumberFormat="1" applyFont="1" applyFill="1" applyBorder="1" applyAlignment="1">
      <alignment/>
    </xf>
    <xf numFmtId="173" fontId="5" fillId="18" borderId="12" xfId="0" applyNumberFormat="1" applyFont="1" applyFill="1" applyBorder="1" applyAlignment="1">
      <alignment/>
    </xf>
    <xf numFmtId="41" fontId="5" fillId="18" borderId="12" xfId="0" applyNumberFormat="1" applyFont="1" applyFill="1" applyBorder="1" applyAlignment="1">
      <alignment/>
    </xf>
    <xf numFmtId="41" fontId="5" fillId="18" borderId="27" xfId="0" applyNumberFormat="1" applyFont="1" applyFill="1" applyBorder="1" applyAlignment="1">
      <alignment/>
    </xf>
    <xf numFmtId="188" fontId="75" fillId="18" borderId="12" xfId="0" applyNumberFormat="1" applyFont="1" applyFill="1" applyBorder="1" applyAlignment="1">
      <alignment/>
    </xf>
    <xf numFmtId="179" fontId="75" fillId="18" borderId="12" xfId="0" applyNumberFormat="1" applyFont="1" applyFill="1" applyBorder="1" applyAlignment="1">
      <alignment/>
    </xf>
    <xf numFmtId="41" fontId="10" fillId="18" borderId="0" xfId="44" applyNumberFormat="1" applyFont="1" applyFill="1" applyAlignment="1">
      <alignment horizontal="right" wrapText="1"/>
    </xf>
    <xf numFmtId="41" fontId="10" fillId="18" borderId="0" xfId="0" applyNumberFormat="1" applyFont="1" applyFill="1" applyAlignment="1">
      <alignment horizontal="right" wrapText="1"/>
    </xf>
    <xf numFmtId="49" fontId="4" fillId="18" borderId="20" xfId="0" applyNumberFormat="1" applyFont="1" applyFill="1" applyBorder="1" applyAlignment="1">
      <alignment horizontal="center" wrapText="1"/>
    </xf>
    <xf numFmtId="172" fontId="74" fillId="0" borderId="20" xfId="0" applyFont="1" applyBorder="1" applyAlignment="1" quotePrefix="1">
      <alignment/>
    </xf>
    <xf numFmtId="0" fontId="5" fillId="18" borderId="0" xfId="57" applyFont="1" applyFill="1" applyAlignment="1">
      <alignment horizontal="right" vertical="center"/>
      <protection/>
    </xf>
    <xf numFmtId="0" fontId="5" fillId="18" borderId="0" xfId="57" applyFont="1" applyFill="1" applyAlignment="1">
      <alignment horizontal="left" vertical="center"/>
      <protection/>
    </xf>
    <xf numFmtId="41" fontId="5" fillId="18" borderId="0" xfId="57" applyNumberFormat="1" applyFont="1" applyFill="1" applyAlignment="1">
      <alignment vertical="center"/>
      <protection/>
    </xf>
    <xf numFmtId="41" fontId="34" fillId="18" borderId="0" xfId="57" applyNumberFormat="1" applyFont="1" applyFill="1" applyAlignment="1">
      <alignment vertical="center"/>
      <protection/>
    </xf>
    <xf numFmtId="0" fontId="5" fillId="18" borderId="0" xfId="57" applyFont="1" applyFill="1" applyAlignment="1">
      <alignment horizontal="center" vertical="center"/>
      <protection/>
    </xf>
    <xf numFmtId="0" fontId="5" fillId="18" borderId="0" xfId="57" applyFont="1" applyFill="1" applyAlignment="1">
      <alignment vertical="center" wrapText="1"/>
      <protection/>
    </xf>
    <xf numFmtId="0" fontId="5" fillId="18" borderId="0" xfId="57" applyFont="1" applyFill="1" applyAlignment="1">
      <alignment horizontal="left" vertical="center" wrapText="1"/>
      <protection/>
    </xf>
    <xf numFmtId="172" fontId="5" fillId="18" borderId="0" xfId="0" applyFont="1" applyFill="1" applyAlignment="1">
      <alignment horizontal="left" vertical="center"/>
    </xf>
    <xf numFmtId="0" fontId="5" fillId="18" borderId="0" xfId="0" applyNumberFormat="1" applyFont="1" applyFill="1" applyAlignment="1">
      <alignment/>
    </xf>
    <xf numFmtId="0" fontId="5" fillId="18" borderId="0" xfId="57" applyFont="1" applyFill="1">
      <alignment/>
      <protection/>
    </xf>
    <xf numFmtId="0" fontId="5" fillId="18" borderId="0" xfId="57" applyFont="1" applyFill="1" applyAlignment="1">
      <alignment wrapText="1"/>
      <protection/>
    </xf>
    <xf numFmtId="41" fontId="5" fillId="18" borderId="0" xfId="57" applyNumberFormat="1" applyFont="1" applyFill="1" applyAlignment="1">
      <alignment vertical="center"/>
      <protection/>
    </xf>
    <xf numFmtId="41" fontId="5" fillId="18" borderId="0" xfId="57" applyNumberFormat="1" applyFont="1" applyFill="1" applyAlignment="1">
      <alignment horizontal="center" vertical="center"/>
      <protection/>
    </xf>
    <xf numFmtId="0" fontId="5" fillId="18" borderId="0" xfId="57" applyFont="1" applyFill="1" applyBorder="1" applyAlignment="1">
      <alignment vertical="top"/>
      <protection/>
    </xf>
    <xf numFmtId="41" fontId="5" fillId="18" borderId="0" xfId="57" applyNumberFormat="1" applyFont="1" applyFill="1" applyBorder="1" applyAlignment="1">
      <alignment vertical="center"/>
      <protection/>
    </xf>
    <xf numFmtId="0" fontId="5" fillId="18" borderId="0" xfId="57" applyFont="1" applyFill="1" applyAlignment="1">
      <alignment horizontal="left" vertical="center"/>
      <protection/>
    </xf>
    <xf numFmtId="173" fontId="5" fillId="18" borderId="0" xfId="57" applyNumberFormat="1" applyFont="1" applyFill="1" applyAlignment="1">
      <alignment horizontal="right" vertical="center"/>
      <protection/>
    </xf>
    <xf numFmtId="0" fontId="63" fillId="18" borderId="0" xfId="57" applyFont="1" applyFill="1" applyAlignment="1">
      <alignment vertical="center" wrapText="1"/>
      <protection/>
    </xf>
    <xf numFmtId="0" fontId="5" fillId="18" borderId="0" xfId="57" applyFont="1" applyFill="1" applyAlignment="1">
      <alignment vertical="center" wrapText="1"/>
      <protection/>
    </xf>
    <xf numFmtId="0" fontId="5" fillId="18" borderId="0" xfId="57" applyFont="1" applyFill="1" applyAlignment="1">
      <alignment horizontal="center" vertical="center"/>
      <protection/>
    </xf>
    <xf numFmtId="1" fontId="5" fillId="18" borderId="0" xfId="0" applyNumberFormat="1" applyFont="1" applyFill="1" applyAlignment="1">
      <alignment/>
    </xf>
    <xf numFmtId="0" fontId="5" fillId="18" borderId="0" xfId="0" applyNumberFormat="1" applyFont="1" applyFill="1" applyAlignment="1">
      <alignment/>
    </xf>
    <xf numFmtId="172" fontId="5" fillId="18" borderId="0" xfId="0" applyFont="1" applyFill="1" applyAlignment="1">
      <alignment horizontal="left" vertical="center"/>
    </xf>
    <xf numFmtId="41" fontId="5" fillId="18" borderId="0" xfId="57" applyNumberFormat="1" applyFont="1" applyFill="1" applyBorder="1" applyAlignment="1">
      <alignment horizontal="right" vertical="center"/>
      <protection/>
    </xf>
    <xf numFmtId="173" fontId="5" fillId="18" borderId="0" xfId="57" applyNumberFormat="1" applyFont="1" applyFill="1" applyBorder="1" applyAlignment="1">
      <alignment horizontal="right" vertical="center"/>
      <protection/>
    </xf>
    <xf numFmtId="0" fontId="34" fillId="18" borderId="0" xfId="57" applyFont="1" applyFill="1" applyAlignment="1">
      <alignment horizontal="left"/>
      <protection/>
    </xf>
    <xf numFmtId="173" fontId="5" fillId="18" borderId="0" xfId="57" applyNumberFormat="1" applyFont="1" applyFill="1" applyBorder="1">
      <alignment/>
      <protection/>
    </xf>
    <xf numFmtId="173" fontId="5" fillId="18" borderId="0" xfId="57" applyNumberFormat="1" applyFont="1" applyFill="1">
      <alignment/>
      <protection/>
    </xf>
    <xf numFmtId="0" fontId="13" fillId="18" borderId="0" xfId="57" applyFont="1" applyFill="1">
      <alignment/>
      <protection/>
    </xf>
    <xf numFmtId="0" fontId="5" fillId="18" borderId="0" xfId="57" applyFont="1" applyFill="1" applyAlignment="1">
      <alignment horizontal="left"/>
      <protection/>
    </xf>
    <xf numFmtId="0" fontId="5" fillId="18" borderId="0" xfId="57" applyNumberFormat="1" applyFont="1" applyFill="1" applyAlignment="1">
      <alignment vertical="center"/>
      <protection/>
    </xf>
    <xf numFmtId="41" fontId="34" fillId="18" borderId="0" xfId="57" applyNumberFormat="1" applyFont="1" applyFill="1" applyAlignment="1">
      <alignment vertical="center"/>
      <protection/>
    </xf>
    <xf numFmtId="0" fontId="5" fillId="18" borderId="0" xfId="57" applyNumberFormat="1" applyFont="1" applyFill="1" applyAlignment="1">
      <alignment vertical="center" wrapText="1"/>
      <protection/>
    </xf>
    <xf numFmtId="41" fontId="5" fillId="18" borderId="0" xfId="57" applyNumberFormat="1" applyFont="1" applyFill="1" applyAlignment="1">
      <alignment vertical="center" wrapText="1"/>
      <protection/>
    </xf>
    <xf numFmtId="41" fontId="10" fillId="18" borderId="0" xfId="57" applyNumberFormat="1" applyFont="1" applyFill="1">
      <alignment/>
      <protection/>
    </xf>
    <xf numFmtId="41" fontId="5" fillId="18" borderId="0" xfId="0" applyNumberFormat="1" applyFont="1" applyFill="1" applyAlignment="1">
      <alignment horizontal="left" vertical="center"/>
    </xf>
    <xf numFmtId="41" fontId="5" fillId="18" borderId="0" xfId="0" applyNumberFormat="1" applyFont="1" applyFill="1" applyAlignment="1">
      <alignment vertical="center"/>
    </xf>
    <xf numFmtId="41" fontId="5" fillId="18" borderId="0" xfId="42" applyNumberFormat="1" applyFont="1" applyFill="1" applyAlignment="1">
      <alignment vertical="center"/>
    </xf>
    <xf numFmtId="41" fontId="5" fillId="18" borderId="0" xfId="42" applyNumberFormat="1" applyFont="1" applyFill="1" applyBorder="1" applyAlignment="1">
      <alignment vertical="center"/>
    </xf>
    <xf numFmtId="173" fontId="5" fillId="18" borderId="0" xfId="42" applyNumberFormat="1" applyFont="1" applyFill="1" applyBorder="1" applyAlignment="1">
      <alignment vertical="center"/>
    </xf>
    <xf numFmtId="37" fontId="5" fillId="18" borderId="0" xfId="57" applyNumberFormat="1" applyFont="1" applyFill="1" applyAlignment="1">
      <alignment vertical="center"/>
      <protection/>
    </xf>
    <xf numFmtId="0" fontId="34" fillId="18" borderId="0" xfId="57" applyNumberFormat="1" applyFont="1" applyFill="1" applyAlignment="1">
      <alignment vertical="center"/>
      <protection/>
    </xf>
    <xf numFmtId="41" fontId="5" fillId="18" borderId="0" xfId="57" applyNumberFormat="1" applyFont="1" applyFill="1" applyAlignment="1">
      <alignment horizontal="right" vertical="center"/>
      <protection/>
    </xf>
    <xf numFmtId="41" fontId="7" fillId="18" borderId="0" xfId="57" applyNumberFormat="1" applyFont="1" applyFill="1">
      <alignment/>
      <protection/>
    </xf>
    <xf numFmtId="41" fontId="5" fillId="18" borderId="0" xfId="57" applyNumberFormat="1" applyFont="1" applyFill="1" applyBorder="1">
      <alignment/>
      <protection/>
    </xf>
    <xf numFmtId="41" fontId="5" fillId="18" borderId="0" xfId="57" applyNumberFormat="1" applyFont="1" applyFill="1">
      <alignment/>
      <protection/>
    </xf>
    <xf numFmtId="0" fontId="5" fillId="18" borderId="0" xfId="57" applyNumberFormat="1" applyFont="1" applyFill="1" applyAlignment="1">
      <alignment wrapText="1"/>
      <protection/>
    </xf>
    <xf numFmtId="41" fontId="5" fillId="18" borderId="0" xfId="57" applyNumberFormat="1" applyFont="1" applyFill="1" applyBorder="1" applyAlignment="1">
      <alignment horizontal="right" vertical="top"/>
      <protection/>
    </xf>
    <xf numFmtId="41" fontId="5" fillId="18" borderId="0" xfId="57" applyNumberFormat="1" applyFont="1" applyFill="1" applyAlignment="1">
      <alignment horizontal="left"/>
      <protection/>
    </xf>
    <xf numFmtId="41" fontId="5" fillId="18" borderId="0" xfId="57" applyNumberFormat="1" applyFont="1" applyFill="1" applyAlignment="1" quotePrefix="1">
      <alignment horizontal="left"/>
      <protection/>
    </xf>
    <xf numFmtId="172" fontId="10" fillId="18" borderId="19" xfId="0" applyFont="1" applyFill="1" applyBorder="1" applyAlignment="1">
      <alignment horizontal="center"/>
    </xf>
    <xf numFmtId="37" fontId="10" fillId="18" borderId="20" xfId="0" applyNumberFormat="1" applyFont="1" applyFill="1" applyBorder="1" applyAlignment="1">
      <alignment/>
    </xf>
    <xf numFmtId="172" fontId="7" fillId="0" borderId="0" xfId="0" applyFont="1" applyAlignment="1">
      <alignment horizontal="center"/>
    </xf>
    <xf numFmtId="172" fontId="0" fillId="0" borderId="0" xfId="0" applyFont="1" applyAlignment="1">
      <alignment horizontal="center"/>
    </xf>
    <xf numFmtId="172" fontId="22" fillId="0" borderId="0" xfId="0" applyFont="1" applyAlignment="1">
      <alignment horizontal="center"/>
    </xf>
    <xf numFmtId="172" fontId="37" fillId="0" borderId="0" xfId="0" applyFont="1" applyAlignment="1">
      <alignment/>
    </xf>
    <xf numFmtId="172" fontId="0" fillId="0" borderId="0" xfId="0" applyAlignment="1">
      <alignment/>
    </xf>
    <xf numFmtId="0" fontId="66" fillId="0" borderId="0" xfId="57" applyFont="1" applyFill="1" applyBorder="1" applyAlignment="1">
      <alignment horizontal="left" wrapText="1"/>
      <protection/>
    </xf>
    <xf numFmtId="0" fontId="10" fillId="0" borderId="0" xfId="57" applyFont="1" applyAlignment="1">
      <alignment/>
      <protection/>
    </xf>
    <xf numFmtId="0" fontId="7" fillId="0" borderId="0" xfId="0" applyNumberFormat="1" applyFont="1" applyAlignment="1">
      <alignment horizontal="center"/>
    </xf>
    <xf numFmtId="172" fontId="5" fillId="0" borderId="0" xfId="0" applyFont="1" applyAlignment="1">
      <alignment horizontal="center"/>
    </xf>
    <xf numFmtId="4" fontId="5" fillId="0" borderId="0" xfId="0" applyNumberFormat="1" applyFont="1" applyAlignment="1">
      <alignment horizontal="center"/>
    </xf>
    <xf numFmtId="4" fontId="5" fillId="0" borderId="0" xfId="0" applyNumberFormat="1" applyFont="1" applyAlignment="1">
      <alignment/>
    </xf>
    <xf numFmtId="3" fontId="7" fillId="0" borderId="0" xfId="0" applyNumberFormat="1" applyFont="1" applyAlignment="1">
      <alignment horizontal="center"/>
    </xf>
    <xf numFmtId="49" fontId="5" fillId="0" borderId="0" xfId="0" applyNumberFormat="1" applyFont="1" applyAlignment="1" applyProtection="1">
      <alignment horizontal="center"/>
      <protection locked="0"/>
    </xf>
    <xf numFmtId="172" fontId="0" fillId="0" borderId="0" xfId="0" applyFont="1" applyAlignment="1">
      <alignment/>
    </xf>
    <xf numFmtId="172" fontId="18" fillId="0" borderId="0" xfId="0" applyFont="1" applyAlignment="1">
      <alignment horizontal="center"/>
    </xf>
    <xf numFmtId="172" fontId="24" fillId="0" borderId="0" xfId="0" applyFont="1" applyAlignment="1">
      <alignment horizontal="center"/>
    </xf>
    <xf numFmtId="172" fontId="7" fillId="0" borderId="11" xfId="0" applyFont="1" applyFill="1" applyBorder="1" applyAlignment="1">
      <alignment horizontal="center"/>
    </xf>
    <xf numFmtId="172" fontId="40" fillId="0" borderId="0" xfId="0" applyFont="1" applyAlignment="1">
      <alignment horizontal="center"/>
    </xf>
    <xf numFmtId="172" fontId="7" fillId="0" borderId="0" xfId="0" applyFont="1" applyFill="1" applyAlignment="1">
      <alignment horizontal="center"/>
    </xf>
    <xf numFmtId="7" fontId="10" fillId="0" borderId="15" xfId="0" applyNumberFormat="1" applyFont="1" applyBorder="1" applyAlignment="1">
      <alignment horizontal="center"/>
    </xf>
    <xf numFmtId="7" fontId="10" fillId="0" borderId="24" xfId="0" applyNumberFormat="1" applyFont="1" applyBorder="1" applyAlignment="1">
      <alignment horizontal="center"/>
    </xf>
    <xf numFmtId="7" fontId="10" fillId="0" borderId="28" xfId="0" applyNumberFormat="1" applyFont="1" applyBorder="1" applyAlignment="1">
      <alignment horizontal="center"/>
    </xf>
    <xf numFmtId="172" fontId="18" fillId="0" borderId="0" xfId="0" applyFont="1" applyFill="1" applyAlignment="1">
      <alignment horizontal="center"/>
    </xf>
    <xf numFmtId="3" fontId="18" fillId="0" borderId="0" xfId="0" applyNumberFormat="1" applyFont="1" applyAlignment="1">
      <alignment horizontal="center"/>
    </xf>
    <xf numFmtId="172" fontId="0" fillId="0" borderId="0" xfId="0" applyFont="1" applyAlignment="1">
      <alignment vertical="top" wrapText="1"/>
    </xf>
    <xf numFmtId="172" fontId="0" fillId="0" borderId="0" xfId="0" applyAlignment="1">
      <alignment vertical="top" wrapText="1"/>
    </xf>
    <xf numFmtId="172" fontId="0" fillId="0" borderId="0" xfId="0" applyFont="1" applyAlignment="1">
      <alignment horizontal="left" vertical="top" wrapText="1"/>
    </xf>
    <xf numFmtId="0" fontId="23" fillId="0" borderId="0" xfId="0" applyNumberFormat="1" applyFont="1" applyAlignment="1">
      <alignment horizontal="center"/>
    </xf>
    <xf numFmtId="172" fontId="8" fillId="0" borderId="0" xfId="0" applyFont="1" applyAlignment="1">
      <alignment horizontal="center"/>
    </xf>
    <xf numFmtId="0" fontId="23" fillId="0" borderId="0" xfId="0" applyNumberFormat="1" applyFont="1" applyAlignment="1">
      <alignment/>
    </xf>
    <xf numFmtId="172" fontId="8" fillId="0" borderId="0" xfId="0" applyFont="1" applyAlignment="1">
      <alignment/>
    </xf>
    <xf numFmtId="0" fontId="23" fillId="0" borderId="0" xfId="0" applyNumberFormat="1" applyFont="1" applyAlignment="1" applyProtection="1">
      <alignment horizontal="center"/>
      <protection locked="0"/>
    </xf>
    <xf numFmtId="0" fontId="23" fillId="18" borderId="0" xfId="0" applyNumberFormat="1" applyFont="1" applyFill="1" applyAlignment="1">
      <alignment horizontal="center"/>
    </xf>
    <xf numFmtId="172" fontId="8" fillId="18" borderId="0" xfId="0" applyFont="1" applyFill="1" applyAlignment="1">
      <alignment horizontal="center"/>
    </xf>
    <xf numFmtId="0" fontId="5" fillId="0" borderId="0" xfId="0" applyNumberFormat="1" applyFont="1" applyAlignment="1" applyProtection="1">
      <alignment horizontal="center"/>
      <protection locked="0"/>
    </xf>
    <xf numFmtId="172" fontId="5" fillId="0" borderId="0" xfId="0" applyFont="1" applyAlignment="1">
      <alignment/>
    </xf>
    <xf numFmtId="3" fontId="5" fillId="0" borderId="0" xfId="0" applyNumberFormat="1" applyFont="1" applyAlignment="1">
      <alignment horizontal="center"/>
    </xf>
    <xf numFmtId="3" fontId="5" fillId="0" borderId="0" xfId="0" applyNumberFormat="1" applyFont="1" applyAlignment="1">
      <alignment horizontal="center"/>
    </xf>
    <xf numFmtId="172" fontId="5" fillId="0" borderId="0" xfId="0" applyFont="1" applyAlignment="1">
      <alignment/>
    </xf>
    <xf numFmtId="49" fontId="5" fillId="0" borderId="0" xfId="0" applyNumberFormat="1" applyFont="1" applyAlignment="1">
      <alignment horizontal="center"/>
    </xf>
    <xf numFmtId="4" fontId="5" fillId="0" borderId="0" xfId="60" applyNumberFormat="1" applyFont="1" applyFill="1" applyBorder="1" applyAlignment="1">
      <alignment horizontal="center"/>
      <protection/>
    </xf>
    <xf numFmtId="3" fontId="5" fillId="0" borderId="0" xfId="60" applyNumberFormat="1" applyFont="1" applyFill="1" applyBorder="1" applyAlignment="1">
      <alignment horizontal="left" wrapText="1"/>
      <protection/>
    </xf>
    <xf numFmtId="172" fontId="0" fillId="0" borderId="0" xfId="0" applyFont="1" applyAlignment="1">
      <alignment wrapText="1"/>
    </xf>
    <xf numFmtId="0" fontId="66" fillId="0" borderId="0" xfId="57" applyFont="1" applyAlignment="1">
      <alignment wrapText="1"/>
      <protection/>
    </xf>
    <xf numFmtId="0" fontId="10" fillId="0" borderId="0" xfId="57" applyFont="1" applyAlignment="1">
      <alignment wrapText="1"/>
      <protection/>
    </xf>
    <xf numFmtId="172" fontId="18" fillId="0" borderId="0" xfId="57" applyNumberFormat="1" applyFont="1" applyAlignment="1">
      <alignment horizontal="center"/>
      <protection/>
    </xf>
    <xf numFmtId="172" fontId="7" fillId="0" borderId="0" xfId="57" applyNumberFormat="1" applyFont="1" applyAlignment="1">
      <alignment horizontal="center" vertical="center"/>
      <protection/>
    </xf>
    <xf numFmtId="172" fontId="40" fillId="0" borderId="0" xfId="0" applyFont="1" applyAlignment="1">
      <alignment horizontal="center" vertical="center"/>
    </xf>
    <xf numFmtId="172" fontId="23" fillId="0" borderId="0" xfId="0" applyFont="1" applyAlignment="1">
      <alignment horizontal="center"/>
    </xf>
    <xf numFmtId="41" fontId="18" fillId="0" borderId="0" xfId="57" applyNumberFormat="1" applyFont="1" applyAlignment="1">
      <alignment horizontal="center"/>
      <protection/>
    </xf>
    <xf numFmtId="41" fontId="18" fillId="0" borderId="0" xfId="0" applyNumberFormat="1" applyFont="1" applyAlignment="1">
      <alignment horizontal="center"/>
    </xf>
    <xf numFmtId="41" fontId="5" fillId="0" borderId="0" xfId="0" applyNumberFormat="1" applyFont="1" applyAlignment="1">
      <alignment horizontal="center"/>
    </xf>
    <xf numFmtId="172" fontId="5" fillId="0" borderId="0" xfId="0" applyFont="1" applyFill="1" applyAlignment="1">
      <alignment horizontal="center"/>
    </xf>
    <xf numFmtId="172" fontId="4" fillId="18" borderId="17" xfId="0" applyFont="1" applyFill="1" applyBorder="1" applyAlignment="1">
      <alignment wrapText="1"/>
    </xf>
    <xf numFmtId="172" fontId="0" fillId="0" borderId="18" xfId="0" applyBorder="1" applyAlignment="1">
      <alignment wrapText="1"/>
    </xf>
    <xf numFmtId="172" fontId="38" fillId="0" borderId="11" xfId="0" applyFont="1" applyBorder="1" applyAlignment="1">
      <alignment horizontal="center"/>
    </xf>
    <xf numFmtId="172" fontId="23" fillId="0" borderId="37" xfId="0" applyFont="1" applyFill="1" applyBorder="1" applyAlignment="1">
      <alignment horizontal="center"/>
    </xf>
    <xf numFmtId="172" fontId="0" fillId="0" borderId="38" xfId="0" applyFont="1" applyFill="1" applyBorder="1" applyAlignment="1">
      <alignment/>
    </xf>
    <xf numFmtId="172" fontId="0" fillId="0" borderId="35" xfId="0" applyFont="1" applyFill="1" applyBorder="1" applyAlignment="1">
      <alignment/>
    </xf>
    <xf numFmtId="0" fontId="5" fillId="0" borderId="0" xfId="0" applyNumberFormat="1" applyFont="1" applyFill="1" applyAlignment="1" applyProtection="1">
      <alignment horizontal="center"/>
      <protection locked="0"/>
    </xf>
    <xf numFmtId="4" fontId="5" fillId="0" borderId="0" xfId="60" applyNumberFormat="1" applyFont="1" applyFill="1" applyBorder="1" applyAlignment="1">
      <alignment horizontal="center"/>
      <protection/>
    </xf>
    <xf numFmtId="172" fontId="0" fillId="0" borderId="0" xfId="0" applyFont="1" applyBorder="1" applyAlignment="1">
      <alignment/>
    </xf>
    <xf numFmtId="172" fontId="38" fillId="0" borderId="0" xfId="0" applyFont="1" applyBorder="1" applyAlignment="1">
      <alignment horizontal="center"/>
    </xf>
    <xf numFmtId="172" fontId="45" fillId="0" borderId="11" xfId="0" applyFont="1" applyBorder="1" applyAlignment="1">
      <alignment horizontal="center"/>
    </xf>
    <xf numFmtId="172" fontId="45" fillId="0" borderId="22" xfId="0" applyFont="1" applyBorder="1" applyAlignment="1">
      <alignment horizontal="center"/>
    </xf>
    <xf numFmtId="172" fontId="0"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DITAnalysisID090805" xfId="57"/>
    <cellStyle name="Normal_Duquesne Settled Fromula 10-3-07" xfId="58"/>
    <cellStyle name="Normal_FN1 Ratebase Draft SPP template (6-11-04) v2"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A1:E64"/>
  <sheetViews>
    <sheetView tabSelected="1" zoomScale="50" zoomScaleNormal="50" zoomScalePageLayoutView="0" workbookViewId="0" topLeftCell="A1">
      <selection activeCell="A1" sqref="A1"/>
    </sheetView>
  </sheetViews>
  <sheetFormatPr defaultColWidth="8.88671875" defaultRowHeight="15"/>
  <cols>
    <col min="1" max="1" width="23.6640625" style="0" customWidth="1"/>
    <col min="2" max="2" width="36.88671875" style="0" customWidth="1"/>
    <col min="3" max="3" width="58.5546875" style="0" customWidth="1"/>
    <col min="4" max="4" width="18.6640625" style="0" customWidth="1"/>
  </cols>
  <sheetData>
    <row r="1" ht="20.25">
      <c r="A1" s="380" t="s">
        <v>318</v>
      </c>
    </row>
    <row r="2" ht="20.25">
      <c r="A2" s="380" t="s">
        <v>1058</v>
      </c>
    </row>
    <row r="3" ht="15.75">
      <c r="A3" s="241"/>
    </row>
    <row r="4" ht="20.25">
      <c r="A4" s="380" t="s">
        <v>1806</v>
      </c>
    </row>
    <row r="5" ht="15.75">
      <c r="A5" s="241"/>
    </row>
    <row r="6" ht="15.75">
      <c r="A6" s="241" t="s">
        <v>1082</v>
      </c>
    </row>
    <row r="7" spans="1:5" ht="47.25" customHeight="1">
      <c r="A7" s="1419" t="s">
        <v>491</v>
      </c>
      <c r="B7" s="1419"/>
      <c r="C7" s="1419"/>
      <c r="D7" s="1419"/>
      <c r="E7" s="1419"/>
    </row>
    <row r="8" spans="1:5" ht="15">
      <c r="A8" s="618"/>
      <c r="B8" s="618"/>
      <c r="C8" s="618"/>
      <c r="D8" s="618"/>
      <c r="E8" s="618"/>
    </row>
    <row r="9" spans="1:5" ht="30" customHeight="1">
      <c r="A9" s="1419" t="s">
        <v>1083</v>
      </c>
      <c r="B9" s="1420"/>
      <c r="C9" s="1420"/>
      <c r="D9" s="1420"/>
      <c r="E9" s="1420"/>
    </row>
    <row r="10" ht="15.75">
      <c r="A10" s="241"/>
    </row>
    <row r="11" spans="1:5" ht="111" customHeight="1">
      <c r="A11" s="1419" t="s">
        <v>246</v>
      </c>
      <c r="B11" s="1420"/>
      <c r="C11" s="1420"/>
      <c r="D11" s="1420"/>
      <c r="E11" s="1420"/>
    </row>
    <row r="12" spans="1:5" ht="32.25" customHeight="1">
      <c r="A12" s="654"/>
      <c r="B12" s="1421" t="s">
        <v>344</v>
      </c>
      <c r="C12" s="1421"/>
      <c r="D12" s="1421"/>
      <c r="E12" s="1421"/>
    </row>
    <row r="13" spans="1:5" ht="19.5" customHeight="1">
      <c r="A13" s="653"/>
      <c r="B13" s="651" t="s">
        <v>343</v>
      </c>
      <c r="C13" s="652"/>
      <c r="D13" s="652"/>
      <c r="E13" s="652"/>
    </row>
    <row r="14" spans="1:3" ht="15.75">
      <c r="A14" s="241"/>
      <c r="C14" t="s">
        <v>1558</v>
      </c>
    </row>
    <row r="16" spans="1:5" ht="16.5" thickBot="1">
      <c r="A16" s="379" t="s">
        <v>1807</v>
      </c>
      <c r="B16" s="379" t="s">
        <v>1517</v>
      </c>
      <c r="C16" s="379" t="s">
        <v>234</v>
      </c>
      <c r="D16" s="379" t="s">
        <v>833</v>
      </c>
      <c r="E16" s="379"/>
    </row>
    <row r="18" spans="1:4" ht="15">
      <c r="A18" s="381" t="s">
        <v>1808</v>
      </c>
      <c r="B18" t="s">
        <v>5</v>
      </c>
      <c r="C18" t="s">
        <v>1515</v>
      </c>
      <c r="D18" s="240" t="s">
        <v>317</v>
      </c>
    </row>
    <row r="20" spans="1:4" ht="15">
      <c r="A20" s="381" t="s">
        <v>1809</v>
      </c>
      <c r="B20" t="s">
        <v>6</v>
      </c>
      <c r="C20" t="s">
        <v>1516</v>
      </c>
      <c r="D20" s="240" t="str">
        <f>D18</f>
        <v>June 15</v>
      </c>
    </row>
    <row r="21" ht="15">
      <c r="A21" s="244"/>
    </row>
    <row r="22" spans="1:4" ht="15">
      <c r="A22" s="381" t="s">
        <v>636</v>
      </c>
      <c r="B22" t="s">
        <v>1810</v>
      </c>
      <c r="C22" t="s">
        <v>1518</v>
      </c>
      <c r="D22" s="240" t="str">
        <f>D20</f>
        <v>June 15</v>
      </c>
    </row>
    <row r="23" ht="15">
      <c r="A23" s="382"/>
    </row>
    <row r="24" spans="1:4" ht="15">
      <c r="A24" s="381" t="s">
        <v>637</v>
      </c>
      <c r="B24" t="s">
        <v>1811</v>
      </c>
      <c r="C24" t="s">
        <v>1519</v>
      </c>
      <c r="D24" s="240" t="str">
        <f>D22</f>
        <v>June 15</v>
      </c>
    </row>
    <row r="25" ht="15">
      <c r="A25" s="382"/>
    </row>
    <row r="26" spans="1:4" ht="15">
      <c r="A26" s="381" t="s">
        <v>638</v>
      </c>
      <c r="B26" t="s">
        <v>1812</v>
      </c>
      <c r="C26" t="s">
        <v>241</v>
      </c>
      <c r="D26" s="240" t="str">
        <f>D24</f>
        <v>June 15</v>
      </c>
    </row>
    <row r="27" ht="15">
      <c r="A27" s="382"/>
    </row>
    <row r="28" spans="1:4" ht="15">
      <c r="A28" s="381" t="s">
        <v>650</v>
      </c>
      <c r="B28" t="s">
        <v>1813</v>
      </c>
      <c r="C28" t="s">
        <v>1520</v>
      </c>
      <c r="D28" s="240" t="str">
        <f>D26</f>
        <v>June 15</v>
      </c>
    </row>
    <row r="29" ht="15">
      <c r="A29" s="382"/>
    </row>
    <row r="30" spans="1:4" ht="15">
      <c r="A30" s="381" t="s">
        <v>651</v>
      </c>
      <c r="B30" t="s">
        <v>1814</v>
      </c>
      <c r="C30" t="s">
        <v>1522</v>
      </c>
      <c r="D30" s="240" t="str">
        <f>D28</f>
        <v>June 15</v>
      </c>
    </row>
    <row r="31" ht="15">
      <c r="A31" s="382"/>
    </row>
    <row r="32" spans="1:4" ht="15">
      <c r="A32" s="381" t="s">
        <v>652</v>
      </c>
      <c r="B32" t="s">
        <v>1815</v>
      </c>
      <c r="C32" t="s">
        <v>1521</v>
      </c>
      <c r="D32" s="240" t="str">
        <f>D30</f>
        <v>June 15</v>
      </c>
    </row>
    <row r="33" ht="15">
      <c r="A33" s="382"/>
    </row>
    <row r="34" spans="1:4" ht="15">
      <c r="A34" s="381" t="s">
        <v>653</v>
      </c>
      <c r="B34" t="s">
        <v>1816</v>
      </c>
      <c r="C34" t="s">
        <v>1523</v>
      </c>
      <c r="D34" s="240" t="str">
        <f>D32</f>
        <v>June 15</v>
      </c>
    </row>
    <row r="35" ht="15">
      <c r="A35" s="382"/>
    </row>
    <row r="36" spans="1:4" ht="15">
      <c r="A36" s="381" t="s">
        <v>1411</v>
      </c>
      <c r="B36" t="s">
        <v>830</v>
      </c>
      <c r="C36" t="s">
        <v>239</v>
      </c>
      <c r="D36" s="240" t="str">
        <f>D34</f>
        <v>June 15</v>
      </c>
    </row>
    <row r="37" ht="15">
      <c r="A37" s="382"/>
    </row>
    <row r="38" spans="1:4" ht="15">
      <c r="A38" s="381" t="s">
        <v>7</v>
      </c>
      <c r="B38" t="s">
        <v>831</v>
      </c>
      <c r="C38" t="s">
        <v>240</v>
      </c>
      <c r="D38" s="240" t="str">
        <f>D36</f>
        <v>June 15</v>
      </c>
    </row>
    <row r="39" ht="15">
      <c r="A39" s="382"/>
    </row>
    <row r="40" spans="1:4" ht="15">
      <c r="A40" s="381" t="s">
        <v>1412</v>
      </c>
      <c r="B40" t="s">
        <v>832</v>
      </c>
      <c r="C40" t="s">
        <v>1525</v>
      </c>
      <c r="D40" s="240" t="str">
        <f>D38</f>
        <v>June 15</v>
      </c>
    </row>
    <row r="41" spans="1:4" ht="15">
      <c r="A41" s="381"/>
      <c r="D41" s="240"/>
    </row>
    <row r="42" spans="1:4" ht="15">
      <c r="A42" s="381" t="s">
        <v>1413</v>
      </c>
      <c r="B42" t="s">
        <v>1414</v>
      </c>
      <c r="C42" t="s">
        <v>1415</v>
      </c>
      <c r="D42" s="240" t="str">
        <f>D40</f>
        <v>June 15</v>
      </c>
    </row>
    <row r="43" spans="1:4" ht="15">
      <c r="A43" s="381"/>
      <c r="D43" s="240"/>
    </row>
    <row r="44" spans="1:4" ht="15">
      <c r="A44" s="381" t="s">
        <v>1243</v>
      </c>
      <c r="B44" t="s">
        <v>1244</v>
      </c>
      <c r="C44" t="s">
        <v>1546</v>
      </c>
      <c r="D44" s="240" t="str">
        <f>D42</f>
        <v>June 15</v>
      </c>
    </row>
    <row r="45" spans="1:4" ht="15">
      <c r="A45" s="381"/>
      <c r="D45" s="240"/>
    </row>
    <row r="46" spans="1:4" ht="15">
      <c r="A46" s="417" t="s">
        <v>1416</v>
      </c>
      <c r="B46" s="245" t="s">
        <v>671</v>
      </c>
      <c r="C46" s="245" t="s">
        <v>670</v>
      </c>
      <c r="D46" s="240" t="str">
        <f>D60</f>
        <v>October 15</v>
      </c>
    </row>
    <row r="47" spans="1:3" ht="15">
      <c r="A47" s="418"/>
      <c r="B47" s="245"/>
      <c r="C47" s="245"/>
    </row>
    <row r="48" spans="1:4" ht="15">
      <c r="A48" s="417" t="s">
        <v>9</v>
      </c>
      <c r="B48" s="245" t="s">
        <v>8</v>
      </c>
      <c r="C48" s="245" t="s">
        <v>10</v>
      </c>
      <c r="D48" s="240" t="s">
        <v>325</v>
      </c>
    </row>
    <row r="49" spans="1:3" ht="15">
      <c r="A49" s="418"/>
      <c r="B49" s="245"/>
      <c r="C49" s="245"/>
    </row>
    <row r="50" spans="1:4" ht="15">
      <c r="A50" s="572" t="s">
        <v>1547</v>
      </c>
      <c r="B50" s="245" t="s">
        <v>1548</v>
      </c>
      <c r="C50" s="245" t="s">
        <v>1549</v>
      </c>
      <c r="D50" s="240" t="s">
        <v>325</v>
      </c>
    </row>
    <row r="51" spans="1:3" ht="15">
      <c r="A51" s="418"/>
      <c r="B51" s="245"/>
      <c r="C51" s="245"/>
    </row>
    <row r="52" spans="1:4" ht="15">
      <c r="A52" s="417" t="s">
        <v>1526</v>
      </c>
      <c r="B52" s="245" t="s">
        <v>444</v>
      </c>
      <c r="C52" s="245" t="s">
        <v>146</v>
      </c>
      <c r="D52" s="240" t="s">
        <v>325</v>
      </c>
    </row>
    <row r="53" spans="1:3" ht="15">
      <c r="A53" s="418"/>
      <c r="B53" s="245"/>
      <c r="C53" s="245"/>
    </row>
    <row r="54" spans="1:4" ht="15">
      <c r="A54" s="417" t="s">
        <v>1527</v>
      </c>
      <c r="B54" s="245" t="s">
        <v>445</v>
      </c>
      <c r="C54" s="245" t="s">
        <v>147</v>
      </c>
      <c r="D54" s="240" t="str">
        <f>D52</f>
        <v>October 15</v>
      </c>
    </row>
    <row r="55" spans="1:3" ht="15">
      <c r="A55" s="418"/>
      <c r="B55" s="245"/>
      <c r="C55" s="245"/>
    </row>
    <row r="56" spans="1:4" ht="15">
      <c r="A56" s="417" t="s">
        <v>1417</v>
      </c>
      <c r="B56" s="245" t="s">
        <v>1528</v>
      </c>
      <c r="C56" s="245" t="s">
        <v>148</v>
      </c>
      <c r="D56" s="240" t="str">
        <f>D54</f>
        <v>October 15</v>
      </c>
    </row>
    <row r="57" spans="1:3" ht="15">
      <c r="A57" s="418"/>
      <c r="B57" s="245"/>
      <c r="C57" s="245"/>
    </row>
    <row r="58" spans="1:4" ht="15">
      <c r="A58" s="417" t="s">
        <v>1418</v>
      </c>
      <c r="B58" s="245" t="s">
        <v>1529</v>
      </c>
      <c r="C58" s="245" t="s">
        <v>149</v>
      </c>
      <c r="D58" s="240" t="str">
        <f>D56</f>
        <v>October 15</v>
      </c>
    </row>
    <row r="59" spans="1:3" ht="15">
      <c r="A59" s="418"/>
      <c r="B59" s="245"/>
      <c r="C59" s="245"/>
    </row>
    <row r="60" spans="1:4" ht="15">
      <c r="A60" s="417" t="s">
        <v>693</v>
      </c>
      <c r="B60" s="245" t="s">
        <v>1530</v>
      </c>
      <c r="C60" s="245" t="s">
        <v>669</v>
      </c>
      <c r="D60" s="240" t="str">
        <f>D58</f>
        <v>October 15</v>
      </c>
    </row>
    <row r="61" ht="15">
      <c r="A61" s="382"/>
    </row>
    <row r="62" spans="1:4" ht="15">
      <c r="A62" s="513" t="s">
        <v>11</v>
      </c>
      <c r="B62" t="s">
        <v>12</v>
      </c>
      <c r="C62" t="s">
        <v>13</v>
      </c>
      <c r="D62" s="240" t="str">
        <f>D60</f>
        <v>October 15</v>
      </c>
    </row>
    <row r="63" ht="15">
      <c r="A63" s="382"/>
    </row>
    <row r="64" spans="1:4" ht="15">
      <c r="A64" s="573" t="s">
        <v>1550</v>
      </c>
      <c r="B64" t="s">
        <v>1551</v>
      </c>
      <c r="C64" t="s">
        <v>1552</v>
      </c>
      <c r="D64" s="240" t="str">
        <f>D62</f>
        <v>October 15</v>
      </c>
    </row>
  </sheetData>
  <sheetProtection/>
  <mergeCells count="4">
    <mergeCell ref="A7:E7"/>
    <mergeCell ref="A9:E9"/>
    <mergeCell ref="A11:E11"/>
    <mergeCell ref="B12:E12"/>
  </mergeCells>
  <hyperlinks>
    <hyperlink ref="A18" location="'Actual Net Rev Req'!A1" display="Actual Net Rev Req"/>
    <hyperlink ref="A20" location="'Actual Gross Rev'!A1" display="Actual Gross Rev Req"/>
    <hyperlink ref="A22" location="'A-1 (Rev. Credit)'!A1" display="Worksheet A-1"/>
    <hyperlink ref="A24" location="'A-2 (Divisor)'!A1" display="Worksheet A-2"/>
    <hyperlink ref="A26" location="'A-3 (Retail Adder)'!A1" display="Worksheet A-3"/>
    <hyperlink ref="A28" location="'A-4 (WEN O&amp;M Exclusions)'!A1" display="Worksheet A-4"/>
    <hyperlink ref="A30" location="'a-5 (WEN ADIT)'!A1" display="Worksheet A-5"/>
    <hyperlink ref="A32" location="'A-6 (WES O&amp;M Exclusions)'!A1" display="Worksheet A-6"/>
    <hyperlink ref="A34" location="'A-7 (WES ADIT)'!A1" display="Worksheet A-7"/>
    <hyperlink ref="A36" location="'A-8 (Depr Calc-Opt.)'!A1" display="Worksheet A-8"/>
    <hyperlink ref="A38" location="'A-9 (Act. BPF Projects)'!A1" display="A-9 (Actual BPF Summary)"/>
    <hyperlink ref="A40" location="'A-10 (Wages &amp; Salaries)'!A1" display="Worksheet A-10"/>
    <hyperlink ref="A52" location="'Projected Net Rev Req'!A1" display="Projected Net Rev Req"/>
    <hyperlink ref="A54" location="'Projected Gross Rev Req'!A1" display="Projected Gross Rev Req"/>
    <hyperlink ref="A56" location="'P-1 (Trans Plant)'!A1" display="Worksheet P-1"/>
    <hyperlink ref="A58" location="'P-2 (Exp. &amp; Rev. Credits)'!A1" display="Worksheet P-2"/>
    <hyperlink ref="A60" location="'P-3 (Trans. Network Load)'!A1" display="Worksheet P-3"/>
    <hyperlink ref="A46" location="'TU (True-up)'!A1" display="Worksheet TU"/>
    <hyperlink ref="A48" location="'BPF (BPF Summary)'!A1" display="BPF (BPF Summary) "/>
    <hyperlink ref="A62" location="'P-4 (BPF Projects)'!A1" display="'P-4 (BPF Projects)'!A1"/>
    <hyperlink ref="A44" location="'A-12 (Act. Econ Projects)'!Print_Area" display="A-12 (Act Econ Projects)"/>
    <hyperlink ref="A50" location="'EPP (Econ Proj Sum)'!A1" display="'EPP (Econ Proj Sum)'!A1"/>
    <hyperlink ref="A64" location="'P-5 (Econ. Projects)'!A1" display="'P-5 (Econ. Projects)'!A1"/>
  </hyperlinks>
  <printOptions/>
  <pageMargins left="0.75" right="0.75" top="1" bottom="1" header="0.5" footer="0.5"/>
  <pageSetup fitToHeight="1" fitToWidth="1" horizontalDpi="600" verticalDpi="600" orientation="portrait" scale="51" r:id="rId1"/>
  <headerFooter alignWithMargins="0">
    <oddFooter>&amp;L&amp;D&amp;R&amp;F</oddFooter>
  </headerFooter>
</worksheet>
</file>

<file path=xl/worksheets/sheet10.xml><?xml version="1.0" encoding="utf-8"?>
<worksheet xmlns="http://schemas.openxmlformats.org/spreadsheetml/2006/main" xmlns:r="http://schemas.openxmlformats.org/officeDocument/2006/relationships">
  <sheetPr>
    <tabColor indexed="22"/>
  </sheetPr>
  <dimension ref="A1:K199"/>
  <sheetViews>
    <sheetView view="pageBreakPreview" zoomScale="50" zoomScaleNormal="25" zoomScaleSheetLayoutView="50" zoomScalePageLayoutView="0" workbookViewId="0" topLeftCell="A1">
      <selection activeCell="A1" sqref="A1"/>
    </sheetView>
  </sheetViews>
  <sheetFormatPr defaultColWidth="7.10546875" defaultRowHeight="15"/>
  <cols>
    <col min="1" max="1" width="5.88671875" style="1095" customWidth="1"/>
    <col min="2" max="2" width="10.99609375" style="1109" customWidth="1"/>
    <col min="3" max="3" width="35.77734375" style="1095" customWidth="1"/>
    <col min="4" max="4" width="14.5546875" style="1095" bestFit="1" customWidth="1"/>
    <col min="5" max="10" width="16.77734375" style="1095" customWidth="1"/>
    <col min="11" max="11" width="75.77734375" style="1096" customWidth="1"/>
    <col min="12" max="12" width="10.77734375" style="1095" customWidth="1"/>
    <col min="13" max="16384" width="7.10546875" style="1095" customWidth="1"/>
  </cols>
  <sheetData>
    <row r="1" spans="1:11" ht="20.25">
      <c r="A1" s="1092" t="s">
        <v>1638</v>
      </c>
      <c r="B1" s="1092"/>
      <c r="C1" s="1093"/>
      <c r="D1" s="1093"/>
      <c r="E1" s="1093"/>
      <c r="F1" s="1093"/>
      <c r="G1" s="1093"/>
      <c r="H1" s="1093"/>
      <c r="I1" s="1093"/>
      <c r="J1" s="1094"/>
      <c r="K1" s="1094" t="s">
        <v>23</v>
      </c>
    </row>
    <row r="2" spans="1:10" ht="15">
      <c r="A2" s="248"/>
      <c r="B2" s="248"/>
      <c r="C2" s="1093"/>
      <c r="D2" s="1093"/>
      <c r="E2" s="1093"/>
      <c r="F2" s="1093"/>
      <c r="G2" s="1093"/>
      <c r="H2" s="1093"/>
      <c r="I2" s="1093"/>
      <c r="J2" s="1093"/>
    </row>
    <row r="3" spans="2:10" ht="15">
      <c r="B3" s="248"/>
      <c r="C3" s="1093"/>
      <c r="D3" s="1093"/>
      <c r="E3" s="1093"/>
      <c r="F3" s="1093"/>
      <c r="G3" s="1093"/>
      <c r="H3" s="1093"/>
      <c r="I3" s="1093"/>
      <c r="J3" s="1093"/>
    </row>
    <row r="4" spans="2:10" ht="18">
      <c r="B4" s="1445" t="s">
        <v>1553</v>
      </c>
      <c r="C4" s="1445"/>
      <c r="D4" s="1445"/>
      <c r="E4" s="1445"/>
      <c r="F4" s="1445"/>
      <c r="G4" s="1445"/>
      <c r="H4" s="1445"/>
      <c r="I4" s="1445"/>
      <c r="J4" s="1445"/>
    </row>
    <row r="5" spans="2:11" ht="18">
      <c r="B5" s="1445" t="s">
        <v>268</v>
      </c>
      <c r="C5" s="1446"/>
      <c r="D5" s="1446"/>
      <c r="E5" s="1446"/>
      <c r="F5" s="1446"/>
      <c r="G5" s="1446"/>
      <c r="H5" s="1446"/>
      <c r="I5" s="1446"/>
      <c r="J5" s="1446"/>
      <c r="K5" s="1097"/>
    </row>
    <row r="6" spans="2:11" ht="15">
      <c r="B6" s="1447" t="str">
        <f>+'Actual Net Rev Req'!$C$4</f>
        <v>For the 12 months ended - December 31, 2008</v>
      </c>
      <c r="C6" s="1447"/>
      <c r="D6" s="1447"/>
      <c r="E6" s="1447"/>
      <c r="F6" s="1447"/>
      <c r="G6" s="1447"/>
      <c r="H6" s="1447"/>
      <c r="I6" s="1447"/>
      <c r="J6" s="1447"/>
      <c r="K6" s="1098"/>
    </row>
    <row r="7" spans="1:11" ht="30.75" customHeight="1">
      <c r="A7" s="275" t="s">
        <v>1597</v>
      </c>
      <c r="B7" s="1099"/>
      <c r="C7" s="1100" t="s">
        <v>1056</v>
      </c>
      <c r="D7" s="1101"/>
      <c r="E7" s="192">
        <v>1</v>
      </c>
      <c r="F7" s="192">
        <v>1</v>
      </c>
      <c r="G7" s="1102"/>
      <c r="H7" s="278"/>
      <c r="I7" s="192">
        <v>1</v>
      </c>
      <c r="J7" s="279" t="s">
        <v>1106</v>
      </c>
      <c r="K7" s="1103"/>
    </row>
    <row r="8" spans="1:11" ht="15.75">
      <c r="A8" s="277"/>
      <c r="B8" s="1104"/>
      <c r="C8" s="1101"/>
      <c r="D8" s="1101"/>
      <c r="E8" s="279" t="s">
        <v>1173</v>
      </c>
      <c r="F8" s="279" t="s">
        <v>1151</v>
      </c>
      <c r="G8" s="279" t="s">
        <v>1174</v>
      </c>
      <c r="H8" s="279" t="s">
        <v>1175</v>
      </c>
      <c r="I8" s="279" t="s">
        <v>1598</v>
      </c>
      <c r="J8" s="279" t="s">
        <v>1177</v>
      </c>
      <c r="K8" s="1103"/>
    </row>
    <row r="9" spans="1:11" ht="15.75">
      <c r="A9" s="277"/>
      <c r="B9" s="1104"/>
      <c r="C9" s="1101"/>
      <c r="D9" s="1101"/>
      <c r="E9" s="279" t="s">
        <v>1176</v>
      </c>
      <c r="F9" s="279" t="s">
        <v>1176</v>
      </c>
      <c r="G9" s="279" t="s">
        <v>1176</v>
      </c>
      <c r="H9" s="279" t="s">
        <v>1176</v>
      </c>
      <c r="I9" s="279" t="s">
        <v>1176</v>
      </c>
      <c r="J9" s="280"/>
      <c r="K9" s="1103"/>
    </row>
    <row r="10" spans="1:11" ht="15">
      <c r="A10" s="277"/>
      <c r="B10" s="1104"/>
      <c r="C10" s="1101"/>
      <c r="D10" s="1101"/>
      <c r="E10" s="1101"/>
      <c r="F10" s="1101"/>
      <c r="G10" s="1101"/>
      <c r="H10" s="1101"/>
      <c r="I10" s="1101"/>
      <c r="J10" s="1101"/>
      <c r="K10" s="1103"/>
    </row>
    <row r="11" spans="1:11" ht="15">
      <c r="A11" s="277"/>
      <c r="B11" s="1104"/>
      <c r="C11" s="1101"/>
      <c r="D11" s="1101"/>
      <c r="E11" s="1101"/>
      <c r="F11" s="1101"/>
      <c r="G11" s="1101"/>
      <c r="H11" s="1101"/>
      <c r="I11" s="1101"/>
      <c r="J11" s="1101"/>
      <c r="K11" s="1103"/>
    </row>
    <row r="12" spans="1:11" ht="15.75">
      <c r="A12" s="1148">
        <v>1</v>
      </c>
      <c r="B12" s="1149" t="s">
        <v>1591</v>
      </c>
      <c r="C12" s="1150" t="s">
        <v>1178</v>
      </c>
      <c r="D12" s="1151"/>
      <c r="E12" s="1152">
        <f>-E146</f>
        <v>700289.3200000001</v>
      </c>
      <c r="F12" s="1152">
        <f>-F146</f>
        <v>0</v>
      </c>
      <c r="G12" s="1152">
        <f>-G146</f>
        <v>-422595988.96000004</v>
      </c>
      <c r="H12" s="1152">
        <f>-H146</f>
        <v>0</v>
      </c>
      <c r="I12" s="1152">
        <f>-I146</f>
        <v>14855479.01</v>
      </c>
      <c r="J12" s="1152"/>
      <c r="K12" s="1105" t="s">
        <v>1100</v>
      </c>
    </row>
    <row r="13" spans="1:11" ht="15.75">
      <c r="A13" s="1148">
        <v>2</v>
      </c>
      <c r="B13" s="1149" t="s">
        <v>1591</v>
      </c>
      <c r="C13" s="1150" t="s">
        <v>1179</v>
      </c>
      <c r="D13" s="1151"/>
      <c r="E13" s="1152">
        <f>-E198</f>
        <v>-233469401.71000004</v>
      </c>
      <c r="F13" s="1152">
        <f>-F198</f>
        <v>0</v>
      </c>
      <c r="G13" s="1152">
        <f>-G198</f>
        <v>-11626779.24</v>
      </c>
      <c r="H13" s="1152">
        <f>-H198</f>
        <v>0</v>
      </c>
      <c r="I13" s="1152">
        <f>-I198</f>
        <v>867402.73</v>
      </c>
      <c r="J13" s="1152"/>
      <c r="K13" s="1105" t="s">
        <v>1100</v>
      </c>
    </row>
    <row r="14" spans="1:11" ht="15.75">
      <c r="A14" s="1148">
        <v>3</v>
      </c>
      <c r="B14" s="1149" t="s">
        <v>1592</v>
      </c>
      <c r="C14" s="1150" t="s">
        <v>1180</v>
      </c>
      <c r="D14" s="1151"/>
      <c r="E14" s="1152">
        <f>+E110</f>
        <v>81751075.67999999</v>
      </c>
      <c r="F14" s="1152">
        <f>+F110</f>
        <v>1253599.65</v>
      </c>
      <c r="G14" s="1152">
        <f>+G110</f>
        <v>1104628.94</v>
      </c>
      <c r="H14" s="1152">
        <f>+H110</f>
        <v>-719885.189999999</v>
      </c>
      <c r="I14" s="1152">
        <f>+I110</f>
        <v>159973.01</v>
      </c>
      <c r="J14" s="1152"/>
      <c r="K14" s="1105"/>
    </row>
    <row r="15" spans="1:11" ht="15.75">
      <c r="A15" s="1148">
        <v>4</v>
      </c>
      <c r="B15" s="1149"/>
      <c r="C15" s="1150" t="s">
        <v>1181</v>
      </c>
      <c r="D15" s="1151"/>
      <c r="E15" s="1152">
        <f>SUM(E12:E14)</f>
        <v>-151018036.71000004</v>
      </c>
      <c r="F15" s="1152">
        <f>SUM(F12:F14)</f>
        <v>1253599.65</v>
      </c>
      <c r="G15" s="1152">
        <f>SUM(G12:G14)</f>
        <v>-433118139.26000005</v>
      </c>
      <c r="H15" s="1152">
        <f>SUM(H12:H14)</f>
        <v>-719885.189999999</v>
      </c>
      <c r="I15" s="1152">
        <f>SUM(I12:I14)</f>
        <v>15882854.75</v>
      </c>
      <c r="J15" s="1152">
        <f>SUM(E15:I15)</f>
        <v>-567719606.7600001</v>
      </c>
      <c r="K15" s="1103" t="s">
        <v>1100</v>
      </c>
    </row>
    <row r="16" spans="1:11" ht="15.75">
      <c r="A16" s="1148">
        <v>5</v>
      </c>
      <c r="B16" s="1149"/>
      <c r="C16" s="1150" t="s">
        <v>226</v>
      </c>
      <c r="D16" s="1151"/>
      <c r="E16" s="1152"/>
      <c r="F16" s="1152"/>
      <c r="G16" s="1153"/>
      <c r="H16" s="1154">
        <f>WS</f>
        <v>0.053603184670747886</v>
      </c>
      <c r="I16" s="1152"/>
      <c r="J16" s="1152"/>
      <c r="K16" s="1103"/>
    </row>
    <row r="17" spans="1:11" ht="15.75">
      <c r="A17" s="1148">
        <v>6</v>
      </c>
      <c r="B17" s="1149"/>
      <c r="C17" s="1150" t="s">
        <v>1182</v>
      </c>
      <c r="D17" s="1151"/>
      <c r="E17" s="1152"/>
      <c r="F17" s="1152"/>
      <c r="G17" s="1154">
        <f>GP</f>
        <v>0.12698143054354016</v>
      </c>
      <c r="H17" s="1152"/>
      <c r="I17" s="1152"/>
      <c r="J17" s="1152"/>
      <c r="K17" s="1103"/>
    </row>
    <row r="18" spans="1:11" ht="15.75">
      <c r="A18" s="1148">
        <v>7</v>
      </c>
      <c r="B18" s="1149"/>
      <c r="C18" s="1150" t="s">
        <v>1177</v>
      </c>
      <c r="D18" s="1151"/>
      <c r="E18" s="1152"/>
      <c r="F18" s="1152">
        <f>F15</f>
        <v>1253599.65</v>
      </c>
      <c r="G18" s="1153">
        <f>+G15*G17</f>
        <v>-54997960.91759105</v>
      </c>
      <c r="H18" s="1152">
        <f>+H16*H15</f>
        <v>-38588.13878130638</v>
      </c>
      <c r="I18" s="1153">
        <f>+I17*I15</f>
        <v>0</v>
      </c>
      <c r="J18" s="1152">
        <f>SUM(F18:I18)</f>
        <v>-53782949.40637236</v>
      </c>
      <c r="K18" s="1103"/>
    </row>
    <row r="19" spans="1:11" ht="20.25">
      <c r="A19" s="1106" t="str">
        <f>A1</f>
        <v>Worksheet A-7 - WES ADIT</v>
      </c>
      <c r="B19" s="1106"/>
      <c r="C19" s="1107"/>
      <c r="D19" s="1107"/>
      <c r="E19" s="1107"/>
      <c r="F19" s="1107"/>
      <c r="G19" s="1107"/>
      <c r="H19" s="1107"/>
      <c r="I19" s="1107"/>
      <c r="J19" s="1107"/>
      <c r="K19" s="1107"/>
    </row>
    <row r="20" spans="1:11" ht="15">
      <c r="A20" s="1108"/>
      <c r="K20" s="1110" t="s">
        <v>24</v>
      </c>
    </row>
    <row r="21" spans="1:11" ht="18">
      <c r="A21" s="1108"/>
      <c r="B21" s="1444" t="str">
        <f>B4</f>
        <v>Kansas Gas and Electric Company</v>
      </c>
      <c r="C21" s="1445"/>
      <c r="D21" s="1445"/>
      <c r="E21" s="1445"/>
      <c r="F21" s="1445"/>
      <c r="G21" s="1445"/>
      <c r="H21" s="1445"/>
      <c r="I21" s="1445"/>
      <c r="J21" s="1445"/>
      <c r="K21" s="1445"/>
    </row>
    <row r="22" spans="1:11" ht="18">
      <c r="A22" s="1108"/>
      <c r="B22" s="1444" t="str">
        <f>B5</f>
        <v>Allocation of ADIT</v>
      </c>
      <c r="C22" s="1445"/>
      <c r="D22" s="1445"/>
      <c r="E22" s="1445"/>
      <c r="F22" s="1445"/>
      <c r="G22" s="1445"/>
      <c r="H22" s="1445"/>
      <c r="I22" s="1445"/>
      <c r="J22" s="1445"/>
      <c r="K22" s="1445"/>
    </row>
    <row r="23" spans="1:9" ht="12.75">
      <c r="A23" s="1108"/>
      <c r="H23" s="1111"/>
      <c r="I23" s="1111"/>
    </row>
    <row r="24" spans="1:11" ht="15.75">
      <c r="A24" s="1108"/>
      <c r="C24" s="1100" t="s">
        <v>1180</v>
      </c>
      <c r="D24" s="279" t="s">
        <v>1165</v>
      </c>
      <c r="E24" s="279" t="s">
        <v>1166</v>
      </c>
      <c r="F24" s="279" t="s">
        <v>1167</v>
      </c>
      <c r="G24" s="279" t="s">
        <v>1168</v>
      </c>
      <c r="H24" s="279" t="s">
        <v>1170</v>
      </c>
      <c r="I24" s="279" t="s">
        <v>1171</v>
      </c>
      <c r="J24" s="279" t="s">
        <v>1172</v>
      </c>
      <c r="K24" s="1097" t="s">
        <v>1172</v>
      </c>
    </row>
    <row r="25" spans="1:11" ht="15.75">
      <c r="A25" s="1108"/>
      <c r="C25" s="1101"/>
      <c r="D25" s="1101"/>
      <c r="E25" s="179">
        <f aca="true" t="shared" si="0" ref="E25:F27">+E7</f>
        <v>1</v>
      </c>
      <c r="F25" s="179">
        <f t="shared" si="0"/>
        <v>1</v>
      </c>
      <c r="G25" s="179"/>
      <c r="H25" s="179"/>
      <c r="I25" s="191" t="s">
        <v>1599</v>
      </c>
      <c r="J25" s="279" t="s">
        <v>1183</v>
      </c>
      <c r="K25" s="1112" t="s">
        <v>1100</v>
      </c>
    </row>
    <row r="26" spans="1:11" ht="15.75">
      <c r="A26" s="1108"/>
      <c r="C26" s="1101"/>
      <c r="D26" s="823">
        <v>2008</v>
      </c>
      <c r="E26" s="279" t="str">
        <f>+E8</f>
        <v>NonTrans.</v>
      </c>
      <c r="F26" s="279" t="str">
        <f t="shared" si="0"/>
        <v>Transmission</v>
      </c>
      <c r="G26" s="279" t="str">
        <f>+G8</f>
        <v>Plant </v>
      </c>
      <c r="H26" s="279" t="str">
        <f>+H8</f>
        <v>Labor</v>
      </c>
      <c r="I26" s="189" t="s">
        <v>1600</v>
      </c>
      <c r="J26" s="279" t="s">
        <v>1184</v>
      </c>
      <c r="K26" s="1112" t="s">
        <v>234</v>
      </c>
    </row>
    <row r="27" spans="1:11" ht="15.75">
      <c r="A27" s="1108"/>
      <c r="C27" s="1101"/>
      <c r="D27" s="280" t="s">
        <v>1185</v>
      </c>
      <c r="E27" s="279" t="str">
        <f t="shared" si="0"/>
        <v>Related</v>
      </c>
      <c r="F27" s="279" t="str">
        <f t="shared" si="0"/>
        <v>Related</v>
      </c>
      <c r="G27" s="279" t="str">
        <f>+G9</f>
        <v>Related</v>
      </c>
      <c r="H27" s="279" t="str">
        <f>+H9</f>
        <v>Related</v>
      </c>
      <c r="I27" s="189" t="s">
        <v>1601</v>
      </c>
      <c r="J27" s="279" t="s">
        <v>490</v>
      </c>
      <c r="K27" s="1112" t="s">
        <v>187</v>
      </c>
    </row>
    <row r="28" spans="1:9" ht="12.75">
      <c r="A28" s="1108"/>
      <c r="G28" s="1113"/>
      <c r="H28" s="1113"/>
      <c r="I28" s="1113"/>
    </row>
    <row r="29" spans="1:11" s="1113" customFormat="1" ht="15">
      <c r="A29" s="1114"/>
      <c r="B29" s="1373">
        <v>1900140</v>
      </c>
      <c r="C29" s="1354" t="s">
        <v>527</v>
      </c>
      <c r="D29" s="1357">
        <v>0</v>
      </c>
      <c r="E29" s="1357">
        <f>+D29</f>
        <v>0</v>
      </c>
      <c r="F29" s="1357"/>
      <c r="G29" s="1354">
        <f>+D29-E29-F29-H29</f>
        <v>0</v>
      </c>
      <c r="H29" s="1354"/>
      <c r="I29" s="1354"/>
      <c r="J29" s="1355"/>
      <c r="K29" s="1373" t="s">
        <v>1186</v>
      </c>
    </row>
    <row r="30" spans="1:11" ht="15">
      <c r="A30" s="1108"/>
      <c r="B30" s="1373" t="s">
        <v>1100</v>
      </c>
      <c r="C30" s="1354" t="s">
        <v>1100</v>
      </c>
      <c r="D30" s="1357" t="s">
        <v>1100</v>
      </c>
      <c r="E30" s="1357"/>
      <c r="F30" s="1357"/>
      <c r="G30" s="1357" t="s">
        <v>1100</v>
      </c>
      <c r="H30" s="1354"/>
      <c r="I30" s="1354"/>
      <c r="J30" s="1355"/>
      <c r="K30" s="1373"/>
    </row>
    <row r="31" spans="1:11" ht="15">
      <c r="A31" s="1108"/>
      <c r="B31" s="1373"/>
      <c r="C31" s="1374" t="s">
        <v>528</v>
      </c>
      <c r="D31" s="1357"/>
      <c r="E31" s="1357"/>
      <c r="F31" s="1357"/>
      <c r="G31" s="1357"/>
      <c r="H31" s="1354"/>
      <c r="I31" s="1354"/>
      <c r="J31" s="1355"/>
      <c r="K31" s="1373"/>
    </row>
    <row r="32" spans="1:11" ht="15">
      <c r="A32" s="1108"/>
      <c r="B32" s="1373">
        <v>1901010</v>
      </c>
      <c r="C32" s="1354" t="s">
        <v>951</v>
      </c>
      <c r="D32" s="1354">
        <v>3176523.92</v>
      </c>
      <c r="E32" s="1354">
        <f>D32</f>
        <v>3176523.92</v>
      </c>
      <c r="F32" s="1354"/>
      <c r="G32" s="1354"/>
      <c r="H32" s="1354"/>
      <c r="I32" s="1354"/>
      <c r="J32" s="1355" t="s">
        <v>1086</v>
      </c>
      <c r="K32" s="1375" t="s">
        <v>952</v>
      </c>
    </row>
    <row r="33" spans="1:11" s="1113" customFormat="1" ht="30">
      <c r="A33" s="1114"/>
      <c r="B33" s="1373">
        <v>1901013</v>
      </c>
      <c r="C33" s="1354" t="s">
        <v>529</v>
      </c>
      <c r="D33" s="1354">
        <v>0</v>
      </c>
      <c r="E33" s="1354">
        <f>+D33</f>
        <v>0</v>
      </c>
      <c r="F33" s="1354"/>
      <c r="G33" s="1354">
        <f>+D33-E33-F33-H33</f>
        <v>0</v>
      </c>
      <c r="H33" s="1354"/>
      <c r="I33" s="1354"/>
      <c r="J33" s="1355" t="s">
        <v>1086</v>
      </c>
      <c r="K33" s="1375" t="s">
        <v>953</v>
      </c>
    </row>
    <row r="34" spans="1:11" ht="15">
      <c r="A34" s="1108"/>
      <c r="B34" s="1373">
        <v>1901015</v>
      </c>
      <c r="C34" s="1354" t="s">
        <v>533</v>
      </c>
      <c r="D34" s="1354">
        <v>-7508619.7</v>
      </c>
      <c r="E34" s="1354"/>
      <c r="F34" s="1354"/>
      <c r="G34" s="1354">
        <f>+D34-H34</f>
        <v>0</v>
      </c>
      <c r="H34" s="1354">
        <f>+D34</f>
        <v>-7508619.7</v>
      </c>
      <c r="I34" s="1354"/>
      <c r="J34" s="1355" t="s">
        <v>1187</v>
      </c>
      <c r="K34" s="1375" t="s">
        <v>534</v>
      </c>
    </row>
    <row r="35" spans="1:11" ht="15">
      <c r="A35" s="1108"/>
      <c r="B35" s="1373">
        <v>1901016</v>
      </c>
      <c r="C35" s="1354" t="s">
        <v>535</v>
      </c>
      <c r="D35" s="1354">
        <v>115383.12</v>
      </c>
      <c r="E35" s="1354"/>
      <c r="F35" s="1354"/>
      <c r="G35" s="1354">
        <f>+D35-H35</f>
        <v>0</v>
      </c>
      <c r="H35" s="1354">
        <f>+D35</f>
        <v>115383.12</v>
      </c>
      <c r="I35" s="1354"/>
      <c r="J35" s="1355" t="s">
        <v>1187</v>
      </c>
      <c r="K35" s="1375" t="s">
        <v>536</v>
      </c>
    </row>
    <row r="36" spans="1:11" ht="15">
      <c r="A36" s="1108"/>
      <c r="B36" s="1373">
        <v>1901017</v>
      </c>
      <c r="C36" s="1354" t="s">
        <v>954</v>
      </c>
      <c r="D36" s="1354">
        <v>50218317.77</v>
      </c>
      <c r="E36" s="1354">
        <f>+D36</f>
        <v>50218317.77</v>
      </c>
      <c r="F36" s="1354"/>
      <c r="G36" s="1354"/>
      <c r="H36" s="1354"/>
      <c r="I36" s="1354"/>
      <c r="J36" s="1355" t="s">
        <v>1086</v>
      </c>
      <c r="K36" s="1375" t="s">
        <v>955</v>
      </c>
    </row>
    <row r="37" spans="1:11" ht="15">
      <c r="A37" s="1108"/>
      <c r="B37" s="1373">
        <v>1901018</v>
      </c>
      <c r="C37" s="1354" t="s">
        <v>537</v>
      </c>
      <c r="D37" s="1354">
        <v>0</v>
      </c>
      <c r="E37" s="1354"/>
      <c r="F37" s="1354"/>
      <c r="G37" s="1354"/>
      <c r="H37" s="1354"/>
      <c r="I37" s="1354">
        <f>D37</f>
        <v>0</v>
      </c>
      <c r="J37" s="1355" t="s">
        <v>1086</v>
      </c>
      <c r="K37" s="1375" t="s">
        <v>538</v>
      </c>
    </row>
    <row r="38" spans="1:11" ht="15">
      <c r="A38" s="1108"/>
      <c r="B38" s="1373">
        <v>1901019</v>
      </c>
      <c r="C38" s="1354" t="s">
        <v>539</v>
      </c>
      <c r="D38" s="1354">
        <v>2150.08</v>
      </c>
      <c r="E38" s="1354"/>
      <c r="F38" s="1354"/>
      <c r="G38" s="1354">
        <f aca="true" t="shared" si="1" ref="G38:G45">+D38-H38</f>
        <v>2150.08</v>
      </c>
      <c r="H38" s="1354"/>
      <c r="I38" s="1354"/>
      <c r="J38" s="1355" t="s">
        <v>1187</v>
      </c>
      <c r="K38" s="1375" t="s">
        <v>540</v>
      </c>
    </row>
    <row r="39" spans="1:11" s="1113" customFormat="1" ht="15">
      <c r="A39" s="1114"/>
      <c r="B39" s="1373">
        <v>1901020</v>
      </c>
      <c r="C39" s="1354" t="s">
        <v>541</v>
      </c>
      <c r="D39" s="1354">
        <v>215040.59</v>
      </c>
      <c r="E39" s="1354"/>
      <c r="F39" s="1354"/>
      <c r="G39" s="1354">
        <f t="shared" si="1"/>
        <v>215040.59</v>
      </c>
      <c r="H39" s="1354"/>
      <c r="I39" s="1354"/>
      <c r="J39" s="1355" t="s">
        <v>1187</v>
      </c>
      <c r="K39" s="1375" t="s">
        <v>542</v>
      </c>
    </row>
    <row r="40" spans="1:11" ht="15">
      <c r="A40" s="1108"/>
      <c r="B40" s="1373">
        <v>1901021</v>
      </c>
      <c r="C40" s="1354" t="s">
        <v>543</v>
      </c>
      <c r="D40" s="1354">
        <v>521975.97</v>
      </c>
      <c r="E40" s="1354">
        <f>D40</f>
        <v>521975.97</v>
      </c>
      <c r="F40" s="1354"/>
      <c r="G40" s="1354"/>
      <c r="H40" s="1354"/>
      <c r="I40" s="1354"/>
      <c r="J40" s="1355" t="s">
        <v>1086</v>
      </c>
      <c r="K40" s="1375" t="s">
        <v>544</v>
      </c>
    </row>
    <row r="41" spans="1:11" ht="15">
      <c r="A41" s="1108"/>
      <c r="B41" s="1373">
        <v>1901022</v>
      </c>
      <c r="C41" s="1354" t="s">
        <v>545</v>
      </c>
      <c r="D41" s="1354">
        <v>333639.1</v>
      </c>
      <c r="E41" s="1354"/>
      <c r="F41" s="1354"/>
      <c r="G41" s="1354">
        <f t="shared" si="1"/>
        <v>333639.1</v>
      </c>
      <c r="H41" s="1354"/>
      <c r="I41" s="1354"/>
      <c r="J41" s="1355" t="s">
        <v>1187</v>
      </c>
      <c r="K41" s="1375" t="s">
        <v>546</v>
      </c>
    </row>
    <row r="42" spans="1:11" ht="15">
      <c r="A42" s="1108"/>
      <c r="B42" s="1373">
        <v>1901026</v>
      </c>
      <c r="C42" s="1354" t="s">
        <v>547</v>
      </c>
      <c r="D42" s="1354">
        <v>845029.48</v>
      </c>
      <c r="E42" s="1354"/>
      <c r="F42" s="1354"/>
      <c r="G42" s="1354">
        <f t="shared" si="1"/>
        <v>0</v>
      </c>
      <c r="H42" s="1354">
        <f>+D42</f>
        <v>845029.48</v>
      </c>
      <c r="I42" s="1354"/>
      <c r="J42" s="1355" t="s">
        <v>1187</v>
      </c>
      <c r="K42" s="1375" t="s">
        <v>548</v>
      </c>
    </row>
    <row r="43" spans="1:11" ht="15">
      <c r="A43" s="1108"/>
      <c r="B43" s="1373">
        <v>1901027</v>
      </c>
      <c r="C43" s="1354" t="s">
        <v>549</v>
      </c>
      <c r="D43" s="1354">
        <v>11093.48</v>
      </c>
      <c r="E43" s="1354">
        <f>D43</f>
        <v>11093.48</v>
      </c>
      <c r="F43" s="1354"/>
      <c r="G43" s="1354"/>
      <c r="H43" s="1354"/>
      <c r="I43" s="1354"/>
      <c r="J43" s="1355" t="s">
        <v>1086</v>
      </c>
      <c r="K43" s="1375" t="s">
        <v>550</v>
      </c>
    </row>
    <row r="44" spans="1:11" ht="15">
      <c r="A44" s="1108"/>
      <c r="B44" s="1373">
        <v>1901032</v>
      </c>
      <c r="C44" s="1354" t="s">
        <v>551</v>
      </c>
      <c r="D44" s="1354">
        <v>0</v>
      </c>
      <c r="E44" s="1354">
        <f>+D44</f>
        <v>0</v>
      </c>
      <c r="F44" s="1354"/>
      <c r="G44" s="1354"/>
      <c r="H44" s="1354"/>
      <c r="I44" s="1354"/>
      <c r="J44" s="1355" t="s">
        <v>1187</v>
      </c>
      <c r="K44" s="1375" t="s">
        <v>552</v>
      </c>
    </row>
    <row r="45" spans="1:11" ht="15">
      <c r="A45" s="1108"/>
      <c r="B45" s="1373">
        <v>1901034</v>
      </c>
      <c r="C45" s="1354" t="s">
        <v>553</v>
      </c>
      <c r="D45" s="1354">
        <v>-1703654.27</v>
      </c>
      <c r="E45" s="1354"/>
      <c r="F45" s="1354"/>
      <c r="G45" s="1354">
        <f t="shared" si="1"/>
        <v>0</v>
      </c>
      <c r="H45" s="1354">
        <f>+D45</f>
        <v>-1703654.27</v>
      </c>
      <c r="I45" s="1354"/>
      <c r="J45" s="1355" t="s">
        <v>1187</v>
      </c>
      <c r="K45" s="1375" t="s">
        <v>554</v>
      </c>
    </row>
    <row r="46" spans="1:11" ht="15">
      <c r="A46" s="1108"/>
      <c r="B46" s="1373">
        <v>1901035</v>
      </c>
      <c r="C46" s="1354" t="s">
        <v>555</v>
      </c>
      <c r="D46" s="1354">
        <v>185715.78</v>
      </c>
      <c r="E46" s="1354">
        <f>D46</f>
        <v>185715.78</v>
      </c>
      <c r="F46" s="1354"/>
      <c r="G46" s="1354"/>
      <c r="H46" s="1354"/>
      <c r="I46" s="1354"/>
      <c r="J46" s="1355" t="s">
        <v>1086</v>
      </c>
      <c r="K46" s="1375" t="s">
        <v>556</v>
      </c>
    </row>
    <row r="47" spans="1:11" ht="30">
      <c r="A47" s="1108"/>
      <c r="B47" s="1373">
        <v>1901037</v>
      </c>
      <c r="C47" s="1376" t="s">
        <v>956</v>
      </c>
      <c r="D47" s="1354">
        <v>10537.9</v>
      </c>
      <c r="E47" s="1354">
        <f>+D47-H47</f>
        <v>10537.9</v>
      </c>
      <c r="F47" s="1354"/>
      <c r="G47" s="1377"/>
      <c r="H47" s="1354"/>
      <c r="I47" s="1354"/>
      <c r="J47" s="1355" t="s">
        <v>1086</v>
      </c>
      <c r="K47" s="1375" t="s">
        <v>846</v>
      </c>
    </row>
    <row r="48" spans="1:11" ht="15">
      <c r="A48" s="1108"/>
      <c r="B48" s="1373">
        <v>1901038</v>
      </c>
      <c r="C48" s="1378" t="s">
        <v>847</v>
      </c>
      <c r="D48" s="1354">
        <v>3339326.05</v>
      </c>
      <c r="E48" s="1354">
        <f>+D48</f>
        <v>3339326.05</v>
      </c>
      <c r="F48" s="1354"/>
      <c r="G48" s="1354"/>
      <c r="H48" s="1354"/>
      <c r="I48" s="1354"/>
      <c r="J48" s="1355" t="s">
        <v>1187</v>
      </c>
      <c r="K48" s="1375" t="s">
        <v>955</v>
      </c>
    </row>
    <row r="49" spans="1:11" s="1113" customFormat="1" ht="15">
      <c r="A49" s="1114"/>
      <c r="B49" s="1373">
        <v>1901043</v>
      </c>
      <c r="C49" s="1354" t="s">
        <v>565</v>
      </c>
      <c r="D49" s="1354">
        <v>4402.45</v>
      </c>
      <c r="E49" s="1354">
        <f>+D49</f>
        <v>4402.45</v>
      </c>
      <c r="F49" s="1354"/>
      <c r="G49" s="1354">
        <f>+D49-E49-F49-H49</f>
        <v>0</v>
      </c>
      <c r="H49" s="1354"/>
      <c r="I49" s="1354"/>
      <c r="J49" s="1355" t="s">
        <v>1187</v>
      </c>
      <c r="K49" s="1375" t="s">
        <v>727</v>
      </c>
    </row>
    <row r="50" spans="1:11" ht="30">
      <c r="A50" s="1108"/>
      <c r="B50" s="1373">
        <v>1901044</v>
      </c>
      <c r="C50" s="1354" t="s">
        <v>1421</v>
      </c>
      <c r="D50" s="1354">
        <v>0</v>
      </c>
      <c r="E50" s="1354"/>
      <c r="F50" s="1354"/>
      <c r="G50" s="1354">
        <f>+D50-H50</f>
        <v>0</v>
      </c>
      <c r="H50" s="1354"/>
      <c r="I50" s="1354"/>
      <c r="J50" s="1355" t="s">
        <v>1187</v>
      </c>
      <c r="K50" s="1375" t="s">
        <v>848</v>
      </c>
    </row>
    <row r="51" spans="1:11" ht="15">
      <c r="A51" s="1108"/>
      <c r="B51" s="1373">
        <v>1901045</v>
      </c>
      <c r="C51" s="1354" t="s">
        <v>1423</v>
      </c>
      <c r="D51" s="1354">
        <v>0</v>
      </c>
      <c r="E51" s="1354"/>
      <c r="F51" s="1354"/>
      <c r="G51" s="1354">
        <f>+D51-H51</f>
        <v>0</v>
      </c>
      <c r="H51" s="1354">
        <f>+D51</f>
        <v>0</v>
      </c>
      <c r="I51" s="1354"/>
      <c r="J51" s="1355" t="s">
        <v>1187</v>
      </c>
      <c r="K51" s="1375" t="s">
        <v>1424</v>
      </c>
    </row>
    <row r="52" spans="1:11" ht="30">
      <c r="A52" s="1108"/>
      <c r="B52" s="1373">
        <v>1901046</v>
      </c>
      <c r="C52" s="1354" t="s">
        <v>1425</v>
      </c>
      <c r="D52" s="1354">
        <v>276850</v>
      </c>
      <c r="E52" s="1354">
        <f>+D52</f>
        <v>276850</v>
      </c>
      <c r="F52" s="1354"/>
      <c r="G52" s="1354"/>
      <c r="H52" s="1354"/>
      <c r="I52" s="1354"/>
      <c r="J52" s="1355" t="s">
        <v>1187</v>
      </c>
      <c r="K52" s="1375" t="s">
        <v>1426</v>
      </c>
    </row>
    <row r="53" spans="1:11" ht="15">
      <c r="A53" s="1108"/>
      <c r="B53" s="1373">
        <v>1901048</v>
      </c>
      <c r="C53" s="1379" t="s">
        <v>1429</v>
      </c>
      <c r="D53" s="1354">
        <v>0</v>
      </c>
      <c r="E53" s="1354">
        <f>+D53</f>
        <v>0</v>
      </c>
      <c r="F53" s="1354"/>
      <c r="G53" s="1354"/>
      <c r="H53" s="1354"/>
      <c r="I53" s="1354"/>
      <c r="J53" s="1355" t="s">
        <v>1187</v>
      </c>
      <c r="K53" s="1375" t="s">
        <v>1430</v>
      </c>
    </row>
    <row r="54" spans="1:11" ht="30">
      <c r="A54" s="1108"/>
      <c r="B54" s="1373">
        <v>1901050</v>
      </c>
      <c r="C54" s="1354" t="s">
        <v>1431</v>
      </c>
      <c r="D54" s="1354">
        <v>552674.03</v>
      </c>
      <c r="E54" s="1354"/>
      <c r="F54" s="1354"/>
      <c r="G54" s="1354">
        <f>+D54-E54-F54-H54</f>
        <v>552674.03</v>
      </c>
      <c r="H54" s="1354"/>
      <c r="I54" s="1354"/>
      <c r="J54" s="1355" t="s">
        <v>1187</v>
      </c>
      <c r="K54" s="1375" t="s">
        <v>1432</v>
      </c>
    </row>
    <row r="55" spans="1:11" ht="15">
      <c r="A55" s="1108"/>
      <c r="B55" s="1373">
        <v>1901051</v>
      </c>
      <c r="C55" s="1354" t="s">
        <v>1433</v>
      </c>
      <c r="D55" s="1354">
        <v>20946.69</v>
      </c>
      <c r="E55" s="1354">
        <f>+D55</f>
        <v>20946.69</v>
      </c>
      <c r="F55" s="1354"/>
      <c r="G55" s="1354"/>
      <c r="H55" s="1354"/>
      <c r="I55" s="1354"/>
      <c r="J55" s="1355" t="s">
        <v>1187</v>
      </c>
      <c r="K55" s="1375" t="s">
        <v>1434</v>
      </c>
    </row>
    <row r="56" spans="1:11" ht="30">
      <c r="A56" s="1108"/>
      <c r="B56" s="1373">
        <v>1901052</v>
      </c>
      <c r="C56" s="1354" t="s">
        <v>1435</v>
      </c>
      <c r="D56" s="1354">
        <v>0</v>
      </c>
      <c r="E56" s="1354">
        <f>+D56</f>
        <v>0</v>
      </c>
      <c r="F56" s="1354"/>
      <c r="G56" s="1354"/>
      <c r="H56" s="1354"/>
      <c r="I56" s="1354"/>
      <c r="J56" s="1355" t="s">
        <v>1187</v>
      </c>
      <c r="K56" s="1375" t="s">
        <v>1436</v>
      </c>
    </row>
    <row r="57" spans="1:11" ht="15" customHeight="1">
      <c r="A57" s="1108"/>
      <c r="B57" s="1373">
        <v>1901054</v>
      </c>
      <c r="C57" s="1354" t="s">
        <v>1439</v>
      </c>
      <c r="D57" s="1354">
        <v>16373410.34</v>
      </c>
      <c r="E57" s="1354">
        <f>+D57</f>
        <v>16373410.34</v>
      </c>
      <c r="F57" s="1354"/>
      <c r="G57" s="1354"/>
      <c r="H57" s="1354"/>
      <c r="I57" s="1354"/>
      <c r="J57" s="1355" t="s">
        <v>1086</v>
      </c>
      <c r="K57" s="1375" t="s">
        <v>1440</v>
      </c>
    </row>
    <row r="58" spans="1:11" ht="30">
      <c r="A58" s="1108"/>
      <c r="B58" s="1373">
        <v>1901055</v>
      </c>
      <c r="C58" s="1354" t="s">
        <v>1441</v>
      </c>
      <c r="D58" s="1354">
        <v>1256078.11</v>
      </c>
      <c r="E58" s="1354">
        <f>+D58</f>
        <v>1256078.11</v>
      </c>
      <c r="F58" s="1354"/>
      <c r="G58" s="1354"/>
      <c r="H58" s="1354"/>
      <c r="I58" s="1354"/>
      <c r="J58" s="1355" t="s">
        <v>1086</v>
      </c>
      <c r="K58" s="1375" t="s">
        <v>1442</v>
      </c>
    </row>
    <row r="59" spans="1:11" ht="30">
      <c r="A59" s="1108"/>
      <c r="B59" s="1373">
        <v>1901057</v>
      </c>
      <c r="C59" s="1354" t="s">
        <v>1443</v>
      </c>
      <c r="D59" s="1354">
        <v>4930.97</v>
      </c>
      <c r="E59" s="1354">
        <f>D59</f>
        <v>4930.97</v>
      </c>
      <c r="F59" s="1354"/>
      <c r="G59" s="1354"/>
      <c r="H59" s="1354"/>
      <c r="I59" s="1354"/>
      <c r="J59" s="1355" t="s">
        <v>1086</v>
      </c>
      <c r="K59" s="1375" t="s">
        <v>1444</v>
      </c>
    </row>
    <row r="60" spans="1:11" ht="15">
      <c r="A60" s="1108"/>
      <c r="B60" s="1363">
        <v>1901063</v>
      </c>
      <c r="C60" s="1364" t="s">
        <v>849</v>
      </c>
      <c r="D60" s="1354">
        <v>0</v>
      </c>
      <c r="E60" s="616">
        <f>+D60</f>
        <v>0</v>
      </c>
      <c r="F60" s="616"/>
      <c r="G60" s="616"/>
      <c r="H60" s="616"/>
      <c r="I60" s="616"/>
      <c r="J60" s="1362" t="s">
        <v>1086</v>
      </c>
      <c r="K60" s="1361" t="s">
        <v>364</v>
      </c>
    </row>
    <row r="61" spans="1:11" ht="15">
      <c r="A61" s="1108"/>
      <c r="B61" s="1363">
        <v>1901065</v>
      </c>
      <c r="C61" s="1364" t="s">
        <v>850</v>
      </c>
      <c r="D61" s="1354">
        <v>460464</v>
      </c>
      <c r="E61" s="616">
        <f>+D61</f>
        <v>460464</v>
      </c>
      <c r="F61" s="616"/>
      <c r="G61" s="616"/>
      <c r="H61" s="616"/>
      <c r="I61" s="616"/>
      <c r="J61" s="1362" t="s">
        <v>1086</v>
      </c>
      <c r="K61" s="1361" t="s">
        <v>1079</v>
      </c>
    </row>
    <row r="62" spans="1:11" ht="15">
      <c r="A62" s="1108"/>
      <c r="B62" s="1363">
        <v>1901066</v>
      </c>
      <c r="C62" s="1364" t="s">
        <v>851</v>
      </c>
      <c r="D62" s="1354">
        <v>93408.34</v>
      </c>
      <c r="E62" s="616">
        <f>+D62</f>
        <v>93408.34</v>
      </c>
      <c r="F62" s="616"/>
      <c r="G62" s="616"/>
      <c r="H62" s="616"/>
      <c r="I62" s="616"/>
      <c r="J62" s="1362" t="s">
        <v>1086</v>
      </c>
      <c r="K62" s="1361" t="s">
        <v>1265</v>
      </c>
    </row>
    <row r="63" spans="1:11" ht="30">
      <c r="A63" s="1108"/>
      <c r="B63" s="1363">
        <v>1901067</v>
      </c>
      <c r="C63" s="1364" t="s">
        <v>852</v>
      </c>
      <c r="D63" s="1354">
        <v>44306</v>
      </c>
      <c r="E63" s="616">
        <f>+D63</f>
        <v>44306</v>
      </c>
      <c r="F63" s="616"/>
      <c r="G63" s="616"/>
      <c r="H63" s="616"/>
      <c r="I63" s="616"/>
      <c r="J63" s="1362" t="s">
        <v>1086</v>
      </c>
      <c r="K63" s="1361" t="s">
        <v>1267</v>
      </c>
    </row>
    <row r="64" spans="1:11" ht="15">
      <c r="A64" s="1108"/>
      <c r="B64" s="1363">
        <v>1901075</v>
      </c>
      <c r="C64" s="1364" t="s">
        <v>853</v>
      </c>
      <c r="D64" s="1354">
        <v>462685.43</v>
      </c>
      <c r="E64" s="616"/>
      <c r="F64" s="616">
        <f>+D64</f>
        <v>462685.43</v>
      </c>
      <c r="G64" s="616"/>
      <c r="H64" s="616"/>
      <c r="I64" s="616"/>
      <c r="J64" s="1362" t="s">
        <v>1187</v>
      </c>
      <c r="K64" s="1361" t="s">
        <v>854</v>
      </c>
    </row>
    <row r="65" spans="1:11" ht="15">
      <c r="A65" s="1108"/>
      <c r="B65" s="1363">
        <v>1901078</v>
      </c>
      <c r="C65" s="1364" t="s">
        <v>913</v>
      </c>
      <c r="D65" s="1354">
        <v>5544.79</v>
      </c>
      <c r="E65" s="616">
        <f>+D65</f>
        <v>5544.79</v>
      </c>
      <c r="F65" s="616"/>
      <c r="G65" s="616"/>
      <c r="H65" s="616">
        <v>0</v>
      </c>
      <c r="I65" s="616"/>
      <c r="J65" s="1355" t="s">
        <v>1086</v>
      </c>
      <c r="K65" s="1352" t="s">
        <v>298</v>
      </c>
    </row>
    <row r="66" spans="1:11" ht="15">
      <c r="A66" s="1108"/>
      <c r="B66" s="1363">
        <v>1901082</v>
      </c>
      <c r="C66" s="1364" t="s">
        <v>299</v>
      </c>
      <c r="D66" s="1354">
        <v>400863.77</v>
      </c>
      <c r="E66" s="616">
        <f>+D66</f>
        <v>400863.77</v>
      </c>
      <c r="F66" s="616"/>
      <c r="G66" s="616"/>
      <c r="H66" s="616"/>
      <c r="I66" s="616"/>
      <c r="J66" s="1355" t="s">
        <v>1086</v>
      </c>
      <c r="K66" s="1352" t="s">
        <v>300</v>
      </c>
    </row>
    <row r="67" spans="1:11" ht="15">
      <c r="A67" s="1108"/>
      <c r="B67" s="1363">
        <v>1901084</v>
      </c>
      <c r="C67" s="1364" t="s">
        <v>914</v>
      </c>
      <c r="D67" s="1354">
        <v>941295.89</v>
      </c>
      <c r="E67" s="616">
        <f>+D67</f>
        <v>941295.89</v>
      </c>
      <c r="F67" s="616"/>
      <c r="G67" s="616"/>
      <c r="H67" s="616"/>
      <c r="I67" s="616"/>
      <c r="J67" s="1355" t="s">
        <v>1086</v>
      </c>
      <c r="K67" s="1353" t="s">
        <v>302</v>
      </c>
    </row>
    <row r="68" spans="1:11" ht="15">
      <c r="A68" s="1108"/>
      <c r="B68" s="1373">
        <v>1901085</v>
      </c>
      <c r="C68" s="1354" t="s">
        <v>1274</v>
      </c>
      <c r="D68" s="1354">
        <v>131623.15</v>
      </c>
      <c r="E68" s="1354">
        <f>+D68</f>
        <v>131623.15</v>
      </c>
      <c r="F68" s="1354"/>
      <c r="G68" s="1354">
        <f>+D68-E68-F68-H68</f>
        <v>0</v>
      </c>
      <c r="H68" s="1354"/>
      <c r="I68" s="1354"/>
      <c r="J68" s="1355" t="s">
        <v>1187</v>
      </c>
      <c r="K68" s="1375" t="s">
        <v>1322</v>
      </c>
    </row>
    <row r="69" spans="1:11" ht="15">
      <c r="A69" s="1108"/>
      <c r="B69" s="1373">
        <v>1901086</v>
      </c>
      <c r="C69" s="1354" t="s">
        <v>1323</v>
      </c>
      <c r="D69" s="1354">
        <v>1128272.07</v>
      </c>
      <c r="E69" s="1354"/>
      <c r="F69" s="1354"/>
      <c r="G69" s="1354">
        <f>+D69-H69</f>
        <v>0</v>
      </c>
      <c r="H69" s="1354">
        <f>+D69</f>
        <v>1128272.07</v>
      </c>
      <c r="I69" s="1354"/>
      <c r="J69" s="1355" t="s">
        <v>1187</v>
      </c>
      <c r="K69" s="1375" t="s">
        <v>1324</v>
      </c>
    </row>
    <row r="70" spans="1:11" ht="15">
      <c r="A70" s="1108"/>
      <c r="B70" s="1373">
        <v>1901087</v>
      </c>
      <c r="C70" s="1354" t="s">
        <v>1325</v>
      </c>
      <c r="D70" s="1354">
        <v>3796281.85</v>
      </c>
      <c r="E70" s="1354"/>
      <c r="F70" s="1354"/>
      <c r="G70" s="1354">
        <f>+D70-H70</f>
        <v>0</v>
      </c>
      <c r="H70" s="1354">
        <f>+D70</f>
        <v>3796281.85</v>
      </c>
      <c r="I70" s="1354"/>
      <c r="J70" s="1355" t="s">
        <v>1187</v>
      </c>
      <c r="K70" s="1375" t="s">
        <v>1326</v>
      </c>
    </row>
    <row r="71" spans="1:11" ht="15">
      <c r="A71" s="1108"/>
      <c r="B71" s="1373">
        <v>1901088</v>
      </c>
      <c r="C71" s="1354" t="s">
        <v>915</v>
      </c>
      <c r="D71" s="1354">
        <v>164093.63</v>
      </c>
      <c r="E71" s="1354">
        <f>+D71</f>
        <v>164093.63</v>
      </c>
      <c r="F71" s="1354"/>
      <c r="G71" s="1354">
        <v>0</v>
      </c>
      <c r="H71" s="1354"/>
      <c r="I71" s="1354"/>
      <c r="J71" s="1355" t="s">
        <v>1086</v>
      </c>
      <c r="K71" s="1353" t="s">
        <v>304</v>
      </c>
    </row>
    <row r="72" spans="1:11" s="1113" customFormat="1" ht="30">
      <c r="A72" s="1114"/>
      <c r="B72" s="1373">
        <v>1901090</v>
      </c>
      <c r="C72" s="1376" t="s">
        <v>855</v>
      </c>
      <c r="D72" s="1354">
        <v>705967.77</v>
      </c>
      <c r="E72" s="1354"/>
      <c r="F72" s="1354">
        <f>D72</f>
        <v>705967.77</v>
      </c>
      <c r="G72" s="1354">
        <f>+D72-E72-F72-H72</f>
        <v>0</v>
      </c>
      <c r="H72" s="1354"/>
      <c r="I72" s="1354"/>
      <c r="J72" s="1355" t="s">
        <v>1187</v>
      </c>
      <c r="K72" s="1375" t="s">
        <v>856</v>
      </c>
    </row>
    <row r="73" spans="1:11" ht="30">
      <c r="A73" s="1108"/>
      <c r="B73" s="1373">
        <v>1901091</v>
      </c>
      <c r="C73" s="1354" t="s">
        <v>1329</v>
      </c>
      <c r="D73" s="1354">
        <v>13806.55</v>
      </c>
      <c r="E73" s="1354">
        <f>+D73</f>
        <v>13806.55</v>
      </c>
      <c r="F73" s="1354"/>
      <c r="G73" s="1354">
        <f>+D73-E73-F73-H73</f>
        <v>0</v>
      </c>
      <c r="H73" s="1354"/>
      <c r="I73" s="1354"/>
      <c r="J73" s="1355" t="s">
        <v>1187</v>
      </c>
      <c r="K73" s="1375" t="s">
        <v>1330</v>
      </c>
    </row>
    <row r="74" spans="1:11" ht="15">
      <c r="A74" s="1108"/>
      <c r="B74" s="1373">
        <v>1901092</v>
      </c>
      <c r="C74" s="1354" t="s">
        <v>1331</v>
      </c>
      <c r="D74" s="1354">
        <v>4095560.13</v>
      </c>
      <c r="E74" s="1354">
        <f>+D74</f>
        <v>4095560.13</v>
      </c>
      <c r="F74" s="1354"/>
      <c r="G74" s="1354" t="s">
        <v>1100</v>
      </c>
      <c r="H74" s="1354"/>
      <c r="I74" s="1354"/>
      <c r="J74" s="1355" t="s">
        <v>1086</v>
      </c>
      <c r="K74" s="1375" t="s">
        <v>1332</v>
      </c>
    </row>
    <row r="75" spans="1:11" ht="15">
      <c r="A75" s="1108"/>
      <c r="B75" s="1373">
        <v>1901093</v>
      </c>
      <c r="C75" s="1354" t="s">
        <v>1333</v>
      </c>
      <c r="D75" s="1354">
        <v>2607422.26</v>
      </c>
      <c r="E75" s="1354"/>
      <c r="F75" s="1354"/>
      <c r="G75" s="1354">
        <f>+D75-H75</f>
        <v>0</v>
      </c>
      <c r="H75" s="1354">
        <f>+D75</f>
        <v>2607422.26</v>
      </c>
      <c r="I75" s="1354"/>
      <c r="J75" s="1355" t="s">
        <v>1187</v>
      </c>
      <c r="K75" s="1375" t="s">
        <v>1334</v>
      </c>
    </row>
    <row r="76" spans="1:11" ht="30">
      <c r="A76" s="1108"/>
      <c r="B76" s="1373">
        <v>1901094</v>
      </c>
      <c r="C76" s="1354" t="s">
        <v>1335</v>
      </c>
      <c r="D76" s="1354">
        <v>0</v>
      </c>
      <c r="E76" s="1354"/>
      <c r="F76" s="1354"/>
      <c r="G76" s="1354">
        <f>+D76-H76</f>
        <v>0</v>
      </c>
      <c r="H76" s="1354"/>
      <c r="I76" s="1354"/>
      <c r="J76" s="1355" t="s">
        <v>1187</v>
      </c>
      <c r="K76" s="1375" t="s">
        <v>1336</v>
      </c>
    </row>
    <row r="77" spans="1:11" ht="45">
      <c r="A77" s="1108"/>
      <c r="B77" s="1373">
        <v>1901098</v>
      </c>
      <c r="C77" s="1354" t="s">
        <v>1337</v>
      </c>
      <c r="D77" s="1354">
        <v>1125.14</v>
      </c>
      <c r="E77" s="1354"/>
      <c r="F77" s="1354"/>
      <c r="G77" s="1354">
        <f>+D77-H77</f>
        <v>1125.14</v>
      </c>
      <c r="H77" s="1354"/>
      <c r="I77" s="1354"/>
      <c r="J77" s="1355" t="s">
        <v>1187</v>
      </c>
      <c r="K77" s="1375" t="s">
        <v>1338</v>
      </c>
    </row>
    <row r="78" spans="1:11" ht="15">
      <c r="A78" s="1108"/>
      <c r="B78" s="1373">
        <v>1901099</v>
      </c>
      <c r="C78" s="1354" t="s">
        <v>1339</v>
      </c>
      <c r="D78" s="1357">
        <v>159973.01</v>
      </c>
      <c r="E78" s="1357"/>
      <c r="F78" s="1357"/>
      <c r="G78" s="1354"/>
      <c r="H78" s="1354"/>
      <c r="I78" s="1354">
        <f>D78</f>
        <v>159973.01</v>
      </c>
      <c r="J78" s="1355" t="s">
        <v>1187</v>
      </c>
      <c r="K78" s="1375" t="s">
        <v>725</v>
      </c>
    </row>
    <row r="79" spans="1:11" ht="15">
      <c r="A79" s="1108"/>
      <c r="B79" s="1115" t="s">
        <v>1100</v>
      </c>
      <c r="C79" s="1115" t="s">
        <v>1100</v>
      </c>
      <c r="D79" s="1116" t="s">
        <v>1100</v>
      </c>
      <c r="E79" s="1117"/>
      <c r="F79" s="1117"/>
      <c r="G79" s="1117" t="s">
        <v>1100</v>
      </c>
      <c r="H79" s="282"/>
      <c r="I79" s="282"/>
      <c r="J79" s="1115"/>
      <c r="K79" s="1118"/>
    </row>
    <row r="80" spans="1:11" ht="20.25">
      <c r="A80" s="1106" t="str">
        <f>+A19</f>
        <v>Worksheet A-7 - WES ADIT</v>
      </c>
      <c r="B80" s="1106"/>
      <c r="C80" s="1119"/>
      <c r="D80" s="1120"/>
      <c r="E80" s="1120"/>
      <c r="F80" s="1120"/>
      <c r="G80" s="1120"/>
      <c r="H80" s="1121"/>
      <c r="I80" s="1121"/>
      <c r="J80" s="1119"/>
      <c r="K80" s="1122"/>
    </row>
    <row r="81" spans="1:11" ht="15">
      <c r="A81" s="1108"/>
      <c r="K81" s="1110" t="s">
        <v>25</v>
      </c>
    </row>
    <row r="82" spans="1:11" ht="18">
      <c r="A82" s="1108"/>
      <c r="C82" s="1119"/>
      <c r="D82" s="1120"/>
      <c r="E82" s="1120"/>
      <c r="F82" s="1120"/>
      <c r="G82" s="1120"/>
      <c r="H82" s="1085" t="str">
        <f>+B21</f>
        <v>Kansas Gas and Electric Company</v>
      </c>
      <c r="I82" s="1121"/>
      <c r="J82" s="1119"/>
      <c r="K82" s="1122"/>
    </row>
    <row r="83" spans="1:11" ht="18">
      <c r="A83" s="1108"/>
      <c r="C83" s="1119"/>
      <c r="D83" s="1120"/>
      <c r="E83" s="1120"/>
      <c r="F83" s="1120"/>
      <c r="G83" s="1120"/>
      <c r="H83" s="1085" t="str">
        <f>+B22</f>
        <v>Allocation of ADIT</v>
      </c>
      <c r="I83" s="1121"/>
      <c r="J83" s="1119"/>
      <c r="K83" s="1122"/>
    </row>
    <row r="84" spans="1:9" ht="12.75">
      <c r="A84" s="1108"/>
      <c r="H84" s="1111"/>
      <c r="I84" s="1111"/>
    </row>
    <row r="85" spans="1:11" ht="15.75">
      <c r="A85" s="1108"/>
      <c r="C85" s="1100" t="s">
        <v>1180</v>
      </c>
      <c r="D85" s="279" t="str">
        <f aca="true" t="shared" si="2" ref="D85:J85">+D$24</f>
        <v>(A)</v>
      </c>
      <c r="E85" s="279" t="str">
        <f t="shared" si="2"/>
        <v>(B)</v>
      </c>
      <c r="F85" s="279" t="str">
        <f t="shared" si="2"/>
        <v>(C)</v>
      </c>
      <c r="G85" s="279" t="str">
        <f t="shared" si="2"/>
        <v>(D)</v>
      </c>
      <c r="H85" s="279" t="str">
        <f t="shared" si="2"/>
        <v>(E)</v>
      </c>
      <c r="I85" s="279" t="str">
        <f t="shared" si="2"/>
        <v>(F)</v>
      </c>
      <c r="J85" s="279" t="str">
        <f t="shared" si="2"/>
        <v>(G)</v>
      </c>
      <c r="K85" s="1097" t="s">
        <v>1172</v>
      </c>
    </row>
    <row r="86" spans="1:11" ht="15.75">
      <c r="A86" s="1108"/>
      <c r="C86" s="1101"/>
      <c r="D86" s="279"/>
      <c r="E86" s="192">
        <f>+E$25</f>
        <v>1</v>
      </c>
      <c r="F86" s="192">
        <f>+F$25</f>
        <v>1</v>
      </c>
      <c r="G86" s="192"/>
      <c r="H86" s="192"/>
      <c r="I86" s="192" t="str">
        <f>+I$25</f>
        <v>100% Retail</v>
      </c>
      <c r="J86" s="192" t="str">
        <f>+J$25</f>
        <v>In</v>
      </c>
      <c r="K86" s="1112" t="s">
        <v>1100</v>
      </c>
    </row>
    <row r="87" spans="1:11" ht="15.75">
      <c r="A87" s="1108"/>
      <c r="C87" s="1101"/>
      <c r="D87" s="278">
        <f aca="true" t="shared" si="3" ref="D87:J87">+D$26</f>
        <v>2008</v>
      </c>
      <c r="E87" s="279" t="str">
        <f t="shared" si="3"/>
        <v>NonTrans.</v>
      </c>
      <c r="F87" s="279" t="str">
        <f t="shared" si="3"/>
        <v>Transmission</v>
      </c>
      <c r="G87" s="279" t="str">
        <f t="shared" si="3"/>
        <v>Plant </v>
      </c>
      <c r="H87" s="279" t="str">
        <f t="shared" si="3"/>
        <v>Labor</v>
      </c>
      <c r="I87" s="279" t="str">
        <f t="shared" si="3"/>
        <v>[Allocate</v>
      </c>
      <c r="J87" s="279" t="str">
        <f t="shared" si="3"/>
        <v>Adjustment</v>
      </c>
      <c r="K87" s="1112" t="s">
        <v>234</v>
      </c>
    </row>
    <row r="88" spans="1:11" ht="15.75">
      <c r="A88" s="1108"/>
      <c r="C88" s="1101"/>
      <c r="D88" s="279" t="str">
        <f aca="true" t="shared" si="4" ref="D88:J88">+D$27</f>
        <v>YE Balance</v>
      </c>
      <c r="E88" s="279" t="str">
        <f t="shared" si="4"/>
        <v>Related</v>
      </c>
      <c r="F88" s="279" t="str">
        <f t="shared" si="4"/>
        <v>Related</v>
      </c>
      <c r="G88" s="279" t="str">
        <f t="shared" si="4"/>
        <v>Related</v>
      </c>
      <c r="H88" s="279" t="str">
        <f t="shared" si="4"/>
        <v>Related</v>
      </c>
      <c r="I88" s="279" t="str">
        <f t="shared" si="4"/>
        <v>by Plant]</v>
      </c>
      <c r="J88" s="279" t="str">
        <f t="shared" si="4"/>
        <v>to Ratebase</v>
      </c>
      <c r="K88" s="1112" t="s">
        <v>187</v>
      </c>
    </row>
    <row r="89" spans="1:11" ht="15">
      <c r="A89" s="1108"/>
      <c r="B89" s="1115"/>
      <c r="C89" s="1123" t="s">
        <v>1200</v>
      </c>
      <c r="D89" s="1116"/>
      <c r="E89" s="1117"/>
      <c r="F89" s="1117"/>
      <c r="G89" s="1117"/>
      <c r="H89" s="282"/>
      <c r="I89" s="282"/>
      <c r="J89" s="1115"/>
      <c r="K89" s="1118"/>
    </row>
    <row r="90" spans="1:11" ht="15">
      <c r="A90" s="1108"/>
      <c r="B90" s="1373">
        <v>1901119</v>
      </c>
      <c r="C90" s="1354" t="s">
        <v>916</v>
      </c>
      <c r="D90" s="1357">
        <v>76466.46</v>
      </c>
      <c r="E90" s="1357"/>
      <c r="F90" s="1357">
        <f>+D90</f>
        <v>76466.46</v>
      </c>
      <c r="G90" s="1354"/>
      <c r="H90" s="1354"/>
      <c r="I90" s="1354"/>
      <c r="J90" s="1355" t="s">
        <v>1187</v>
      </c>
      <c r="K90" s="1352" t="s">
        <v>309</v>
      </c>
    </row>
    <row r="91" spans="1:11" ht="15">
      <c r="A91" s="1108"/>
      <c r="B91" s="1373">
        <v>1901122</v>
      </c>
      <c r="C91" s="1354" t="s">
        <v>917</v>
      </c>
      <c r="D91" s="1357">
        <v>681.38</v>
      </c>
      <c r="E91" s="1357"/>
      <c r="F91" s="1357">
        <f>+D91</f>
        <v>681.38</v>
      </c>
      <c r="G91" s="1354"/>
      <c r="H91" s="1354"/>
      <c r="I91" s="1354"/>
      <c r="J91" s="1355" t="s">
        <v>1187</v>
      </c>
      <c r="K91" s="1352" t="s">
        <v>906</v>
      </c>
    </row>
    <row r="92" spans="1:11" ht="30">
      <c r="A92" s="1108"/>
      <c r="B92" s="1373">
        <v>1901150</v>
      </c>
      <c r="C92" s="1354" t="s">
        <v>918</v>
      </c>
      <c r="D92" s="1357">
        <v>7798.61</v>
      </c>
      <c r="E92" s="1357"/>
      <c r="F92" s="1357">
        <f>+D92</f>
        <v>7798.61</v>
      </c>
      <c r="G92" s="1354"/>
      <c r="H92" s="1354"/>
      <c r="I92" s="1354"/>
      <c r="J92" s="1355" t="s">
        <v>1187</v>
      </c>
      <c r="K92" s="1353" t="s">
        <v>908</v>
      </c>
    </row>
    <row r="93" spans="1:11" ht="15">
      <c r="A93" s="1108"/>
      <c r="B93" s="1373">
        <v>1902016</v>
      </c>
      <c r="C93" s="1354" t="s">
        <v>857</v>
      </c>
      <c r="D93" s="1357">
        <v>0</v>
      </c>
      <c r="E93" s="1357"/>
      <c r="F93" s="1357"/>
      <c r="G93" s="1354"/>
      <c r="H93" s="1354"/>
      <c r="I93" s="1354"/>
      <c r="J93" s="1355" t="s">
        <v>1086</v>
      </c>
      <c r="K93" s="1375" t="s">
        <v>727</v>
      </c>
    </row>
    <row r="94" spans="1:11" ht="30">
      <c r="A94" s="1108"/>
      <c r="B94" s="1373">
        <v>1902043</v>
      </c>
      <c r="C94" s="1376" t="s">
        <v>728</v>
      </c>
      <c r="D94" s="1354">
        <v>0</v>
      </c>
      <c r="E94" s="1357"/>
      <c r="F94" s="1354"/>
      <c r="G94" s="1354"/>
      <c r="H94" s="1354"/>
      <c r="I94" s="1354"/>
      <c r="J94" s="1355" t="s">
        <v>1086</v>
      </c>
      <c r="K94" s="1375" t="s">
        <v>727</v>
      </c>
    </row>
    <row r="95" spans="1:11" ht="15">
      <c r="A95" s="1108"/>
      <c r="B95" s="1373">
        <v>1902061</v>
      </c>
      <c r="C95" s="1354" t="s">
        <v>729</v>
      </c>
      <c r="D95" s="1354">
        <v>76928.76</v>
      </c>
      <c r="E95" s="1357"/>
      <c r="F95" s="1354"/>
      <c r="G95" s="1354"/>
      <c r="H95" s="1354"/>
      <c r="I95" s="1354"/>
      <c r="J95" s="1355" t="s">
        <v>1086</v>
      </c>
      <c r="K95" s="1375" t="s">
        <v>727</v>
      </c>
    </row>
    <row r="96" spans="1:11" ht="15">
      <c r="A96" s="1108"/>
      <c r="B96" s="1373">
        <v>1902063</v>
      </c>
      <c r="C96" s="1354" t="s">
        <v>858</v>
      </c>
      <c r="D96" s="1354">
        <v>14647483.02</v>
      </c>
      <c r="E96" s="1357"/>
      <c r="F96" s="1354"/>
      <c r="G96" s="1354"/>
      <c r="H96" s="1354"/>
      <c r="I96" s="1354"/>
      <c r="J96" s="1355" t="s">
        <v>1086</v>
      </c>
      <c r="K96" s="1375" t="s">
        <v>727</v>
      </c>
    </row>
    <row r="97" spans="1:11" ht="15">
      <c r="A97" s="1108"/>
      <c r="B97" s="1373">
        <v>1902064</v>
      </c>
      <c r="C97" s="1354" t="s">
        <v>859</v>
      </c>
      <c r="D97" s="1354">
        <v>11657662.31</v>
      </c>
      <c r="E97" s="1357"/>
      <c r="F97" s="1354"/>
      <c r="G97" s="1354"/>
      <c r="H97" s="1354"/>
      <c r="I97" s="1354"/>
      <c r="J97" s="1355" t="s">
        <v>1086</v>
      </c>
      <c r="K97" s="1375" t="s">
        <v>727</v>
      </c>
    </row>
    <row r="98" spans="1:11" ht="15">
      <c r="A98" s="1108"/>
      <c r="B98" s="1373">
        <v>1902065</v>
      </c>
      <c r="C98" s="1354" t="s">
        <v>860</v>
      </c>
      <c r="D98" s="1354">
        <v>-1433822.82</v>
      </c>
      <c r="E98" s="1357"/>
      <c r="F98" s="1354"/>
      <c r="G98" s="1354"/>
      <c r="H98" s="1354"/>
      <c r="I98" s="1354"/>
      <c r="J98" s="1355" t="s">
        <v>1086</v>
      </c>
      <c r="K98" s="1375" t="s">
        <v>727</v>
      </c>
    </row>
    <row r="99" spans="1:11" ht="15">
      <c r="A99" s="1108"/>
      <c r="B99" s="1373">
        <v>1902072</v>
      </c>
      <c r="C99" s="1354" t="s">
        <v>735</v>
      </c>
      <c r="D99" s="1354">
        <v>101129.58</v>
      </c>
      <c r="E99" s="1357"/>
      <c r="F99" s="1354"/>
      <c r="G99" s="1354"/>
      <c r="H99" s="1354"/>
      <c r="I99" s="1354"/>
      <c r="J99" s="1355" t="s">
        <v>1086</v>
      </c>
      <c r="K99" s="1375" t="s">
        <v>727</v>
      </c>
    </row>
    <row r="100" spans="1:11" ht="15">
      <c r="A100" s="1108"/>
      <c r="B100" s="1373">
        <v>1902073</v>
      </c>
      <c r="C100" s="1354" t="s">
        <v>736</v>
      </c>
      <c r="D100" s="1354">
        <v>-174397.69</v>
      </c>
      <c r="E100" s="1357"/>
      <c r="F100" s="1354"/>
      <c r="G100" s="1354"/>
      <c r="H100" s="1354"/>
      <c r="I100" s="1354"/>
      <c r="J100" s="1355" t="s">
        <v>1086</v>
      </c>
      <c r="K100" s="1375" t="s">
        <v>727</v>
      </c>
    </row>
    <row r="101" spans="1:11" ht="15">
      <c r="A101" s="1108"/>
      <c r="B101" s="1373">
        <v>1902080</v>
      </c>
      <c r="C101" s="1354" t="s">
        <v>861</v>
      </c>
      <c r="D101" s="1354">
        <v>39202.02</v>
      </c>
      <c r="E101" s="1357"/>
      <c r="F101" s="1354"/>
      <c r="G101" s="1354"/>
      <c r="H101" s="1354"/>
      <c r="I101" s="1354"/>
      <c r="J101" s="1355" t="s">
        <v>1086</v>
      </c>
      <c r="K101" s="1375" t="s">
        <v>727</v>
      </c>
    </row>
    <row r="102" spans="1:11" ht="15">
      <c r="A102" s="1108"/>
      <c r="B102" s="1373">
        <v>1902090</v>
      </c>
      <c r="C102" s="1354" t="s">
        <v>743</v>
      </c>
      <c r="D102" s="1357">
        <v>-470060.28</v>
      </c>
      <c r="E102" s="1357"/>
      <c r="F102" s="1357"/>
      <c r="G102" s="1354"/>
      <c r="H102" s="1354"/>
      <c r="I102" s="1354"/>
      <c r="J102" s="1355" t="s">
        <v>1086</v>
      </c>
      <c r="K102" s="1375" t="s">
        <v>727</v>
      </c>
    </row>
    <row r="103" spans="1:11" ht="12.75">
      <c r="A103" s="1108"/>
      <c r="B103" s="1095" t="s">
        <v>1100</v>
      </c>
      <c r="C103" s="1095" t="s">
        <v>1100</v>
      </c>
      <c r="D103" s="1124" t="s">
        <v>1100</v>
      </c>
      <c r="E103" s="1124"/>
      <c r="F103" s="1124"/>
      <c r="G103" s="1124" t="s">
        <v>1100</v>
      </c>
      <c r="H103" s="1113"/>
      <c r="I103" s="1113"/>
      <c r="K103" s="1125"/>
    </row>
    <row r="104" spans="1:11" ht="12.75">
      <c r="A104" s="1108"/>
      <c r="B104" s="1095"/>
      <c r="H104" s="1113"/>
      <c r="I104" s="1113"/>
      <c r="K104" s="1125"/>
    </row>
    <row r="105" spans="1:11" ht="15">
      <c r="A105" s="1108"/>
      <c r="B105" s="1126" t="s">
        <v>176</v>
      </c>
      <c r="C105" s="281"/>
      <c r="D105" s="1127">
        <f>-D29</f>
        <v>0</v>
      </c>
      <c r="E105" s="1127">
        <f>-E29</f>
        <v>0</v>
      </c>
      <c r="F105" s="1128"/>
      <c r="G105" s="1129">
        <f>+D105-E105-F105-H105</f>
        <v>0</v>
      </c>
      <c r="H105" s="1129"/>
      <c r="I105" s="1129"/>
      <c r="J105" s="281"/>
      <c r="K105" s="1130" t="s">
        <v>1186</v>
      </c>
    </row>
    <row r="106" spans="1:11" ht="15">
      <c r="A106" s="1108"/>
      <c r="B106" s="281"/>
      <c r="C106" s="281"/>
      <c r="D106" s="281"/>
      <c r="E106" s="281"/>
      <c r="F106" s="281"/>
      <c r="G106" s="281"/>
      <c r="H106" s="1129"/>
      <c r="I106" s="1129"/>
      <c r="J106" s="281"/>
      <c r="K106" s="1130"/>
    </row>
    <row r="107" spans="1:11" ht="15.75">
      <c r="A107" s="1108"/>
      <c r="B107" s="1131" t="s">
        <v>966</v>
      </c>
      <c r="C107" s="1108"/>
      <c r="D107" s="1127">
        <f>-D31</f>
        <v>0</v>
      </c>
      <c r="E107" s="1132">
        <f>SUM(E29:E78)+SUM(E90:E105)</f>
        <v>81751075.67999999</v>
      </c>
      <c r="F107" s="1132">
        <f>SUM(F29:F78)+SUM(F90:F105)</f>
        <v>1253599.65</v>
      </c>
      <c r="G107" s="1132">
        <f>SUM(G29:G78)+SUM(G90:G105)</f>
        <v>1104628.94</v>
      </c>
      <c r="H107" s="1132">
        <f>SUM(H29:H78)+SUM(H90:H105)</f>
        <v>-719885.189999999</v>
      </c>
      <c r="I107" s="1132">
        <f>SUM(I29:I78)+SUM(I90:I105)</f>
        <v>159973.01</v>
      </c>
      <c r="J107" s="281">
        <f>+E107+F107+G107+H107+I107</f>
        <v>83549392.09</v>
      </c>
      <c r="K107" s="1134" t="s">
        <v>1100</v>
      </c>
    </row>
    <row r="108" spans="1:11" ht="15.75">
      <c r="A108" s="1108"/>
      <c r="B108" s="1135" t="s">
        <v>967</v>
      </c>
      <c r="C108" s="1108"/>
      <c r="D108" s="281"/>
      <c r="E108" s="1132"/>
      <c r="F108" s="1132"/>
      <c r="G108" s="1133">
        <v>0</v>
      </c>
      <c r="H108" s="1133">
        <v>0</v>
      </c>
      <c r="I108" s="1133">
        <v>0</v>
      </c>
      <c r="J108" s="1132" t="s">
        <v>1100</v>
      </c>
      <c r="K108" s="1130"/>
    </row>
    <row r="109" spans="1:11" ht="15.75">
      <c r="A109" s="1108"/>
      <c r="B109" s="1135" t="s">
        <v>968</v>
      </c>
      <c r="C109" s="1108"/>
      <c r="D109" s="281"/>
      <c r="E109" s="1132"/>
      <c r="F109" s="1132"/>
      <c r="G109" s="1133">
        <v>0</v>
      </c>
      <c r="H109" s="1133">
        <v>0</v>
      </c>
      <c r="I109" s="1133">
        <v>0</v>
      </c>
      <c r="J109" s="1132" t="s">
        <v>1100</v>
      </c>
      <c r="K109" s="1130"/>
    </row>
    <row r="110" spans="1:11" ht="15.75">
      <c r="A110" s="1108"/>
      <c r="B110" s="1135" t="s">
        <v>1106</v>
      </c>
      <c r="C110" s="1108"/>
      <c r="D110" s="281"/>
      <c r="E110" s="1133">
        <f>+E107-E108-E109</f>
        <v>81751075.67999999</v>
      </c>
      <c r="F110" s="1133">
        <f>+F107-F108-F109</f>
        <v>1253599.65</v>
      </c>
      <c r="G110" s="1133">
        <f>+G107-G108-G109</f>
        <v>1104628.94</v>
      </c>
      <c r="H110" s="1133">
        <f>+H107-H108-H109</f>
        <v>-719885.189999999</v>
      </c>
      <c r="I110" s="1133">
        <f>+I107-I108-I109</f>
        <v>159973.01</v>
      </c>
      <c r="J110" s="1133"/>
      <c r="K110" s="1130"/>
    </row>
    <row r="111" spans="1:9" ht="20.25">
      <c r="A111" s="1106" t="str">
        <f>A1</f>
        <v>Worksheet A-7 - WES ADIT</v>
      </c>
      <c r="B111" s="1106"/>
      <c r="C111" s="1136"/>
      <c r="G111" s="1137"/>
      <c r="H111" s="1137"/>
      <c r="I111" s="1137"/>
    </row>
    <row r="112" spans="1:11" ht="15">
      <c r="A112" s="1108"/>
      <c r="C112" s="1136"/>
      <c r="G112" s="1137"/>
      <c r="H112" s="1137"/>
      <c r="I112" s="1137"/>
      <c r="J112" s="1138"/>
      <c r="K112" s="1110" t="s">
        <v>26</v>
      </c>
    </row>
    <row r="113" spans="1:11" ht="18">
      <c r="A113" s="1108"/>
      <c r="B113" s="1444" t="str">
        <f>B4</f>
        <v>Kansas Gas and Electric Company</v>
      </c>
      <c r="C113" s="1445"/>
      <c r="D113" s="1445"/>
      <c r="E113" s="1445"/>
      <c r="F113" s="1445"/>
      <c r="G113" s="1445"/>
      <c r="H113" s="1445"/>
      <c r="I113" s="1445"/>
      <c r="J113" s="1445"/>
      <c r="K113" s="1445"/>
    </row>
    <row r="114" spans="1:11" ht="18">
      <c r="A114" s="1108"/>
      <c r="B114" s="1444" t="str">
        <f>B5</f>
        <v>Allocation of ADIT</v>
      </c>
      <c r="C114" s="1445"/>
      <c r="D114" s="1445"/>
      <c r="E114" s="1445"/>
      <c r="F114" s="1445"/>
      <c r="G114" s="1445"/>
      <c r="H114" s="1445"/>
      <c r="I114" s="1445"/>
      <c r="J114" s="1445"/>
      <c r="K114" s="1445"/>
    </row>
    <row r="115" spans="1:9" ht="12.75">
      <c r="A115" s="1108"/>
      <c r="H115" s="1111"/>
      <c r="I115" s="1111"/>
    </row>
    <row r="116" spans="1:11" ht="15.75">
      <c r="A116" s="1108"/>
      <c r="B116" s="1099"/>
      <c r="C116" s="1139"/>
      <c r="D116" s="279" t="str">
        <f aca="true" t="shared" si="5" ref="D116:J116">+D$24</f>
        <v>(A)</v>
      </c>
      <c r="E116" s="279" t="str">
        <f t="shared" si="5"/>
        <v>(B)</v>
      </c>
      <c r="F116" s="279" t="str">
        <f t="shared" si="5"/>
        <v>(C)</v>
      </c>
      <c r="G116" s="279" t="str">
        <f t="shared" si="5"/>
        <v>(D)</v>
      </c>
      <c r="H116" s="279" t="str">
        <f t="shared" si="5"/>
        <v>(E)</v>
      </c>
      <c r="I116" s="279" t="str">
        <f t="shared" si="5"/>
        <v>(F)</v>
      </c>
      <c r="J116" s="279" t="str">
        <f t="shared" si="5"/>
        <v>(G)</v>
      </c>
      <c r="K116" s="1097" t="str">
        <f>K24</f>
        <v>(G)</v>
      </c>
    </row>
    <row r="117" spans="1:11" ht="15.75">
      <c r="A117" s="1108"/>
      <c r="B117" s="1099"/>
      <c r="C117" s="1140" t="s">
        <v>969</v>
      </c>
      <c r="D117" s="279"/>
      <c r="E117" s="192">
        <f>+E$25</f>
        <v>1</v>
      </c>
      <c r="F117" s="192">
        <f>+F$25</f>
        <v>1</v>
      </c>
      <c r="G117" s="192"/>
      <c r="H117" s="192"/>
      <c r="I117" s="192" t="str">
        <f>+I$25</f>
        <v>100% Retail</v>
      </c>
      <c r="J117" s="192" t="str">
        <f>+J$25</f>
        <v>In</v>
      </c>
      <c r="K117" s="1097" t="str">
        <f>K25</f>
        <v> </v>
      </c>
    </row>
    <row r="118" spans="1:11" ht="15.75">
      <c r="A118" s="1108"/>
      <c r="B118" s="1099"/>
      <c r="C118" s="1135"/>
      <c r="D118" s="278">
        <f aca="true" t="shared" si="6" ref="D118:J118">+D$26</f>
        <v>2008</v>
      </c>
      <c r="E118" s="279" t="str">
        <f t="shared" si="6"/>
        <v>NonTrans.</v>
      </c>
      <c r="F118" s="279" t="str">
        <f t="shared" si="6"/>
        <v>Transmission</v>
      </c>
      <c r="G118" s="279" t="str">
        <f t="shared" si="6"/>
        <v>Plant </v>
      </c>
      <c r="H118" s="279" t="str">
        <f t="shared" si="6"/>
        <v>Labor</v>
      </c>
      <c r="I118" s="279" t="str">
        <f t="shared" si="6"/>
        <v>[Allocate</v>
      </c>
      <c r="J118" s="279" t="str">
        <f t="shared" si="6"/>
        <v>Adjustment</v>
      </c>
      <c r="K118" s="1097" t="str">
        <f>K26</f>
        <v>Description</v>
      </c>
    </row>
    <row r="119" spans="1:11" ht="15.75">
      <c r="A119" s="1108"/>
      <c r="B119" s="1099"/>
      <c r="C119" s="281"/>
      <c r="D119" s="279" t="str">
        <f aca="true" t="shared" si="7" ref="D119:J119">+D$27</f>
        <v>YE Balance</v>
      </c>
      <c r="E119" s="279" t="str">
        <f t="shared" si="7"/>
        <v>Related</v>
      </c>
      <c r="F119" s="279" t="str">
        <f t="shared" si="7"/>
        <v>Related</v>
      </c>
      <c r="G119" s="279" t="str">
        <f t="shared" si="7"/>
        <v>Related</v>
      </c>
      <c r="H119" s="279" t="str">
        <f t="shared" si="7"/>
        <v>Related</v>
      </c>
      <c r="I119" s="279" t="str">
        <f t="shared" si="7"/>
        <v>by Plant]</v>
      </c>
      <c r="J119" s="279" t="str">
        <f t="shared" si="7"/>
        <v>to Ratebase</v>
      </c>
      <c r="K119" s="1097" t="str">
        <f>K27</f>
        <v>and Justification</v>
      </c>
    </row>
    <row r="120" spans="1:11" ht="15">
      <c r="A120" s="1108"/>
      <c r="B120" s="1099"/>
      <c r="C120" s="281"/>
      <c r="D120" s="1141"/>
      <c r="E120" s="1141"/>
      <c r="F120" s="1141"/>
      <c r="G120" s="1141"/>
      <c r="H120" s="1141"/>
      <c r="I120" s="1141"/>
      <c r="J120" s="1141"/>
      <c r="K120" s="1097"/>
    </row>
    <row r="121" spans="1:11" ht="15">
      <c r="A121" s="1108"/>
      <c r="B121" s="1099"/>
      <c r="C121" s="1142" t="s">
        <v>970</v>
      </c>
      <c r="D121" s="281"/>
      <c r="E121" s="281"/>
      <c r="F121" s="281"/>
      <c r="G121" s="1129"/>
      <c r="H121" s="1129"/>
      <c r="I121" s="1129"/>
      <c r="J121" s="281"/>
      <c r="K121" s="1143"/>
    </row>
    <row r="122" spans="1:11" s="1113" customFormat="1" ht="30">
      <c r="A122" s="1114"/>
      <c r="B122" s="1373">
        <v>2821002</v>
      </c>
      <c r="C122" s="1354" t="s">
        <v>745</v>
      </c>
      <c r="D122" s="1380">
        <v>0</v>
      </c>
      <c r="E122" s="1357"/>
      <c r="F122" s="1357"/>
      <c r="G122" s="1354">
        <f>+D122-H122</f>
        <v>0</v>
      </c>
      <c r="H122" s="1354"/>
      <c r="I122" s="1354"/>
      <c r="J122" s="1355" t="s">
        <v>1187</v>
      </c>
      <c r="K122" s="1375" t="s">
        <v>746</v>
      </c>
    </row>
    <row r="123" spans="1:11" s="1113" customFormat="1" ht="67.5" customHeight="1">
      <c r="A123" s="1114"/>
      <c r="B123" s="1373">
        <v>2821003</v>
      </c>
      <c r="C123" s="1354" t="s">
        <v>747</v>
      </c>
      <c r="D123" s="1381">
        <v>406947794.11</v>
      </c>
      <c r="E123" s="1357"/>
      <c r="F123" s="1357"/>
      <c r="G123" s="1354">
        <f>+D123-H123</f>
        <v>406947794.11</v>
      </c>
      <c r="H123" s="1354"/>
      <c r="I123" s="1354"/>
      <c r="J123" s="1355" t="s">
        <v>1187</v>
      </c>
      <c r="K123" s="1375" t="s">
        <v>1365</v>
      </c>
    </row>
    <row r="124" spans="1:11" ht="30">
      <c r="A124" s="1108"/>
      <c r="B124" s="1373">
        <v>2821004</v>
      </c>
      <c r="C124" s="1354" t="s">
        <v>1368</v>
      </c>
      <c r="D124" s="1381">
        <v>5120065.81</v>
      </c>
      <c r="E124" s="1357"/>
      <c r="F124" s="1357"/>
      <c r="G124" s="1354">
        <f>+D124-H124</f>
        <v>5120065.81</v>
      </c>
      <c r="H124" s="1354"/>
      <c r="I124" s="1354"/>
      <c r="J124" s="1355" t="s">
        <v>1187</v>
      </c>
      <c r="K124" s="1375" t="s">
        <v>1369</v>
      </c>
    </row>
    <row r="125" spans="1:11" ht="30">
      <c r="A125" s="1108"/>
      <c r="B125" s="1373">
        <v>2821005</v>
      </c>
      <c r="C125" s="1354" t="s">
        <v>1370</v>
      </c>
      <c r="D125" s="1381">
        <v>1818544.74</v>
      </c>
      <c r="E125" s="1357"/>
      <c r="F125" s="1357"/>
      <c r="G125" s="1354">
        <f>+D125-H125</f>
        <v>1818544.74</v>
      </c>
      <c r="H125" s="1354"/>
      <c r="I125" s="1354"/>
      <c r="J125" s="1355" t="s">
        <v>1187</v>
      </c>
      <c r="K125" s="1375" t="s">
        <v>862</v>
      </c>
    </row>
    <row r="126" spans="1:11" ht="30">
      <c r="A126" s="1108"/>
      <c r="B126" s="1373">
        <v>2821007</v>
      </c>
      <c r="C126" s="1354" t="s">
        <v>1374</v>
      </c>
      <c r="D126" s="1381">
        <v>8709584.3</v>
      </c>
      <c r="E126" s="1357"/>
      <c r="F126" s="1357"/>
      <c r="G126" s="1354">
        <f>+D126-H126</f>
        <v>8709584.3</v>
      </c>
      <c r="H126" s="1354"/>
      <c r="I126" s="1354"/>
      <c r="J126" s="1355" t="s">
        <v>1187</v>
      </c>
      <c r="K126" s="1375" t="s">
        <v>863</v>
      </c>
    </row>
    <row r="127" spans="1:11" ht="45">
      <c r="A127" s="1108"/>
      <c r="B127" s="1373">
        <v>2821009</v>
      </c>
      <c r="C127" s="1376" t="s">
        <v>864</v>
      </c>
      <c r="D127" s="1381">
        <v>-576266.31</v>
      </c>
      <c r="E127" s="1357">
        <f>+D127</f>
        <v>-576266.31</v>
      </c>
      <c r="F127" s="1357"/>
      <c r="G127" s="1354">
        <f>+D127-E127-F127-H127</f>
        <v>0</v>
      </c>
      <c r="H127" s="1354"/>
      <c r="I127" s="1354"/>
      <c r="J127" s="1355" t="s">
        <v>1187</v>
      </c>
      <c r="K127" s="1375" t="s">
        <v>1509</v>
      </c>
    </row>
    <row r="128" spans="2:11" ht="15">
      <c r="B128" s="610">
        <v>2821010</v>
      </c>
      <c r="C128" s="1361" t="s">
        <v>1376</v>
      </c>
      <c r="D128" s="1382">
        <v>2090093.07</v>
      </c>
      <c r="E128" s="1357">
        <f>D128</f>
        <v>2090093.07</v>
      </c>
      <c r="F128" s="1357"/>
      <c r="G128" s="1354"/>
      <c r="H128" s="1383"/>
      <c r="I128" s="1383"/>
      <c r="J128" s="1362" t="s">
        <v>1086</v>
      </c>
      <c r="K128" s="1361" t="s">
        <v>1377</v>
      </c>
    </row>
    <row r="129" spans="1:11" ht="30">
      <c r="A129" s="1108"/>
      <c r="B129" s="1373">
        <v>2821024</v>
      </c>
      <c r="C129" s="1354" t="s">
        <v>1378</v>
      </c>
      <c r="D129" s="1381">
        <v>-1940777.33</v>
      </c>
      <c r="E129" s="1357">
        <f>D129</f>
        <v>-1940777.33</v>
      </c>
      <c r="F129" s="1357"/>
      <c r="G129" s="1354"/>
      <c r="H129" s="1354"/>
      <c r="I129" s="1354"/>
      <c r="J129" s="1355" t="s">
        <v>1187</v>
      </c>
      <c r="K129" s="1375" t="s">
        <v>1379</v>
      </c>
    </row>
    <row r="130" spans="1:11" ht="30">
      <c r="A130" s="1108"/>
      <c r="B130" s="1373">
        <v>2821025</v>
      </c>
      <c r="C130" s="1354" t="s">
        <v>1380</v>
      </c>
      <c r="D130" s="1381">
        <v>-14855479.01</v>
      </c>
      <c r="E130" s="1357"/>
      <c r="F130" s="1357"/>
      <c r="G130" s="1354"/>
      <c r="H130" s="1354"/>
      <c r="I130" s="1354">
        <f>D130</f>
        <v>-14855479.01</v>
      </c>
      <c r="J130" s="1355" t="s">
        <v>1187</v>
      </c>
      <c r="K130" s="1375" t="s">
        <v>1381</v>
      </c>
    </row>
    <row r="131" spans="2:11" ht="15">
      <c r="B131" s="610">
        <v>2821062</v>
      </c>
      <c r="C131" s="610" t="s">
        <v>449</v>
      </c>
      <c r="D131" s="1382">
        <v>0</v>
      </c>
      <c r="E131" s="1357">
        <f>+D131</f>
        <v>0</v>
      </c>
      <c r="F131" s="1357"/>
      <c r="G131" s="1354"/>
      <c r="H131" s="1383"/>
      <c r="I131" s="1383"/>
      <c r="J131" s="1362" t="s">
        <v>1086</v>
      </c>
      <c r="K131" s="1361" t="s">
        <v>1383</v>
      </c>
    </row>
    <row r="132" spans="1:11" ht="15">
      <c r="A132" s="1108"/>
      <c r="B132" s="1373"/>
      <c r="C132" s="1354"/>
      <c r="D132" s="1357"/>
      <c r="E132" s="1357"/>
      <c r="F132" s="1357"/>
      <c r="G132" s="1357"/>
      <c r="H132" s="1354"/>
      <c r="I132" s="1354"/>
      <c r="J132" s="1355"/>
      <c r="K132" s="1375"/>
    </row>
    <row r="133" spans="1:11" ht="15">
      <c r="A133" s="1108"/>
      <c r="B133" s="1384" t="s">
        <v>1100</v>
      </c>
      <c r="C133" s="1374" t="s">
        <v>450</v>
      </c>
      <c r="D133" s="1357" t="s">
        <v>1100</v>
      </c>
      <c r="E133" s="1357"/>
      <c r="F133" s="1357"/>
      <c r="G133" s="1357" t="s">
        <v>1100</v>
      </c>
      <c r="H133" s="1354"/>
      <c r="I133" s="1354"/>
      <c r="J133" s="1355"/>
      <c r="K133" s="1375"/>
    </row>
    <row r="134" spans="1:11" ht="45">
      <c r="A134" s="1108"/>
      <c r="B134" s="1373">
        <v>2822001</v>
      </c>
      <c r="C134" s="1376" t="s">
        <v>451</v>
      </c>
      <c r="D134" s="1357">
        <v>-273338.75</v>
      </c>
      <c r="E134" s="1357">
        <f>+D134</f>
        <v>-273338.75</v>
      </c>
      <c r="F134" s="1357"/>
      <c r="G134" s="1354">
        <f>+D134-E134-F134-H134</f>
        <v>0</v>
      </c>
      <c r="H134" s="1354"/>
      <c r="I134" s="1354"/>
      <c r="J134" s="1355" t="s">
        <v>1187</v>
      </c>
      <c r="K134" s="1375" t="s">
        <v>452</v>
      </c>
    </row>
    <row r="135" spans="1:11" s="1113" customFormat="1" ht="30">
      <c r="A135" s="1114"/>
      <c r="B135" s="1373">
        <v>2822003</v>
      </c>
      <c r="C135" s="1376" t="s">
        <v>1384</v>
      </c>
      <c r="D135" s="1357">
        <v>0</v>
      </c>
      <c r="E135" s="1357"/>
      <c r="F135" s="1357"/>
      <c r="G135" s="1354">
        <f>+D135-H135</f>
        <v>0</v>
      </c>
      <c r="H135" s="1354"/>
      <c r="I135" s="1354"/>
      <c r="J135" s="1355" t="s">
        <v>1187</v>
      </c>
      <c r="K135" s="1375" t="s">
        <v>453</v>
      </c>
    </row>
    <row r="136" spans="1:11" ht="15">
      <c r="A136" s="1108"/>
      <c r="B136" s="1373"/>
      <c r="C136" s="1354"/>
      <c r="D136" s="1357"/>
      <c r="E136" s="1357"/>
      <c r="F136" s="1357"/>
      <c r="G136" s="1357"/>
      <c r="H136" s="1354"/>
      <c r="I136" s="1354"/>
      <c r="J136" s="1354"/>
      <c r="K136" s="1375"/>
    </row>
    <row r="137" spans="1:11" ht="15">
      <c r="A137" s="1108"/>
      <c r="B137" s="1384" t="s">
        <v>1100</v>
      </c>
      <c r="C137" s="1374" t="s">
        <v>1386</v>
      </c>
      <c r="D137" s="1357" t="s">
        <v>1100</v>
      </c>
      <c r="E137" s="1357"/>
      <c r="F137" s="1357"/>
      <c r="G137" s="1357" t="s">
        <v>1100</v>
      </c>
      <c r="H137" s="1354"/>
      <c r="I137" s="1354"/>
      <c r="J137" s="1354"/>
      <c r="K137" s="1375"/>
    </row>
    <row r="138" spans="1:11" ht="15">
      <c r="A138" s="1108"/>
      <c r="B138" s="1373">
        <v>2825130</v>
      </c>
      <c r="C138" s="1354" t="s">
        <v>1387</v>
      </c>
      <c r="D138" s="1357">
        <v>60977055</v>
      </c>
      <c r="E138" s="1357"/>
      <c r="F138" s="1357"/>
      <c r="G138" s="1354"/>
      <c r="H138" s="1354"/>
      <c r="I138" s="1354"/>
      <c r="J138" s="1355" t="s">
        <v>1086</v>
      </c>
      <c r="K138" s="1375" t="s">
        <v>1332</v>
      </c>
    </row>
    <row r="139" spans="1:11" ht="15">
      <c r="A139" s="1108"/>
      <c r="B139" s="1373">
        <v>2825230</v>
      </c>
      <c r="C139" s="1354" t="s">
        <v>1388</v>
      </c>
      <c r="D139" s="1357">
        <v>-27066558</v>
      </c>
      <c r="E139" s="1357"/>
      <c r="F139" s="1357"/>
      <c r="G139" s="1354"/>
      <c r="H139" s="1354"/>
      <c r="I139" s="1354"/>
      <c r="J139" s="1355" t="s">
        <v>1086</v>
      </c>
      <c r="K139" s="1375" t="s">
        <v>1332</v>
      </c>
    </row>
    <row r="140" spans="1:11" ht="15">
      <c r="A140" s="1108"/>
      <c r="B140" s="1373">
        <v>2825330</v>
      </c>
      <c r="C140" s="1354" t="s">
        <v>1389</v>
      </c>
      <c r="D140" s="1357">
        <v>140236518</v>
      </c>
      <c r="E140" s="1357"/>
      <c r="F140" s="1357"/>
      <c r="G140" s="1354"/>
      <c r="H140" s="1354"/>
      <c r="I140" s="1354"/>
      <c r="J140" s="1355" t="s">
        <v>1086</v>
      </c>
      <c r="K140" s="1375" t="s">
        <v>1332</v>
      </c>
    </row>
    <row r="141" spans="1:11" ht="15">
      <c r="A141" s="1108"/>
      <c r="B141" s="1373">
        <v>2825830</v>
      </c>
      <c r="C141" s="1354" t="s">
        <v>1390</v>
      </c>
      <c r="D141" s="1357">
        <v>-49994127</v>
      </c>
      <c r="E141" s="1357"/>
      <c r="F141" s="1357"/>
      <c r="G141" s="1354"/>
      <c r="H141" s="1354"/>
      <c r="I141" s="1354"/>
      <c r="J141" s="1355" t="s">
        <v>1086</v>
      </c>
      <c r="K141" s="1375" t="s">
        <v>1332</v>
      </c>
    </row>
    <row r="142" spans="1:11" ht="15">
      <c r="A142" s="1108"/>
      <c r="B142" s="1099"/>
      <c r="C142" s="281"/>
      <c r="D142" s="281"/>
      <c r="E142" s="281"/>
      <c r="F142" s="281"/>
      <c r="G142" s="1129"/>
      <c r="H142" s="1129"/>
      <c r="I142" s="1129"/>
      <c r="J142" s="281"/>
      <c r="K142" s="1143"/>
    </row>
    <row r="143" spans="1:11" ht="15.75">
      <c r="A143" s="1108"/>
      <c r="B143" s="1131" t="s">
        <v>1580</v>
      </c>
      <c r="C143" s="1108"/>
      <c r="D143" s="281"/>
      <c r="E143" s="1132">
        <f>SUM(E122:E141)</f>
        <v>-700289.3200000001</v>
      </c>
      <c r="F143" s="1132">
        <f>SUM(F122:F141)</f>
        <v>0</v>
      </c>
      <c r="G143" s="1133">
        <f>SUM(G122:G141)</f>
        <v>422595988.96000004</v>
      </c>
      <c r="H143" s="1133">
        <f>SUM(H122:H141)</f>
        <v>0</v>
      </c>
      <c r="I143" s="1133">
        <f>SUM(I122:I141)</f>
        <v>-14855479.01</v>
      </c>
      <c r="J143" s="281">
        <f>SUM(E143:I143)</f>
        <v>407040220.63000005</v>
      </c>
      <c r="K143" s="1143"/>
    </row>
    <row r="144" spans="1:11" ht="15.75">
      <c r="A144" s="1108"/>
      <c r="B144" s="1135" t="s">
        <v>967</v>
      </c>
      <c r="C144" s="1108"/>
      <c r="D144" s="281"/>
      <c r="E144" s="1132"/>
      <c r="F144" s="1132"/>
      <c r="G144" s="1133"/>
      <c r="H144" s="1133"/>
      <c r="I144" s="1133"/>
      <c r="J144" s="1132"/>
      <c r="K144" s="1143"/>
    </row>
    <row r="145" spans="1:11" ht="15.75">
      <c r="A145" s="1108"/>
      <c r="B145" s="1135" t="s">
        <v>968</v>
      </c>
      <c r="C145" s="1108"/>
      <c r="D145" s="281"/>
      <c r="E145" s="1132"/>
      <c r="F145" s="1132"/>
      <c r="G145" s="1133"/>
      <c r="H145" s="1133"/>
      <c r="I145" s="1133"/>
      <c r="J145" s="1132"/>
      <c r="K145" s="1143"/>
    </row>
    <row r="146" spans="1:11" ht="15.75">
      <c r="A146" s="1108"/>
      <c r="B146" s="1135" t="s">
        <v>1106</v>
      </c>
      <c r="C146" s="1108"/>
      <c r="D146" s="281"/>
      <c r="E146" s="1133">
        <f>+E143-E144-E145</f>
        <v>-700289.3200000001</v>
      </c>
      <c r="F146" s="1133">
        <f>+F143-F144-F145</f>
        <v>0</v>
      </c>
      <c r="G146" s="1133">
        <f>+G143-G144-G145</f>
        <v>422595988.96000004</v>
      </c>
      <c r="H146" s="1133">
        <f>+H143-H144-H145</f>
        <v>0</v>
      </c>
      <c r="I146" s="1133">
        <f>+I143-I144-I145</f>
        <v>-14855479.01</v>
      </c>
      <c r="J146" s="1132"/>
      <c r="K146" s="1143"/>
    </row>
    <row r="147" spans="1:9" ht="20.25">
      <c r="A147" s="1106" t="str">
        <f>A1</f>
        <v>Worksheet A-7 - WES ADIT</v>
      </c>
      <c r="B147" s="1106"/>
      <c r="C147" s="1136"/>
      <c r="E147" s="1113"/>
      <c r="F147" s="1113"/>
      <c r="G147" s="1113"/>
      <c r="H147" s="1113"/>
      <c r="I147" s="1113"/>
    </row>
    <row r="148" spans="1:11" ht="15">
      <c r="A148" s="1108"/>
      <c r="C148" s="1136"/>
      <c r="E148" s="1113"/>
      <c r="F148" s="1113"/>
      <c r="G148" s="1113"/>
      <c r="H148" s="1113"/>
      <c r="I148" s="1113"/>
      <c r="K148" s="1110" t="s">
        <v>27</v>
      </c>
    </row>
    <row r="149" spans="1:11" ht="18">
      <c r="A149" s="1108"/>
      <c r="B149" s="1444" t="str">
        <f>B4</f>
        <v>Kansas Gas and Electric Company</v>
      </c>
      <c r="C149" s="1445"/>
      <c r="D149" s="1445"/>
      <c r="E149" s="1445"/>
      <c r="F149" s="1445"/>
      <c r="G149" s="1445"/>
      <c r="H149" s="1445"/>
      <c r="I149" s="1445"/>
      <c r="J149" s="1445"/>
      <c r="K149" s="1445"/>
    </row>
    <row r="150" spans="1:11" ht="18">
      <c r="A150" s="1108"/>
      <c r="B150" s="1444" t="str">
        <f>B5</f>
        <v>Allocation of ADIT</v>
      </c>
      <c r="C150" s="1445"/>
      <c r="D150" s="1445"/>
      <c r="E150" s="1445"/>
      <c r="F150" s="1445"/>
      <c r="G150" s="1445"/>
      <c r="H150" s="1445"/>
      <c r="I150" s="1445"/>
      <c r="J150" s="1445"/>
      <c r="K150" s="1445"/>
    </row>
    <row r="151" spans="1:9" ht="12.75">
      <c r="A151" s="1108"/>
      <c r="C151" s="1136"/>
      <c r="G151" s="1137"/>
      <c r="H151" s="1137"/>
      <c r="I151" s="1137"/>
    </row>
    <row r="152" spans="1:11" s="1101" customFormat="1" ht="15.75">
      <c r="A152" s="1144"/>
      <c r="B152" s="1099"/>
      <c r="C152" s="1140" t="s">
        <v>1179</v>
      </c>
      <c r="D152" s="279" t="str">
        <f aca="true" t="shared" si="8" ref="D152:J152">+D$24</f>
        <v>(A)</v>
      </c>
      <c r="E152" s="279" t="str">
        <f t="shared" si="8"/>
        <v>(B)</v>
      </c>
      <c r="F152" s="279" t="str">
        <f t="shared" si="8"/>
        <v>(C)</v>
      </c>
      <c r="G152" s="279" t="str">
        <f t="shared" si="8"/>
        <v>(D)</v>
      </c>
      <c r="H152" s="279" t="str">
        <f t="shared" si="8"/>
        <v>(E)</v>
      </c>
      <c r="I152" s="279" t="str">
        <f t="shared" si="8"/>
        <v>(F)</v>
      </c>
      <c r="J152" s="279" t="str">
        <f t="shared" si="8"/>
        <v>(G)</v>
      </c>
      <c r="K152" s="1097" t="str">
        <f>K116</f>
        <v>(G)</v>
      </c>
    </row>
    <row r="153" spans="1:11" s="1101" customFormat="1" ht="15.75">
      <c r="A153" s="1144"/>
      <c r="B153" s="1099"/>
      <c r="C153" s="281"/>
      <c r="D153" s="279"/>
      <c r="E153" s="192">
        <f>+E$25</f>
        <v>1</v>
      </c>
      <c r="F153" s="192">
        <f>+F$25</f>
        <v>1</v>
      </c>
      <c r="G153" s="192"/>
      <c r="H153" s="192"/>
      <c r="I153" s="192" t="str">
        <f>+I$25</f>
        <v>100% Retail</v>
      </c>
      <c r="J153" s="192" t="str">
        <f>+J$25</f>
        <v>In</v>
      </c>
      <c r="K153" s="1097" t="str">
        <f>K117</f>
        <v> </v>
      </c>
    </row>
    <row r="154" spans="1:11" s="1101" customFormat="1" ht="15.75">
      <c r="A154" s="1144"/>
      <c r="B154" s="1099"/>
      <c r="C154" s="281"/>
      <c r="D154" s="278">
        <f aca="true" t="shared" si="9" ref="D154:J154">+D$26</f>
        <v>2008</v>
      </c>
      <c r="E154" s="279" t="str">
        <f t="shared" si="9"/>
        <v>NonTrans.</v>
      </c>
      <c r="F154" s="279" t="str">
        <f t="shared" si="9"/>
        <v>Transmission</v>
      </c>
      <c r="G154" s="279" t="str">
        <f t="shared" si="9"/>
        <v>Plant </v>
      </c>
      <c r="H154" s="279" t="str">
        <f t="shared" si="9"/>
        <v>Labor</v>
      </c>
      <c r="I154" s="279" t="str">
        <f t="shared" si="9"/>
        <v>[Allocate</v>
      </c>
      <c r="J154" s="279" t="str">
        <f t="shared" si="9"/>
        <v>Adjustment</v>
      </c>
      <c r="K154" s="1097" t="str">
        <f>K118</f>
        <v>Description</v>
      </c>
    </row>
    <row r="155" spans="1:11" s="1101" customFormat="1" ht="15.75">
      <c r="A155" s="1144"/>
      <c r="B155" s="1099"/>
      <c r="C155" s="281"/>
      <c r="D155" s="279" t="str">
        <f aca="true" t="shared" si="10" ref="D155:J155">+D$27</f>
        <v>YE Balance</v>
      </c>
      <c r="E155" s="279" t="str">
        <f t="shared" si="10"/>
        <v>Related</v>
      </c>
      <c r="F155" s="279" t="str">
        <f t="shared" si="10"/>
        <v>Related</v>
      </c>
      <c r="G155" s="279" t="str">
        <f t="shared" si="10"/>
        <v>Related</v>
      </c>
      <c r="H155" s="279" t="str">
        <f t="shared" si="10"/>
        <v>Related</v>
      </c>
      <c r="I155" s="279" t="str">
        <f t="shared" si="10"/>
        <v>by Plant]</v>
      </c>
      <c r="J155" s="279" t="str">
        <f t="shared" si="10"/>
        <v>to Ratebase</v>
      </c>
      <c r="K155" s="1097" t="str">
        <f>K119</f>
        <v>and Justification</v>
      </c>
    </row>
    <row r="156" spans="1:11" s="281" customFormat="1" ht="15">
      <c r="A156" s="1144"/>
      <c r="B156" s="1099"/>
      <c r="C156" s="1129"/>
      <c r="G156" s="1129"/>
      <c r="H156" s="1129"/>
      <c r="I156" s="1129"/>
      <c r="K156" s="1143"/>
    </row>
    <row r="157" spans="1:11" s="1129" customFormat="1" ht="15">
      <c r="A157" s="1145"/>
      <c r="B157" s="1373">
        <v>2830140</v>
      </c>
      <c r="C157" s="1354" t="s">
        <v>454</v>
      </c>
      <c r="D157" s="1357">
        <v>1235781.36</v>
      </c>
      <c r="E157" s="1357"/>
      <c r="F157" s="1357"/>
      <c r="G157" s="1385" t="s">
        <v>455</v>
      </c>
      <c r="H157" s="1354"/>
      <c r="I157" s="1354"/>
      <c r="J157" s="1354"/>
      <c r="K157" s="1375" t="s">
        <v>1186</v>
      </c>
    </row>
    <row r="158" spans="1:11" s="281" customFormat="1" ht="15">
      <c r="A158" s="1144"/>
      <c r="B158" s="1373"/>
      <c r="C158" s="1354"/>
      <c r="D158" s="1357"/>
      <c r="E158" s="1357"/>
      <c r="F158" s="1357"/>
      <c r="G158" s="1357"/>
      <c r="H158" s="1354"/>
      <c r="I158" s="1354"/>
      <c r="J158" s="1354"/>
      <c r="K158" s="1375"/>
    </row>
    <row r="159" spans="1:11" s="281" customFormat="1" ht="15">
      <c r="A159" s="1144"/>
      <c r="B159" s="1384" t="s">
        <v>1100</v>
      </c>
      <c r="C159" s="1374" t="s">
        <v>1581</v>
      </c>
      <c r="D159" s="1357" t="s">
        <v>1100</v>
      </c>
      <c r="E159" s="1357"/>
      <c r="F159" s="1357"/>
      <c r="G159" s="1357" t="s">
        <v>1100</v>
      </c>
      <c r="H159" s="1354"/>
      <c r="I159" s="1354"/>
      <c r="J159" s="1354"/>
      <c r="K159" s="1375"/>
    </row>
    <row r="160" spans="2:11" s="281" customFormat="1" ht="15">
      <c r="B160" s="610">
        <v>2831010</v>
      </c>
      <c r="C160" s="610" t="s">
        <v>1392</v>
      </c>
      <c r="D160" s="1357">
        <v>1373195.79</v>
      </c>
      <c r="E160" s="1357">
        <f>D160</f>
        <v>1373195.79</v>
      </c>
      <c r="F160" s="1357"/>
      <c r="G160" s="1354"/>
      <c r="H160" s="1354"/>
      <c r="I160" s="1354"/>
      <c r="J160" s="1362" t="s">
        <v>1086</v>
      </c>
      <c r="K160" s="610" t="s">
        <v>1393</v>
      </c>
    </row>
    <row r="161" spans="1:11" s="1129" customFormat="1" ht="15">
      <c r="A161" s="1145"/>
      <c r="B161" s="1373">
        <v>2830240</v>
      </c>
      <c r="C161" s="1354" t="s">
        <v>1391</v>
      </c>
      <c r="D161" s="1357">
        <v>-1235781.36</v>
      </c>
      <c r="E161" s="1357">
        <f>+D161</f>
        <v>-1235781.36</v>
      </c>
      <c r="F161" s="1357"/>
      <c r="G161" s="1354"/>
      <c r="H161" s="1354"/>
      <c r="I161" s="1354"/>
      <c r="J161" s="1355" t="s">
        <v>1187</v>
      </c>
      <c r="K161" s="1375" t="s">
        <v>1186</v>
      </c>
    </row>
    <row r="162" spans="1:11" s="281" customFormat="1" ht="15" customHeight="1">
      <c r="A162" s="1144"/>
      <c r="B162" s="1373">
        <v>2831014</v>
      </c>
      <c r="C162" s="1354" t="s">
        <v>456</v>
      </c>
      <c r="D162" s="1357">
        <v>0</v>
      </c>
      <c r="E162" s="1357">
        <f>+D162</f>
        <v>0</v>
      </c>
      <c r="F162" s="1357"/>
      <c r="G162" s="1354"/>
      <c r="H162" s="1354"/>
      <c r="I162" s="1354"/>
      <c r="J162" s="1355" t="s">
        <v>1187</v>
      </c>
      <c r="K162" s="1375" t="s">
        <v>457</v>
      </c>
    </row>
    <row r="163" spans="1:11" s="281" customFormat="1" ht="15">
      <c r="A163" s="1144"/>
      <c r="B163" s="1373">
        <v>2831017</v>
      </c>
      <c r="C163" s="1354" t="s">
        <v>458</v>
      </c>
      <c r="D163" s="1357">
        <v>-5118960.22</v>
      </c>
      <c r="E163" s="1357">
        <f>+D163</f>
        <v>-5118960.22</v>
      </c>
      <c r="F163" s="1357"/>
      <c r="G163" s="1354"/>
      <c r="H163" s="1354"/>
      <c r="I163" s="1354"/>
      <c r="J163" s="1355" t="s">
        <v>1187</v>
      </c>
      <c r="K163" s="1375" t="s">
        <v>459</v>
      </c>
    </row>
    <row r="164" spans="1:11" s="281" customFormat="1" ht="15">
      <c r="A164" s="1144"/>
      <c r="B164" s="1373">
        <v>2831018</v>
      </c>
      <c r="C164" s="1354" t="s">
        <v>537</v>
      </c>
      <c r="D164" s="1357">
        <v>-867402.73</v>
      </c>
      <c r="E164" s="1357"/>
      <c r="F164" s="1357"/>
      <c r="G164" s="1354"/>
      <c r="H164" s="1354"/>
      <c r="I164" s="1354">
        <f>D164</f>
        <v>-867402.73</v>
      </c>
      <c r="J164" s="1355" t="s">
        <v>1187</v>
      </c>
      <c r="K164" s="1375" t="s">
        <v>538</v>
      </c>
    </row>
    <row r="165" spans="1:11" s="281" customFormat="1" ht="15">
      <c r="A165" s="1144"/>
      <c r="B165" s="1373">
        <v>2831023</v>
      </c>
      <c r="C165" s="1354" t="s">
        <v>460</v>
      </c>
      <c r="D165" s="1357">
        <v>4928725.9</v>
      </c>
      <c r="E165" s="1357">
        <f>+D165</f>
        <v>4928725.9</v>
      </c>
      <c r="F165" s="1357"/>
      <c r="G165" s="1354"/>
      <c r="H165" s="1354"/>
      <c r="I165" s="1354"/>
      <c r="J165" s="1355" t="s">
        <v>1187</v>
      </c>
      <c r="K165" s="1375" t="s">
        <v>461</v>
      </c>
    </row>
    <row r="166" spans="1:11" s="281" customFormat="1" ht="15">
      <c r="A166" s="1144"/>
      <c r="B166" s="1373">
        <v>2831027</v>
      </c>
      <c r="C166" s="1354" t="s">
        <v>549</v>
      </c>
      <c r="D166" s="1357">
        <v>0</v>
      </c>
      <c r="E166" s="1357">
        <f>D166</f>
        <v>0</v>
      </c>
      <c r="F166" s="1357"/>
      <c r="G166" s="1354"/>
      <c r="H166" s="1354"/>
      <c r="I166" s="1354"/>
      <c r="J166" s="1355" t="s">
        <v>1086</v>
      </c>
      <c r="K166" s="1375" t="s">
        <v>550</v>
      </c>
    </row>
    <row r="167" spans="1:11" s="281" customFormat="1" ht="30">
      <c r="A167" s="1144"/>
      <c r="B167" s="1373">
        <v>2831028</v>
      </c>
      <c r="C167" s="1354" t="s">
        <v>312</v>
      </c>
      <c r="D167" s="1357">
        <v>4810196.15</v>
      </c>
      <c r="E167" s="1357"/>
      <c r="F167" s="1357"/>
      <c r="G167" s="1354">
        <f aca="true" t="shared" si="11" ref="G167:G172">+D167-H167</f>
        <v>4810196.15</v>
      </c>
      <c r="H167" s="1354"/>
      <c r="I167" s="1354"/>
      <c r="J167" s="1355" t="s">
        <v>1187</v>
      </c>
      <c r="K167" s="1375" t="s">
        <v>313</v>
      </c>
    </row>
    <row r="168" spans="1:11" s="281" customFormat="1" ht="30">
      <c r="A168" s="1144"/>
      <c r="B168" s="1373">
        <v>2831030</v>
      </c>
      <c r="C168" s="1354" t="s">
        <v>316</v>
      </c>
      <c r="D168" s="1357">
        <v>0</v>
      </c>
      <c r="E168" s="1357"/>
      <c r="F168" s="1357"/>
      <c r="G168" s="1354">
        <f t="shared" si="11"/>
        <v>0</v>
      </c>
      <c r="H168" s="1354"/>
      <c r="I168" s="1354"/>
      <c r="J168" s="1355" t="s">
        <v>1187</v>
      </c>
      <c r="K168" s="1375" t="s">
        <v>810</v>
      </c>
    </row>
    <row r="169" spans="1:11" s="281" customFormat="1" ht="15">
      <c r="A169" s="1144"/>
      <c r="B169" s="1373">
        <v>2831031</v>
      </c>
      <c r="C169" s="1354" t="s">
        <v>811</v>
      </c>
      <c r="D169" s="1357">
        <v>-835227.86</v>
      </c>
      <c r="E169" s="1357">
        <f>D169</f>
        <v>-835227.86</v>
      </c>
      <c r="F169" s="1357"/>
      <c r="G169" s="1354"/>
      <c r="H169" s="1354"/>
      <c r="I169" s="1354"/>
      <c r="J169" s="1355" t="s">
        <v>1086</v>
      </c>
      <c r="K169" s="1375" t="s">
        <v>462</v>
      </c>
    </row>
    <row r="170" spans="1:11" s="281" customFormat="1" ht="15">
      <c r="A170" s="1144"/>
      <c r="B170" s="1373">
        <v>2831033</v>
      </c>
      <c r="C170" s="1354" t="s">
        <v>920</v>
      </c>
      <c r="D170" s="1357">
        <v>181233.67</v>
      </c>
      <c r="E170" s="1357"/>
      <c r="F170" s="1357"/>
      <c r="G170" s="1354">
        <f t="shared" si="11"/>
        <v>181233.67</v>
      </c>
      <c r="H170" s="1354"/>
      <c r="I170" s="1354"/>
      <c r="J170" s="1355" t="s">
        <v>1187</v>
      </c>
      <c r="K170" s="1375" t="s">
        <v>921</v>
      </c>
    </row>
    <row r="171" spans="1:11" s="281" customFormat="1" ht="15">
      <c r="A171" s="1144"/>
      <c r="B171" s="1373">
        <v>2831039</v>
      </c>
      <c r="C171" s="1354" t="s">
        <v>922</v>
      </c>
      <c r="D171" s="1357">
        <v>419893.28</v>
      </c>
      <c r="E171" s="1357">
        <f>D171</f>
        <v>419893.28</v>
      </c>
      <c r="F171" s="1357"/>
      <c r="G171" s="1354"/>
      <c r="H171" s="1354"/>
      <c r="I171" s="1354"/>
      <c r="J171" s="1355" t="s">
        <v>1086</v>
      </c>
      <c r="K171" s="1375" t="s">
        <v>463</v>
      </c>
    </row>
    <row r="172" spans="1:11" s="281" customFormat="1" ht="15">
      <c r="A172" s="1144"/>
      <c r="B172" s="1373">
        <v>2831041</v>
      </c>
      <c r="C172" s="1354" t="s">
        <v>924</v>
      </c>
      <c r="D172" s="1357">
        <v>6635349.42</v>
      </c>
      <c r="E172" s="1357"/>
      <c r="F172" s="1357"/>
      <c r="G172" s="1354">
        <f t="shared" si="11"/>
        <v>6635349.42</v>
      </c>
      <c r="H172" s="1354"/>
      <c r="I172" s="1354"/>
      <c r="J172" s="1355" t="s">
        <v>1187</v>
      </c>
      <c r="K172" s="1375" t="s">
        <v>925</v>
      </c>
    </row>
    <row r="173" spans="1:11" s="281" customFormat="1" ht="30">
      <c r="A173" s="1144"/>
      <c r="B173" s="1373">
        <v>2831049</v>
      </c>
      <c r="C173" s="1354" t="s">
        <v>464</v>
      </c>
      <c r="D173" s="1357">
        <v>-284661.49</v>
      </c>
      <c r="E173" s="1357">
        <f aca="true" t="shared" si="12" ref="E173:E178">+D173</f>
        <v>-284661.49</v>
      </c>
      <c r="F173" s="1357"/>
      <c r="G173" s="1354"/>
      <c r="H173" s="1357"/>
      <c r="I173" s="1354"/>
      <c r="J173" s="1355" t="s">
        <v>1187</v>
      </c>
      <c r="K173" s="1375" t="s">
        <v>927</v>
      </c>
    </row>
    <row r="174" spans="1:11" s="281" customFormat="1" ht="15" customHeight="1">
      <c r="A174" s="1144"/>
      <c r="B174" s="1373">
        <v>2831054</v>
      </c>
      <c r="C174" s="1354" t="s">
        <v>1439</v>
      </c>
      <c r="D174" s="1357">
        <v>16373410.34</v>
      </c>
      <c r="E174" s="1357">
        <f t="shared" si="12"/>
        <v>16373410.34</v>
      </c>
      <c r="F174" s="1357"/>
      <c r="G174" s="1354"/>
      <c r="H174" s="1354"/>
      <c r="I174" s="1354"/>
      <c r="J174" s="1362" t="s">
        <v>1086</v>
      </c>
      <c r="K174" s="1375" t="s">
        <v>1440</v>
      </c>
    </row>
    <row r="175" spans="1:11" s="281" customFormat="1" ht="30">
      <c r="A175" s="1144"/>
      <c r="B175" s="1373">
        <v>2831055</v>
      </c>
      <c r="C175" s="1354" t="s">
        <v>1441</v>
      </c>
      <c r="D175" s="1357">
        <v>1256078.11</v>
      </c>
      <c r="E175" s="1357">
        <f t="shared" si="12"/>
        <v>1256078.11</v>
      </c>
      <c r="F175" s="1357"/>
      <c r="G175" s="1354"/>
      <c r="H175" s="1354"/>
      <c r="I175" s="1354"/>
      <c r="J175" s="1362" t="s">
        <v>1086</v>
      </c>
      <c r="K175" s="1375" t="s">
        <v>1442</v>
      </c>
    </row>
    <row r="176" spans="2:11" s="281" customFormat="1" ht="30">
      <c r="B176" s="610">
        <v>2831065</v>
      </c>
      <c r="C176" s="610" t="s">
        <v>465</v>
      </c>
      <c r="D176" s="1357">
        <v>32691.88</v>
      </c>
      <c r="E176" s="1357">
        <f t="shared" si="12"/>
        <v>32691.88</v>
      </c>
      <c r="F176" s="1357"/>
      <c r="G176" s="1354"/>
      <c r="H176" s="616"/>
      <c r="I176" s="1354"/>
      <c r="J176" s="1362" t="s">
        <v>1086</v>
      </c>
      <c r="K176" s="1361" t="s">
        <v>929</v>
      </c>
    </row>
    <row r="177" spans="1:11" s="281" customFormat="1" ht="15">
      <c r="A177" s="1144"/>
      <c r="B177" s="1373">
        <v>2831080</v>
      </c>
      <c r="C177" s="1354" t="s">
        <v>466</v>
      </c>
      <c r="D177" s="1357">
        <v>488537</v>
      </c>
      <c r="E177" s="1357">
        <f t="shared" si="12"/>
        <v>488537</v>
      </c>
      <c r="F177" s="1357"/>
      <c r="G177" s="1354"/>
      <c r="H177" s="1354"/>
      <c r="I177" s="1354"/>
      <c r="J177" s="1355" t="s">
        <v>1187</v>
      </c>
      <c r="K177" s="1375" t="s">
        <v>467</v>
      </c>
    </row>
    <row r="178" spans="1:11" s="281" customFormat="1" ht="30">
      <c r="A178" s="1144"/>
      <c r="B178" s="1373">
        <v>2831081</v>
      </c>
      <c r="C178" s="1354" t="s">
        <v>468</v>
      </c>
      <c r="D178" s="1357">
        <v>788059</v>
      </c>
      <c r="E178" s="1357">
        <f t="shared" si="12"/>
        <v>788059</v>
      </c>
      <c r="F178" s="1357"/>
      <c r="G178" s="1354"/>
      <c r="H178" s="1354"/>
      <c r="I178" s="1354"/>
      <c r="J178" s="1355" t="s">
        <v>1187</v>
      </c>
      <c r="K178" s="1375" t="s">
        <v>469</v>
      </c>
    </row>
    <row r="179" spans="1:11" s="281" customFormat="1" ht="15">
      <c r="A179" s="1144"/>
      <c r="B179" s="1373">
        <v>2831082</v>
      </c>
      <c r="C179" s="1354" t="s">
        <v>470</v>
      </c>
      <c r="D179" s="1357">
        <v>68914.28</v>
      </c>
      <c r="E179" s="1357">
        <f>D179</f>
        <v>68914.28</v>
      </c>
      <c r="F179" s="1357"/>
      <c r="G179" s="1354"/>
      <c r="H179" s="1354"/>
      <c r="I179" s="1354"/>
      <c r="J179" s="1355" t="s">
        <v>1086</v>
      </c>
      <c r="K179" s="1375" t="s">
        <v>471</v>
      </c>
    </row>
    <row r="180" spans="1:11" s="281" customFormat="1" ht="15">
      <c r="A180" s="1144"/>
      <c r="B180" s="1373">
        <v>2831084</v>
      </c>
      <c r="C180" s="1354" t="s">
        <v>472</v>
      </c>
      <c r="D180" s="1357">
        <v>2366389.4</v>
      </c>
      <c r="E180" s="1357">
        <f>D180</f>
        <v>2366389.4</v>
      </c>
      <c r="F180" s="1357"/>
      <c r="G180" s="1354"/>
      <c r="H180" s="1354"/>
      <c r="I180" s="1354"/>
      <c r="J180" s="1355" t="s">
        <v>1086</v>
      </c>
      <c r="K180" s="1375" t="s">
        <v>473</v>
      </c>
    </row>
    <row r="181" spans="1:11" s="281" customFormat="1" ht="15">
      <c r="A181" s="1144"/>
      <c r="B181" s="1373">
        <v>2831095</v>
      </c>
      <c r="C181" s="1379" t="s">
        <v>932</v>
      </c>
      <c r="D181" s="1357">
        <v>15168.69</v>
      </c>
      <c r="E181" s="1357">
        <f>+D181</f>
        <v>15168.69</v>
      </c>
      <c r="F181" s="1357"/>
      <c r="G181" s="1354"/>
      <c r="H181" s="1354"/>
      <c r="I181" s="1354"/>
      <c r="J181" s="1355" t="s">
        <v>1187</v>
      </c>
      <c r="K181" s="1375" t="s">
        <v>933</v>
      </c>
    </row>
    <row r="182" spans="1:11" s="281" customFormat="1" ht="31.5" customHeight="1">
      <c r="A182" s="1144"/>
      <c r="B182" s="1373">
        <v>2831096</v>
      </c>
      <c r="C182" s="1379" t="s">
        <v>934</v>
      </c>
      <c r="D182" s="1357">
        <v>10176.21</v>
      </c>
      <c r="E182" s="1357">
        <f>+D182</f>
        <v>10176.21</v>
      </c>
      <c r="F182" s="1357"/>
      <c r="G182" s="1354"/>
      <c r="H182" s="1354"/>
      <c r="I182" s="1354"/>
      <c r="J182" s="1355" t="s">
        <v>1187</v>
      </c>
      <c r="K182" s="1375" t="s">
        <v>935</v>
      </c>
    </row>
    <row r="183" spans="1:11" s="281" customFormat="1" ht="15">
      <c r="A183" s="1144"/>
      <c r="B183" s="1384" t="s">
        <v>1100</v>
      </c>
      <c r="C183" s="1354"/>
      <c r="D183" s="1357" t="s">
        <v>1100</v>
      </c>
      <c r="E183" s="1357"/>
      <c r="F183" s="1357"/>
      <c r="G183" s="1357" t="s">
        <v>1100</v>
      </c>
      <c r="H183" s="1354"/>
      <c r="I183" s="1354"/>
      <c r="J183" s="1354"/>
      <c r="K183" s="1375"/>
    </row>
    <row r="184" spans="1:11" s="281" customFormat="1" ht="15">
      <c r="A184" s="1144"/>
      <c r="B184" s="1384"/>
      <c r="C184" s="1374" t="s">
        <v>936</v>
      </c>
      <c r="D184" s="1357"/>
      <c r="E184" s="1357"/>
      <c r="F184" s="1357"/>
      <c r="G184" s="1357"/>
      <c r="H184" s="1354"/>
      <c r="I184" s="1354"/>
      <c r="J184" s="1354"/>
      <c r="K184" s="1375"/>
    </row>
    <row r="185" spans="1:11" s="281" customFormat="1" ht="15">
      <c r="A185" s="1144"/>
      <c r="B185" s="1373">
        <v>2832067</v>
      </c>
      <c r="C185" s="1354" t="s">
        <v>474</v>
      </c>
      <c r="D185" s="1357">
        <v>211587011.4</v>
      </c>
      <c r="E185" s="1357">
        <f>+D185</f>
        <v>211587011.4</v>
      </c>
      <c r="F185" s="1357"/>
      <c r="G185" s="1354"/>
      <c r="H185" s="1354"/>
      <c r="I185" s="1354"/>
      <c r="J185" s="1355" t="s">
        <v>1086</v>
      </c>
      <c r="K185" s="1375" t="s">
        <v>1332</v>
      </c>
    </row>
    <row r="186" spans="1:11" s="281" customFormat="1" ht="15">
      <c r="A186" s="1144"/>
      <c r="B186" s="1373">
        <v>2832060</v>
      </c>
      <c r="C186" s="1354" t="s">
        <v>938</v>
      </c>
      <c r="D186" s="1357">
        <v>0</v>
      </c>
      <c r="E186" s="1357">
        <f>+D186</f>
        <v>0</v>
      </c>
      <c r="F186" s="1357"/>
      <c r="G186" s="1354"/>
      <c r="H186" s="1354"/>
      <c r="I186" s="1354"/>
      <c r="J186" s="1355" t="s">
        <v>1086</v>
      </c>
      <c r="K186" s="1375" t="s">
        <v>727</v>
      </c>
    </row>
    <row r="187" spans="1:11" s="281" customFormat="1" ht="15">
      <c r="A187" s="1144"/>
      <c r="B187" s="1384" t="s">
        <v>1100</v>
      </c>
      <c r="C187" s="1354"/>
      <c r="D187" s="1357" t="s">
        <v>1100</v>
      </c>
      <c r="E187" s="1357"/>
      <c r="F187" s="1357"/>
      <c r="G187" s="1357" t="s">
        <v>1100</v>
      </c>
      <c r="H187" s="1354"/>
      <c r="I187" s="1354"/>
      <c r="J187" s="1354"/>
      <c r="K187" s="1375"/>
    </row>
    <row r="188" spans="1:11" s="281" customFormat="1" ht="30">
      <c r="A188" s="1144"/>
      <c r="B188" s="1373">
        <v>2837091</v>
      </c>
      <c r="C188" s="1376" t="s">
        <v>943</v>
      </c>
      <c r="D188" s="1366">
        <v>0</v>
      </c>
      <c r="E188" s="1366"/>
      <c r="F188" s="1366"/>
      <c r="G188" s="1357" t="s">
        <v>1100</v>
      </c>
      <c r="H188" s="1354"/>
      <c r="I188" s="1354"/>
      <c r="J188" s="1354"/>
      <c r="K188" s="1375"/>
    </row>
    <row r="189" spans="1:11" s="281" customFormat="1" ht="15">
      <c r="A189" s="1144"/>
      <c r="B189" s="1373">
        <v>28370</v>
      </c>
      <c r="C189" s="1354" t="s">
        <v>475</v>
      </c>
      <c r="D189" s="1366">
        <v>0</v>
      </c>
      <c r="E189" s="1357"/>
      <c r="F189" s="1357"/>
      <c r="G189" s="1357">
        <v>0</v>
      </c>
      <c r="H189" s="1354"/>
      <c r="I189" s="1354"/>
      <c r="J189" s="1354"/>
      <c r="K189" s="1375"/>
    </row>
    <row r="190" spans="1:11" s="1101" customFormat="1" ht="15.75">
      <c r="A190" s="1144"/>
      <c r="B190" s="1386" t="s">
        <v>1100</v>
      </c>
      <c r="C190" s="1386" t="s">
        <v>1100</v>
      </c>
      <c r="D190" s="1387"/>
      <c r="E190" s="1387"/>
      <c r="F190" s="1387"/>
      <c r="G190" s="1387" t="s">
        <v>1100</v>
      </c>
      <c r="H190" s="1388"/>
      <c r="I190" s="1388"/>
      <c r="J190" s="1388"/>
      <c r="K190" s="1389"/>
    </row>
    <row r="191" spans="1:11" s="281" customFormat="1" ht="15">
      <c r="A191" s="1144"/>
      <c r="B191" s="1388"/>
      <c r="C191" s="1388"/>
      <c r="D191" s="1387"/>
      <c r="E191" s="1387"/>
      <c r="F191" s="1387"/>
      <c r="G191" s="1387"/>
      <c r="H191" s="1388"/>
      <c r="I191" s="1388"/>
      <c r="J191" s="1388"/>
      <c r="K191" s="1389"/>
    </row>
    <row r="192" spans="1:11" s="281" customFormat="1" ht="15">
      <c r="A192" s="1144"/>
      <c r="B192" s="1388" t="s">
        <v>1100</v>
      </c>
      <c r="C192" s="1388" t="s">
        <v>476</v>
      </c>
      <c r="D192" s="1390">
        <f>-D157</f>
        <v>-1235781.36</v>
      </c>
      <c r="E192" s="1387"/>
      <c r="F192" s="1387"/>
      <c r="G192" s="1387" t="str">
        <f>G159</f>
        <v> </v>
      </c>
      <c r="H192" s="1388"/>
      <c r="I192" s="1388"/>
      <c r="J192" s="1388"/>
      <c r="K192" s="1389"/>
    </row>
    <row r="193" spans="1:11" s="281" customFormat="1" ht="15">
      <c r="A193" s="1144"/>
      <c r="B193" s="1391" t="s">
        <v>1100</v>
      </c>
      <c r="C193" s="1392" t="s">
        <v>950</v>
      </c>
      <c r="D193" s="1387">
        <f>-D161</f>
        <v>1235781.36</v>
      </c>
      <c r="E193" s="1387">
        <f>-E161</f>
        <v>1235781.36</v>
      </c>
      <c r="F193" s="1387"/>
      <c r="G193" s="1387">
        <v>0</v>
      </c>
      <c r="H193" s="1388"/>
      <c r="I193" s="1388"/>
      <c r="J193" s="1388"/>
      <c r="K193" s="1389" t="s">
        <v>1186</v>
      </c>
    </row>
    <row r="194" spans="1:11" s="281" customFormat="1" ht="15">
      <c r="A194" s="1144"/>
      <c r="G194" s="1128"/>
      <c r="H194" s="1129"/>
      <c r="I194" s="1129"/>
      <c r="K194" s="1143"/>
    </row>
    <row r="195" spans="1:11" s="281" customFormat="1" ht="15.75">
      <c r="A195" s="1144"/>
      <c r="B195" s="1131" t="s">
        <v>1756</v>
      </c>
      <c r="C195" s="1144"/>
      <c r="D195" s="281" t="s">
        <v>1100</v>
      </c>
      <c r="E195" s="1132">
        <f>SUM(E157:E193)</f>
        <v>233469401.71000004</v>
      </c>
      <c r="F195" s="1132">
        <f>SUM(F157:F193)</f>
        <v>0</v>
      </c>
      <c r="G195" s="1146">
        <f>SUM(G157:G193)</f>
        <v>11626779.24</v>
      </c>
      <c r="H195" s="1146">
        <f>SUM(H157:H193)</f>
        <v>0</v>
      </c>
      <c r="I195" s="1146">
        <f>SUM(I157:I193)</f>
        <v>-867402.73</v>
      </c>
      <c r="J195" s="281">
        <f>SUM(D195:I195)</f>
        <v>244228778.22000006</v>
      </c>
      <c r="K195" s="1143"/>
    </row>
    <row r="196" spans="1:11" s="281" customFormat="1" ht="15.75">
      <c r="A196" s="1144"/>
      <c r="B196" s="1135" t="s">
        <v>967</v>
      </c>
      <c r="C196" s="1144"/>
      <c r="D196" s="281" t="s">
        <v>1100</v>
      </c>
      <c r="E196" s="1132"/>
      <c r="F196" s="1132"/>
      <c r="G196" s="1146"/>
      <c r="H196" s="1146"/>
      <c r="I196" s="1146"/>
      <c r="J196" s="1132"/>
      <c r="K196" s="1143"/>
    </row>
    <row r="197" spans="1:11" s="281" customFormat="1" ht="15.75">
      <c r="A197" s="1144"/>
      <c r="B197" s="1135" t="s">
        <v>968</v>
      </c>
      <c r="C197" s="1144"/>
      <c r="E197" s="1132"/>
      <c r="F197" s="1132"/>
      <c r="G197" s="1146"/>
      <c r="H197" s="1146"/>
      <c r="I197" s="1146"/>
      <c r="J197" s="1132"/>
      <c r="K197" s="1143"/>
    </row>
    <row r="198" spans="1:11" s="281" customFormat="1" ht="15.75">
      <c r="A198" s="1144"/>
      <c r="B198" s="1135" t="s">
        <v>1106</v>
      </c>
      <c r="C198" s="1144"/>
      <c r="E198" s="1146">
        <f>+E195-E196-E197</f>
        <v>233469401.71000004</v>
      </c>
      <c r="F198" s="1146">
        <f>+F195-F196-F197</f>
        <v>0</v>
      </c>
      <c r="G198" s="1146">
        <f>+G195-G196-G197</f>
        <v>11626779.24</v>
      </c>
      <c r="H198" s="1146">
        <f>+H195-H196-H197</f>
        <v>0</v>
      </c>
      <c r="I198" s="1146">
        <f>+I195-I196-I197</f>
        <v>-867402.73</v>
      </c>
      <c r="J198" s="1132"/>
      <c r="K198" s="1143"/>
    </row>
    <row r="199" ht="12.75">
      <c r="C199" s="1147"/>
    </row>
  </sheetData>
  <sheetProtection/>
  <mergeCells count="9">
    <mergeCell ref="B22:K22"/>
    <mergeCell ref="B150:K150"/>
    <mergeCell ref="B4:J4"/>
    <mergeCell ref="B5:J5"/>
    <mergeCell ref="B114:K114"/>
    <mergeCell ref="B149:K149"/>
    <mergeCell ref="B21:K21"/>
    <mergeCell ref="B113:K113"/>
    <mergeCell ref="B6:J6"/>
  </mergeCells>
  <printOptions horizontalCentered="1"/>
  <pageMargins left="0.32" right="0.3" top="0.5" bottom="0.68" header="0.5" footer="0.42"/>
  <pageSetup fitToHeight="8" horizontalDpi="600" verticalDpi="600" orientation="landscape" scale="39" r:id="rId1"/>
  <headerFooter alignWithMargins="0">
    <oddFooter>&amp;L&amp;D&amp;R&amp;F</oddFooter>
  </headerFooter>
  <rowBreaks count="4" manualBreakCount="4">
    <brk id="18" max="255" man="1"/>
    <brk id="79" max="255" man="1"/>
    <brk id="110" max="255" man="1"/>
    <brk id="146" max="255" man="1"/>
  </rowBreaks>
</worksheet>
</file>

<file path=xl/worksheets/sheet11.xml><?xml version="1.0" encoding="utf-8"?>
<worksheet xmlns="http://schemas.openxmlformats.org/spreadsheetml/2006/main" xmlns:r="http://schemas.openxmlformats.org/officeDocument/2006/relationships">
  <sheetPr>
    <tabColor indexed="22"/>
  </sheetPr>
  <dimension ref="B1:R109"/>
  <sheetViews>
    <sheetView view="pageBreakPreview" zoomScale="50" zoomScaleNormal="50" zoomScaleSheetLayoutView="50" zoomScalePageLayoutView="0" workbookViewId="0" topLeftCell="A1">
      <selection activeCell="A1" sqref="A1"/>
    </sheetView>
  </sheetViews>
  <sheetFormatPr defaultColWidth="8.88671875" defaultRowHeight="15"/>
  <cols>
    <col min="1" max="1" width="3.4453125" style="10" customWidth="1"/>
    <col min="2" max="2" width="11.99609375" style="127" customWidth="1"/>
    <col min="3" max="15" width="18.77734375" style="10" customWidth="1"/>
    <col min="16" max="16" width="12.3359375" style="10" customWidth="1"/>
    <col min="17" max="17" width="21.4453125" style="10" bestFit="1" customWidth="1"/>
    <col min="18" max="18" width="18.77734375" style="10" customWidth="1"/>
    <col min="19" max="19" width="2.77734375" style="10" customWidth="1"/>
    <col min="20" max="16384" width="8.88671875" style="10" customWidth="1"/>
  </cols>
  <sheetData>
    <row r="1" spans="2:18" ht="20.25">
      <c r="B1" s="86" t="s">
        <v>1639</v>
      </c>
      <c r="O1" s="79"/>
      <c r="R1" s="79" t="s">
        <v>1690</v>
      </c>
    </row>
    <row r="2" spans="2:18" ht="18">
      <c r="B2" s="107" t="s">
        <v>838</v>
      </c>
      <c r="C2" s="74"/>
      <c r="D2" s="74"/>
      <c r="E2" s="74"/>
      <c r="F2" s="74"/>
      <c r="G2" s="74"/>
      <c r="H2" s="74"/>
      <c r="I2" s="74"/>
      <c r="J2" s="74"/>
      <c r="K2" s="74"/>
      <c r="L2" s="74"/>
      <c r="M2" s="74"/>
      <c r="N2" s="74"/>
      <c r="O2" s="74"/>
      <c r="P2" s="74"/>
      <c r="Q2" s="74"/>
      <c r="R2" s="74"/>
    </row>
    <row r="3" spans="2:18" ht="15">
      <c r="B3" s="383" t="str">
        <f>+'Actual Net Rev Req'!$C$4</f>
        <v>For the 12 months ended - December 31, 2008</v>
      </c>
      <c r="C3" s="74"/>
      <c r="D3" s="74"/>
      <c r="E3" s="74"/>
      <c r="F3" s="74"/>
      <c r="G3" s="74"/>
      <c r="H3" s="74"/>
      <c r="I3" s="74"/>
      <c r="J3" s="74"/>
      <c r="K3" s="74"/>
      <c r="L3" s="74"/>
      <c r="M3" s="74"/>
      <c r="N3" s="74"/>
      <c r="O3" s="74"/>
      <c r="P3" s="74"/>
      <c r="Q3" s="74"/>
      <c r="R3" s="74"/>
    </row>
    <row r="4" spans="3:18" ht="15">
      <c r="C4" s="384"/>
      <c r="D4" s="74"/>
      <c r="E4" s="74"/>
      <c r="F4" s="74"/>
      <c r="G4" s="74"/>
      <c r="H4" s="74"/>
      <c r="I4" s="74"/>
      <c r="J4" s="74"/>
      <c r="K4" s="74"/>
      <c r="L4" s="74"/>
      <c r="M4" s="74"/>
      <c r="N4" s="74"/>
      <c r="O4" s="74"/>
      <c r="P4" s="74"/>
      <c r="Q4" s="74"/>
      <c r="R4" s="74"/>
    </row>
    <row r="5" spans="2:18" ht="15.75">
      <c r="B5" s="351" t="s">
        <v>1711</v>
      </c>
      <c r="C5" s="154"/>
      <c r="D5" s="154"/>
      <c r="E5" s="154"/>
      <c r="F5" s="154"/>
      <c r="G5" s="154"/>
      <c r="H5" s="154"/>
      <c r="I5" s="154"/>
      <c r="J5" s="154"/>
      <c r="K5" s="74"/>
      <c r="L5" s="74"/>
      <c r="M5" s="74"/>
      <c r="N5" s="74"/>
      <c r="O5" s="74"/>
      <c r="P5" s="74"/>
      <c r="Q5" s="74"/>
      <c r="R5" s="74"/>
    </row>
    <row r="6" spans="2:18" ht="23.25">
      <c r="B6" s="106"/>
      <c r="C6" s="74"/>
      <c r="D6" s="74"/>
      <c r="E6" s="74"/>
      <c r="F6" s="74"/>
      <c r="G6" s="74"/>
      <c r="H6" s="74"/>
      <c r="I6" s="74"/>
      <c r="J6" s="74"/>
      <c r="K6" s="74"/>
      <c r="L6" s="74"/>
      <c r="M6" s="74"/>
      <c r="N6" s="74"/>
      <c r="O6" s="74"/>
      <c r="P6" s="74"/>
      <c r="Q6" s="74"/>
      <c r="R6" s="74"/>
    </row>
    <row r="7" spans="2:18" ht="18">
      <c r="B7" s="108" t="s">
        <v>1712</v>
      </c>
      <c r="C7" s="109"/>
      <c r="D7" s="109"/>
      <c r="E7" s="109"/>
      <c r="F7" s="109"/>
      <c r="G7" s="109"/>
      <c r="H7" s="109"/>
      <c r="I7" s="109"/>
      <c r="J7" s="109"/>
      <c r="K7" s="109"/>
      <c r="L7" s="109"/>
      <c r="M7" s="109"/>
      <c r="N7" s="109"/>
      <c r="O7" s="109"/>
      <c r="P7" s="109"/>
      <c r="Q7" s="109"/>
      <c r="R7" s="110"/>
    </row>
    <row r="8" spans="2:18" ht="15">
      <c r="B8" s="111"/>
      <c r="C8" s="112"/>
      <c r="D8" s="112"/>
      <c r="E8" s="112"/>
      <c r="F8" s="112"/>
      <c r="G8" s="112"/>
      <c r="H8" s="112"/>
      <c r="I8" s="112"/>
      <c r="J8" s="112"/>
      <c r="K8" s="112"/>
      <c r="L8" s="112"/>
      <c r="M8" s="112"/>
      <c r="N8" s="112"/>
      <c r="O8" s="112"/>
      <c r="P8" s="112"/>
      <c r="Q8" s="112"/>
      <c r="R8" s="113"/>
    </row>
    <row r="9" spans="2:18" ht="47.25">
      <c r="B9" s="138" t="s">
        <v>839</v>
      </c>
      <c r="C9" s="352" t="s">
        <v>385</v>
      </c>
      <c r="D9" s="144" t="s">
        <v>386</v>
      </c>
      <c r="E9" s="144" t="s">
        <v>387</v>
      </c>
      <c r="F9" s="144" t="s">
        <v>30</v>
      </c>
      <c r="G9" s="144" t="s">
        <v>389</v>
      </c>
      <c r="H9" s="144" t="s">
        <v>390</v>
      </c>
      <c r="I9" s="144" t="s">
        <v>391</v>
      </c>
      <c r="J9" s="144" t="s">
        <v>392</v>
      </c>
      <c r="K9" s="144" t="s">
        <v>393</v>
      </c>
      <c r="L9" s="144" t="s">
        <v>394</v>
      </c>
      <c r="M9" s="144" t="s">
        <v>395</v>
      </c>
      <c r="N9" s="144" t="s">
        <v>1106</v>
      </c>
      <c r="O9" s="140" t="s">
        <v>840</v>
      </c>
      <c r="P9" s="140" t="s">
        <v>1778</v>
      </c>
      <c r="Q9" s="140" t="s">
        <v>1779</v>
      </c>
      <c r="R9" s="151" t="s">
        <v>1780</v>
      </c>
    </row>
    <row r="10" spans="2:18" ht="15.75">
      <c r="B10" s="141">
        <v>352</v>
      </c>
      <c r="C10" s="353">
        <v>0</v>
      </c>
      <c r="D10" s="353">
        <v>0</v>
      </c>
      <c r="E10" s="353">
        <v>0</v>
      </c>
      <c r="F10" s="353">
        <v>0</v>
      </c>
      <c r="G10" s="353">
        <v>0</v>
      </c>
      <c r="H10" s="353">
        <v>0</v>
      </c>
      <c r="I10" s="353">
        <v>0</v>
      </c>
      <c r="J10" s="353">
        <v>0</v>
      </c>
      <c r="K10" s="353">
        <v>0</v>
      </c>
      <c r="L10" s="353">
        <v>0</v>
      </c>
      <c r="M10" s="353">
        <v>0</v>
      </c>
      <c r="N10" s="353">
        <v>0</v>
      </c>
      <c r="O10" s="354">
        <f aca="true" t="shared" si="0" ref="O10:O17">SUM(C10:N10)</f>
        <v>0</v>
      </c>
      <c r="P10" s="128">
        <f>+D39/100</f>
        <v>0.0268</v>
      </c>
      <c r="Q10" s="620">
        <f aca="true" t="shared" si="1" ref="Q10:Q17">ROUND(+P10/12,8)</f>
        <v>0.00223333</v>
      </c>
      <c r="R10" s="121">
        <f aca="true" t="shared" si="2" ref="R10:R17">+O10*Q10</f>
        <v>0</v>
      </c>
    </row>
    <row r="11" spans="2:18" ht="15.75">
      <c r="B11" s="141">
        <v>353</v>
      </c>
      <c r="C11" s="355">
        <v>0</v>
      </c>
      <c r="D11" s="355">
        <v>0</v>
      </c>
      <c r="E11" s="355">
        <v>0</v>
      </c>
      <c r="F11" s="355">
        <v>0</v>
      </c>
      <c r="G11" s="355">
        <v>0</v>
      </c>
      <c r="H11" s="355">
        <v>0</v>
      </c>
      <c r="I11" s="355">
        <v>0</v>
      </c>
      <c r="J11" s="355">
        <v>0</v>
      </c>
      <c r="K11" s="355">
        <v>0</v>
      </c>
      <c r="L11" s="355">
        <v>0</v>
      </c>
      <c r="M11" s="355">
        <v>0</v>
      </c>
      <c r="N11" s="355">
        <v>0</v>
      </c>
      <c r="O11" s="356">
        <f t="shared" si="0"/>
        <v>0</v>
      </c>
      <c r="P11" s="128">
        <f aca="true" t="shared" si="3" ref="P11:P17">+D40/100</f>
        <v>0.0154</v>
      </c>
      <c r="Q11" s="620">
        <f t="shared" si="1"/>
        <v>0.00128333</v>
      </c>
      <c r="R11" s="121">
        <f t="shared" si="2"/>
        <v>0</v>
      </c>
    </row>
    <row r="12" spans="2:18" ht="15.75">
      <c r="B12" s="141">
        <v>354</v>
      </c>
      <c r="C12" s="355">
        <v>0</v>
      </c>
      <c r="D12" s="355">
        <v>0</v>
      </c>
      <c r="E12" s="355">
        <v>0</v>
      </c>
      <c r="F12" s="355">
        <v>0</v>
      </c>
      <c r="G12" s="355">
        <v>0</v>
      </c>
      <c r="H12" s="355">
        <v>0</v>
      </c>
      <c r="I12" s="355">
        <v>0</v>
      </c>
      <c r="J12" s="355">
        <v>0</v>
      </c>
      <c r="K12" s="355">
        <v>0</v>
      </c>
      <c r="L12" s="355">
        <v>0</v>
      </c>
      <c r="M12" s="355">
        <v>0</v>
      </c>
      <c r="N12" s="355">
        <v>0</v>
      </c>
      <c r="O12" s="356">
        <f t="shared" si="0"/>
        <v>0</v>
      </c>
      <c r="P12" s="128">
        <f t="shared" si="3"/>
        <v>0.0351</v>
      </c>
      <c r="Q12" s="620">
        <f t="shared" si="1"/>
        <v>0.002925</v>
      </c>
      <c r="R12" s="121">
        <f t="shared" si="2"/>
        <v>0</v>
      </c>
    </row>
    <row r="13" spans="2:18" ht="15.75">
      <c r="B13" s="141">
        <v>355</v>
      </c>
      <c r="C13" s="355">
        <v>0</v>
      </c>
      <c r="D13" s="355">
        <v>0</v>
      </c>
      <c r="E13" s="355">
        <v>0</v>
      </c>
      <c r="F13" s="355">
        <v>0</v>
      </c>
      <c r="G13" s="355">
        <v>0</v>
      </c>
      <c r="H13" s="355">
        <v>0</v>
      </c>
      <c r="I13" s="355">
        <v>0</v>
      </c>
      <c r="J13" s="355">
        <v>0</v>
      </c>
      <c r="K13" s="355">
        <v>0</v>
      </c>
      <c r="L13" s="355">
        <v>0</v>
      </c>
      <c r="M13" s="355">
        <v>0</v>
      </c>
      <c r="N13" s="355">
        <v>0</v>
      </c>
      <c r="O13" s="356">
        <f t="shared" si="0"/>
        <v>0</v>
      </c>
      <c r="P13" s="128">
        <f t="shared" si="3"/>
        <v>0.0319</v>
      </c>
      <c r="Q13" s="620">
        <f t="shared" si="1"/>
        <v>0.00265833</v>
      </c>
      <c r="R13" s="121">
        <f t="shared" si="2"/>
        <v>0</v>
      </c>
    </row>
    <row r="14" spans="2:18" ht="15.75">
      <c r="B14" s="141">
        <v>356</v>
      </c>
      <c r="C14" s="355">
        <v>0</v>
      </c>
      <c r="D14" s="355">
        <v>0</v>
      </c>
      <c r="E14" s="355">
        <v>0</v>
      </c>
      <c r="F14" s="355">
        <v>0</v>
      </c>
      <c r="G14" s="355">
        <v>0</v>
      </c>
      <c r="H14" s="355">
        <v>0</v>
      </c>
      <c r="I14" s="355">
        <v>0</v>
      </c>
      <c r="J14" s="355">
        <v>0</v>
      </c>
      <c r="K14" s="355">
        <v>0</v>
      </c>
      <c r="L14" s="355">
        <v>0</v>
      </c>
      <c r="M14" s="355">
        <v>0</v>
      </c>
      <c r="N14" s="355">
        <v>0</v>
      </c>
      <c r="O14" s="356">
        <f t="shared" si="0"/>
        <v>0</v>
      </c>
      <c r="P14" s="128">
        <f t="shared" si="3"/>
        <v>0.020499999999999997</v>
      </c>
      <c r="Q14" s="620">
        <f t="shared" si="1"/>
        <v>0.00170833</v>
      </c>
      <c r="R14" s="121">
        <f t="shared" si="2"/>
        <v>0</v>
      </c>
    </row>
    <row r="15" spans="2:18" ht="15.75">
      <c r="B15" s="141">
        <v>357</v>
      </c>
      <c r="C15" s="355">
        <v>0</v>
      </c>
      <c r="D15" s="355">
        <v>0</v>
      </c>
      <c r="E15" s="355">
        <v>0</v>
      </c>
      <c r="F15" s="355">
        <v>0</v>
      </c>
      <c r="G15" s="355">
        <v>0</v>
      </c>
      <c r="H15" s="355">
        <v>0</v>
      </c>
      <c r="I15" s="355">
        <v>0</v>
      </c>
      <c r="J15" s="355">
        <v>0</v>
      </c>
      <c r="K15" s="355">
        <v>0</v>
      </c>
      <c r="L15" s="355">
        <v>0</v>
      </c>
      <c r="M15" s="355">
        <v>0</v>
      </c>
      <c r="N15" s="355">
        <v>0</v>
      </c>
      <c r="O15" s="356">
        <f t="shared" si="0"/>
        <v>0</v>
      </c>
      <c r="P15" s="128">
        <f t="shared" si="3"/>
        <v>0.015</v>
      </c>
      <c r="Q15" s="620">
        <f t="shared" si="1"/>
        <v>0.00125</v>
      </c>
      <c r="R15" s="121">
        <f t="shared" si="2"/>
        <v>0</v>
      </c>
    </row>
    <row r="16" spans="2:18" ht="15.75">
      <c r="B16" s="141">
        <v>358</v>
      </c>
      <c r="C16" s="355">
        <v>0</v>
      </c>
      <c r="D16" s="355">
        <v>0</v>
      </c>
      <c r="E16" s="355">
        <v>0</v>
      </c>
      <c r="F16" s="355">
        <v>0</v>
      </c>
      <c r="G16" s="355">
        <v>0</v>
      </c>
      <c r="H16" s="355">
        <v>0</v>
      </c>
      <c r="I16" s="355">
        <v>0</v>
      </c>
      <c r="J16" s="355">
        <v>0</v>
      </c>
      <c r="K16" s="355">
        <v>0</v>
      </c>
      <c r="L16" s="355">
        <v>0</v>
      </c>
      <c r="M16" s="355">
        <v>0</v>
      </c>
      <c r="N16" s="355">
        <v>0</v>
      </c>
      <c r="O16" s="356">
        <f t="shared" si="0"/>
        <v>0</v>
      </c>
      <c r="P16" s="128">
        <f t="shared" si="3"/>
        <v>0.021</v>
      </c>
      <c r="Q16" s="620">
        <f t="shared" si="1"/>
        <v>0.00175</v>
      </c>
      <c r="R16" s="121">
        <f t="shared" si="2"/>
        <v>0</v>
      </c>
    </row>
    <row r="17" spans="2:18" ht="15.75">
      <c r="B17" s="141">
        <v>359</v>
      </c>
      <c r="C17" s="355">
        <v>0</v>
      </c>
      <c r="D17" s="355">
        <v>0</v>
      </c>
      <c r="E17" s="355">
        <v>0</v>
      </c>
      <c r="F17" s="355">
        <v>0</v>
      </c>
      <c r="G17" s="355">
        <v>0</v>
      </c>
      <c r="H17" s="355">
        <v>0</v>
      </c>
      <c r="I17" s="355">
        <v>0</v>
      </c>
      <c r="J17" s="355">
        <v>0</v>
      </c>
      <c r="K17" s="355">
        <v>0</v>
      </c>
      <c r="L17" s="355">
        <v>0</v>
      </c>
      <c r="M17" s="355">
        <v>0</v>
      </c>
      <c r="N17" s="355">
        <v>0</v>
      </c>
      <c r="O17" s="356">
        <f t="shared" si="0"/>
        <v>0</v>
      </c>
      <c r="P17" s="128">
        <f t="shared" si="3"/>
        <v>0.015600000000000001</v>
      </c>
      <c r="Q17" s="620">
        <f t="shared" si="1"/>
        <v>0.0013</v>
      </c>
      <c r="R17" s="121">
        <f t="shared" si="2"/>
        <v>0</v>
      </c>
    </row>
    <row r="18" spans="2:18" ht="18">
      <c r="B18" s="141" t="s">
        <v>1106</v>
      </c>
      <c r="C18" s="354">
        <f aca="true" t="shared" si="4" ref="C18:O18">SUM(C10:C17)</f>
        <v>0</v>
      </c>
      <c r="D18" s="354">
        <f t="shared" si="4"/>
        <v>0</v>
      </c>
      <c r="E18" s="354">
        <f t="shared" si="4"/>
        <v>0</v>
      </c>
      <c r="F18" s="354">
        <f t="shared" si="4"/>
        <v>0</v>
      </c>
      <c r="G18" s="354">
        <f t="shared" si="4"/>
        <v>0</v>
      </c>
      <c r="H18" s="354">
        <f t="shared" si="4"/>
        <v>0</v>
      </c>
      <c r="I18" s="354">
        <f t="shared" si="4"/>
        <v>0</v>
      </c>
      <c r="J18" s="354">
        <f t="shared" si="4"/>
        <v>0</v>
      </c>
      <c r="K18" s="354">
        <f t="shared" si="4"/>
        <v>0</v>
      </c>
      <c r="L18" s="354">
        <f t="shared" si="4"/>
        <v>0</v>
      </c>
      <c r="M18" s="354">
        <f t="shared" si="4"/>
        <v>0</v>
      </c>
      <c r="N18" s="354">
        <f t="shared" si="4"/>
        <v>0</v>
      </c>
      <c r="O18" s="354">
        <f t="shared" si="4"/>
        <v>0</v>
      </c>
      <c r="P18" s="128"/>
      <c r="Q18" s="620"/>
      <c r="R18" s="621">
        <f>SUM(R10:R17)</f>
        <v>0</v>
      </c>
    </row>
    <row r="19" spans="2:18" ht="15.75">
      <c r="B19" s="134"/>
      <c r="C19" s="116"/>
      <c r="D19" s="116"/>
      <c r="E19" s="116"/>
      <c r="F19" s="116"/>
      <c r="G19" s="116"/>
      <c r="H19" s="116"/>
      <c r="I19" s="116"/>
      <c r="J19" s="116"/>
      <c r="K19" s="116"/>
      <c r="L19" s="116"/>
      <c r="M19" s="116"/>
      <c r="N19" s="116"/>
      <c r="O19" s="116"/>
      <c r="P19" s="129"/>
      <c r="Q19" s="358"/>
      <c r="R19" s="132" t="s">
        <v>1713</v>
      </c>
    </row>
    <row r="20" spans="2:18" ht="15">
      <c r="B20" s="135"/>
      <c r="C20" s="118"/>
      <c r="D20" s="118"/>
      <c r="E20" s="118"/>
      <c r="F20" s="118"/>
      <c r="G20" s="118"/>
      <c r="H20" s="118"/>
      <c r="I20" s="118"/>
      <c r="J20" s="118"/>
      <c r="K20" s="118"/>
      <c r="L20" s="118"/>
      <c r="M20" s="118"/>
      <c r="N20" s="118"/>
      <c r="O20" s="118"/>
      <c r="P20" s="130"/>
      <c r="Q20" s="359"/>
      <c r="R20" s="118"/>
    </row>
    <row r="21" spans="2:18" ht="18">
      <c r="B21" s="136" t="s">
        <v>1714</v>
      </c>
      <c r="C21" s="119"/>
      <c r="D21" s="119"/>
      <c r="E21" s="119"/>
      <c r="F21" s="119"/>
      <c r="G21" s="119"/>
      <c r="H21" s="119"/>
      <c r="I21" s="119"/>
      <c r="J21" s="119"/>
      <c r="K21" s="119"/>
      <c r="L21" s="119"/>
      <c r="M21" s="119"/>
      <c r="N21" s="119"/>
      <c r="O21" s="119"/>
      <c r="P21" s="131"/>
      <c r="Q21" s="360"/>
      <c r="R21" s="120"/>
    </row>
    <row r="22" spans="2:18" ht="15">
      <c r="B22" s="137"/>
      <c r="C22" s="114"/>
      <c r="D22" s="114"/>
      <c r="E22" s="114"/>
      <c r="F22" s="114"/>
      <c r="G22" s="114"/>
      <c r="H22" s="114"/>
      <c r="I22" s="114"/>
      <c r="J22" s="114"/>
      <c r="K22" s="114"/>
      <c r="L22" s="114"/>
      <c r="M22" s="114"/>
      <c r="N22" s="114"/>
      <c r="O22" s="114"/>
      <c r="P22" s="128"/>
      <c r="Q22" s="361"/>
      <c r="R22" s="121"/>
    </row>
    <row r="23" spans="2:18" ht="47.25">
      <c r="B23" s="142" t="str">
        <f aca="true" t="shared" si="5" ref="B23:R23">+B9</f>
        <v>Plant In Service Account #</v>
      </c>
      <c r="C23" s="139" t="str">
        <f t="shared" si="5"/>
        <v>Jan</v>
      </c>
      <c r="D23" s="139" t="str">
        <f t="shared" si="5"/>
        <v>Feb</v>
      </c>
      <c r="E23" s="139" t="str">
        <f t="shared" si="5"/>
        <v>Mar</v>
      </c>
      <c r="F23" s="139" t="str">
        <f t="shared" si="5"/>
        <v>May</v>
      </c>
      <c r="G23" s="139" t="str">
        <f t="shared" si="5"/>
        <v>Jun</v>
      </c>
      <c r="H23" s="139" t="str">
        <f t="shared" si="5"/>
        <v>Jul</v>
      </c>
      <c r="I23" s="139" t="str">
        <f t="shared" si="5"/>
        <v>Aug</v>
      </c>
      <c r="J23" s="139" t="str">
        <f t="shared" si="5"/>
        <v>Sep</v>
      </c>
      <c r="K23" s="139" t="str">
        <f t="shared" si="5"/>
        <v>Oct</v>
      </c>
      <c r="L23" s="139" t="str">
        <f t="shared" si="5"/>
        <v>Nov</v>
      </c>
      <c r="M23" s="139" t="str">
        <f t="shared" si="5"/>
        <v>Dec</v>
      </c>
      <c r="N23" s="139" t="str">
        <f t="shared" si="5"/>
        <v>Total</v>
      </c>
      <c r="O23" s="140" t="str">
        <f t="shared" si="5"/>
        <v>Total Plant In Service           (Total PIS)</v>
      </c>
      <c r="P23" s="140" t="str">
        <f t="shared" si="5"/>
        <v>Annualized Depr Rates</v>
      </c>
      <c r="Q23" s="140" t="str">
        <f t="shared" si="5"/>
        <v>Monthly Depr Rate</v>
      </c>
      <c r="R23" s="151" t="str">
        <f t="shared" si="5"/>
        <v>Transmission Depreciation Expense</v>
      </c>
    </row>
    <row r="24" spans="2:18" ht="15.75">
      <c r="B24" s="141">
        <f aca="true" t="shared" si="6" ref="B24:B31">+B10</f>
        <v>352</v>
      </c>
      <c r="C24" s="353">
        <v>0</v>
      </c>
      <c r="D24" s="353">
        <v>0</v>
      </c>
      <c r="E24" s="353">
        <v>0</v>
      </c>
      <c r="F24" s="353">
        <v>0</v>
      </c>
      <c r="G24" s="353">
        <v>0</v>
      </c>
      <c r="H24" s="353">
        <v>0</v>
      </c>
      <c r="I24" s="353">
        <v>0</v>
      </c>
      <c r="J24" s="353">
        <v>0</v>
      </c>
      <c r="K24" s="353">
        <v>0</v>
      </c>
      <c r="L24" s="353">
        <v>0</v>
      </c>
      <c r="M24" s="353">
        <v>0</v>
      </c>
      <c r="N24" s="353">
        <v>0</v>
      </c>
      <c r="O24" s="354">
        <f aca="true" t="shared" si="7" ref="O24:O31">SUM(C24:N24)</f>
        <v>0</v>
      </c>
      <c r="P24" s="128">
        <f>+G39/100</f>
        <v>0.0268</v>
      </c>
      <c r="Q24" s="620">
        <f aca="true" t="shared" si="8" ref="Q24:Q31">ROUND(+P24/12,8)</f>
        <v>0.00223333</v>
      </c>
      <c r="R24" s="121">
        <f aca="true" t="shared" si="9" ref="R24:R31">+O24*Q24</f>
        <v>0</v>
      </c>
    </row>
    <row r="25" spans="2:18" ht="15.75">
      <c r="B25" s="141">
        <f t="shared" si="6"/>
        <v>353</v>
      </c>
      <c r="C25" s="355">
        <v>0</v>
      </c>
      <c r="D25" s="355">
        <v>0</v>
      </c>
      <c r="E25" s="355">
        <v>0</v>
      </c>
      <c r="F25" s="355">
        <v>0</v>
      </c>
      <c r="G25" s="355">
        <v>0</v>
      </c>
      <c r="H25" s="355">
        <v>0</v>
      </c>
      <c r="I25" s="355">
        <v>0</v>
      </c>
      <c r="J25" s="355">
        <v>0</v>
      </c>
      <c r="K25" s="355">
        <v>0</v>
      </c>
      <c r="L25" s="355">
        <v>0</v>
      </c>
      <c r="M25" s="355">
        <v>0</v>
      </c>
      <c r="N25" s="355">
        <v>0</v>
      </c>
      <c r="O25" s="356">
        <f t="shared" si="7"/>
        <v>0</v>
      </c>
      <c r="P25" s="128">
        <f aca="true" t="shared" si="10" ref="P25:P31">+G40/100</f>
        <v>0.0154</v>
      </c>
      <c r="Q25" s="620">
        <f t="shared" si="8"/>
        <v>0.00128333</v>
      </c>
      <c r="R25" s="121">
        <f t="shared" si="9"/>
        <v>0</v>
      </c>
    </row>
    <row r="26" spans="2:18" ht="15.75">
      <c r="B26" s="141">
        <f t="shared" si="6"/>
        <v>354</v>
      </c>
      <c r="C26" s="355">
        <v>0</v>
      </c>
      <c r="D26" s="355">
        <v>0</v>
      </c>
      <c r="E26" s="355">
        <v>0</v>
      </c>
      <c r="F26" s="355">
        <v>0</v>
      </c>
      <c r="G26" s="355">
        <v>0</v>
      </c>
      <c r="H26" s="355">
        <v>0</v>
      </c>
      <c r="I26" s="355">
        <v>0</v>
      </c>
      <c r="J26" s="355">
        <v>0</v>
      </c>
      <c r="K26" s="355">
        <v>0</v>
      </c>
      <c r="L26" s="355">
        <v>0</v>
      </c>
      <c r="M26" s="355">
        <v>0</v>
      </c>
      <c r="N26" s="355">
        <v>0</v>
      </c>
      <c r="O26" s="356">
        <f t="shared" si="7"/>
        <v>0</v>
      </c>
      <c r="P26" s="128">
        <f t="shared" si="10"/>
        <v>0.0351</v>
      </c>
      <c r="Q26" s="620">
        <f t="shared" si="8"/>
        <v>0.002925</v>
      </c>
      <c r="R26" s="121">
        <f t="shared" si="9"/>
        <v>0</v>
      </c>
    </row>
    <row r="27" spans="2:18" ht="15.75">
      <c r="B27" s="141">
        <f t="shared" si="6"/>
        <v>355</v>
      </c>
      <c r="C27" s="355">
        <v>0</v>
      </c>
      <c r="D27" s="355">
        <v>0</v>
      </c>
      <c r="E27" s="355">
        <v>0</v>
      </c>
      <c r="F27" s="355">
        <v>0</v>
      </c>
      <c r="G27" s="355">
        <v>0</v>
      </c>
      <c r="H27" s="355">
        <v>0</v>
      </c>
      <c r="I27" s="355">
        <v>0</v>
      </c>
      <c r="J27" s="355">
        <v>0</v>
      </c>
      <c r="K27" s="355">
        <v>0</v>
      </c>
      <c r="L27" s="355">
        <v>0</v>
      </c>
      <c r="M27" s="355">
        <v>0</v>
      </c>
      <c r="N27" s="355">
        <v>0</v>
      </c>
      <c r="O27" s="356">
        <f t="shared" si="7"/>
        <v>0</v>
      </c>
      <c r="P27" s="128">
        <f t="shared" si="10"/>
        <v>0.0319</v>
      </c>
      <c r="Q27" s="620">
        <f t="shared" si="8"/>
        <v>0.00265833</v>
      </c>
      <c r="R27" s="121">
        <f t="shared" si="9"/>
        <v>0</v>
      </c>
    </row>
    <row r="28" spans="2:18" ht="15.75">
      <c r="B28" s="141">
        <f t="shared" si="6"/>
        <v>356</v>
      </c>
      <c r="C28" s="355">
        <v>0</v>
      </c>
      <c r="D28" s="355">
        <v>0</v>
      </c>
      <c r="E28" s="355">
        <v>0</v>
      </c>
      <c r="F28" s="355">
        <v>0</v>
      </c>
      <c r="G28" s="355">
        <v>0</v>
      </c>
      <c r="H28" s="355">
        <v>0</v>
      </c>
      <c r="I28" s="355">
        <v>0</v>
      </c>
      <c r="J28" s="355">
        <v>0</v>
      </c>
      <c r="K28" s="355">
        <v>0</v>
      </c>
      <c r="L28" s="355">
        <v>0</v>
      </c>
      <c r="M28" s="355">
        <v>0</v>
      </c>
      <c r="N28" s="355">
        <v>0</v>
      </c>
      <c r="O28" s="356">
        <f t="shared" si="7"/>
        <v>0</v>
      </c>
      <c r="P28" s="128">
        <f t="shared" si="10"/>
        <v>0.020499999999999997</v>
      </c>
      <c r="Q28" s="620">
        <f t="shared" si="8"/>
        <v>0.00170833</v>
      </c>
      <c r="R28" s="121">
        <f t="shared" si="9"/>
        <v>0</v>
      </c>
    </row>
    <row r="29" spans="2:18" ht="15.75">
      <c r="B29" s="141">
        <f t="shared" si="6"/>
        <v>357</v>
      </c>
      <c r="C29" s="355">
        <v>0</v>
      </c>
      <c r="D29" s="355">
        <v>0</v>
      </c>
      <c r="E29" s="355">
        <v>0</v>
      </c>
      <c r="F29" s="355">
        <v>0</v>
      </c>
      <c r="G29" s="355">
        <v>0</v>
      </c>
      <c r="H29" s="355">
        <v>0</v>
      </c>
      <c r="I29" s="355">
        <v>0</v>
      </c>
      <c r="J29" s="355">
        <v>0</v>
      </c>
      <c r="K29" s="355">
        <v>0</v>
      </c>
      <c r="L29" s="355">
        <v>0</v>
      </c>
      <c r="M29" s="355">
        <v>0</v>
      </c>
      <c r="N29" s="355">
        <v>0</v>
      </c>
      <c r="O29" s="356">
        <f t="shared" si="7"/>
        <v>0</v>
      </c>
      <c r="P29" s="128">
        <f t="shared" si="10"/>
        <v>0.015</v>
      </c>
      <c r="Q29" s="620">
        <f t="shared" si="8"/>
        <v>0.00125</v>
      </c>
      <c r="R29" s="121">
        <f t="shared" si="9"/>
        <v>0</v>
      </c>
    </row>
    <row r="30" spans="2:18" ht="15.75">
      <c r="B30" s="141">
        <f t="shared" si="6"/>
        <v>358</v>
      </c>
      <c r="C30" s="355">
        <v>0</v>
      </c>
      <c r="D30" s="355">
        <v>0</v>
      </c>
      <c r="E30" s="355">
        <v>0</v>
      </c>
      <c r="F30" s="355">
        <v>0</v>
      </c>
      <c r="G30" s="355">
        <v>0</v>
      </c>
      <c r="H30" s="355">
        <v>0</v>
      </c>
      <c r="I30" s="355">
        <v>0</v>
      </c>
      <c r="J30" s="355">
        <v>0</v>
      </c>
      <c r="K30" s="355">
        <v>0</v>
      </c>
      <c r="L30" s="355">
        <v>0</v>
      </c>
      <c r="M30" s="355">
        <v>0</v>
      </c>
      <c r="N30" s="355">
        <v>0</v>
      </c>
      <c r="O30" s="356">
        <f t="shared" si="7"/>
        <v>0</v>
      </c>
      <c r="P30" s="128">
        <f t="shared" si="10"/>
        <v>0.021</v>
      </c>
      <c r="Q30" s="620">
        <f t="shared" si="8"/>
        <v>0.00175</v>
      </c>
      <c r="R30" s="121">
        <f t="shared" si="9"/>
        <v>0</v>
      </c>
    </row>
    <row r="31" spans="2:18" ht="15.75">
      <c r="B31" s="141">
        <f t="shared" si="6"/>
        <v>359</v>
      </c>
      <c r="C31" s="355">
        <v>0</v>
      </c>
      <c r="D31" s="355">
        <v>0</v>
      </c>
      <c r="E31" s="355">
        <v>0</v>
      </c>
      <c r="F31" s="355">
        <v>0</v>
      </c>
      <c r="G31" s="355">
        <v>0</v>
      </c>
      <c r="H31" s="355">
        <v>0</v>
      </c>
      <c r="I31" s="355">
        <v>0</v>
      </c>
      <c r="J31" s="355">
        <v>0</v>
      </c>
      <c r="K31" s="355">
        <v>0</v>
      </c>
      <c r="L31" s="355">
        <v>0</v>
      </c>
      <c r="M31" s="355">
        <v>0</v>
      </c>
      <c r="N31" s="355">
        <v>0</v>
      </c>
      <c r="O31" s="356">
        <f t="shared" si="7"/>
        <v>0</v>
      </c>
      <c r="P31" s="128">
        <f t="shared" si="10"/>
        <v>0.015600000000000001</v>
      </c>
      <c r="Q31" s="620">
        <f t="shared" si="8"/>
        <v>0.0013</v>
      </c>
      <c r="R31" s="121">
        <f t="shared" si="9"/>
        <v>0</v>
      </c>
    </row>
    <row r="32" spans="2:18" ht="18">
      <c r="B32" s="143" t="s">
        <v>1106</v>
      </c>
      <c r="C32" s="354">
        <f aca="true" t="shared" si="11" ref="C32:O32">SUM(C24:C31)</f>
        <v>0</v>
      </c>
      <c r="D32" s="354">
        <f t="shared" si="11"/>
        <v>0</v>
      </c>
      <c r="E32" s="354">
        <f t="shared" si="11"/>
        <v>0</v>
      </c>
      <c r="F32" s="354">
        <f t="shared" si="11"/>
        <v>0</v>
      </c>
      <c r="G32" s="354">
        <f t="shared" si="11"/>
        <v>0</v>
      </c>
      <c r="H32" s="354">
        <f t="shared" si="11"/>
        <v>0</v>
      </c>
      <c r="I32" s="354">
        <f t="shared" si="11"/>
        <v>0</v>
      </c>
      <c r="J32" s="354">
        <f t="shared" si="11"/>
        <v>0</v>
      </c>
      <c r="K32" s="354">
        <f t="shared" si="11"/>
        <v>0</v>
      </c>
      <c r="L32" s="354">
        <f t="shared" si="11"/>
        <v>0</v>
      </c>
      <c r="M32" s="354">
        <f t="shared" si="11"/>
        <v>0</v>
      </c>
      <c r="N32" s="354">
        <f t="shared" si="11"/>
        <v>0</v>
      </c>
      <c r="O32" s="354">
        <f t="shared" si="11"/>
        <v>0</v>
      </c>
      <c r="P32" s="114"/>
      <c r="Q32" s="114"/>
      <c r="R32" s="621">
        <f>SUM(R24:R31)</f>
        <v>0</v>
      </c>
    </row>
    <row r="33" spans="2:18" ht="15.75">
      <c r="B33" s="115"/>
      <c r="C33" s="122"/>
      <c r="D33" s="122"/>
      <c r="E33" s="122"/>
      <c r="F33" s="122"/>
      <c r="G33" s="122"/>
      <c r="H33" s="122"/>
      <c r="I33" s="122"/>
      <c r="J33" s="122"/>
      <c r="K33" s="122"/>
      <c r="L33" s="122"/>
      <c r="M33" s="122"/>
      <c r="N33" s="122"/>
      <c r="O33" s="122"/>
      <c r="P33" s="122"/>
      <c r="Q33" s="122"/>
      <c r="R33" s="133" t="s">
        <v>1715</v>
      </c>
    </row>
    <row r="34" spans="2:18" ht="15.75">
      <c r="B34" s="362"/>
      <c r="C34" s="112"/>
      <c r="D34" s="112"/>
      <c r="E34" s="112"/>
      <c r="F34" s="112"/>
      <c r="G34" s="112"/>
      <c r="H34" s="112"/>
      <c r="I34" s="112"/>
      <c r="J34" s="112"/>
      <c r="K34" s="112"/>
      <c r="L34" s="112"/>
      <c r="M34" s="112"/>
      <c r="N34" s="112"/>
      <c r="O34" s="112"/>
      <c r="P34" s="112"/>
      <c r="Q34" s="112"/>
      <c r="R34" s="363"/>
    </row>
    <row r="35" spans="2:18" ht="15.75">
      <c r="B35" s="362"/>
      <c r="C35" s="112"/>
      <c r="D35" s="112"/>
      <c r="E35" s="112"/>
      <c r="F35" s="112"/>
      <c r="G35" s="112"/>
      <c r="H35" s="112"/>
      <c r="I35" s="112"/>
      <c r="J35" s="112"/>
      <c r="K35" s="112"/>
      <c r="L35" s="112"/>
      <c r="M35" s="112"/>
      <c r="N35" s="112"/>
      <c r="O35" s="112"/>
      <c r="P35" s="112"/>
      <c r="Q35" s="112"/>
      <c r="R35" s="363"/>
    </row>
    <row r="36" spans="2:18" ht="18">
      <c r="B36" s="105" t="s">
        <v>843</v>
      </c>
      <c r="C36" s="109"/>
      <c r="D36" s="109"/>
      <c r="E36" s="208"/>
      <c r="F36" s="109"/>
      <c r="G36" s="364" t="s">
        <v>1716</v>
      </c>
      <c r="H36" s="112"/>
      <c r="I36" s="112"/>
      <c r="J36" s="112"/>
      <c r="K36" s="112"/>
      <c r="L36" s="112"/>
      <c r="M36" s="112"/>
      <c r="N36" s="112"/>
      <c r="O36" s="112"/>
      <c r="P36" s="112"/>
      <c r="Q36" s="112"/>
      <c r="R36" s="363"/>
    </row>
    <row r="37" spans="2:18" ht="15.75">
      <c r="B37" s="123"/>
      <c r="C37" s="146" t="s">
        <v>28</v>
      </c>
      <c r="D37" s="124"/>
      <c r="E37" s="208"/>
      <c r="F37" s="146" t="s">
        <v>29</v>
      </c>
      <c r="G37" s="125"/>
      <c r="H37" s="112"/>
      <c r="I37" s="112"/>
      <c r="J37" s="112"/>
      <c r="K37" s="112"/>
      <c r="L37" s="112"/>
      <c r="M37" s="112"/>
      <c r="N37" s="112"/>
      <c r="O37" s="112"/>
      <c r="P37" s="112"/>
      <c r="Q37" s="112"/>
      <c r="R37" s="363"/>
    </row>
    <row r="38" spans="2:18" ht="47.25">
      <c r="B38" s="142" t="str">
        <f>+B23</f>
        <v>Plant In Service Account #</v>
      </c>
      <c r="C38" s="148" t="s">
        <v>1571</v>
      </c>
      <c r="D38" s="148" t="s">
        <v>405</v>
      </c>
      <c r="E38" s="208"/>
      <c r="F38" s="148" t="str">
        <f>+C38</f>
        <v>Form 1 Rates</v>
      </c>
      <c r="G38" s="149" t="str">
        <f>+D38</f>
        <v>Depr Rate used in Formula </v>
      </c>
      <c r="H38" s="112"/>
      <c r="I38" s="112"/>
      <c r="J38" s="112"/>
      <c r="K38" s="112"/>
      <c r="L38" s="112"/>
      <c r="M38" s="112"/>
      <c r="N38" s="112"/>
      <c r="O38" s="112"/>
      <c r="P38" s="112"/>
      <c r="Q38" s="112"/>
      <c r="R38" s="363"/>
    </row>
    <row r="39" spans="2:18" ht="15.75">
      <c r="B39" s="150">
        <f aca="true" t="shared" si="12" ref="B39:B46">+B10</f>
        <v>352</v>
      </c>
      <c r="C39" s="365">
        <v>0</v>
      </c>
      <c r="D39" s="607">
        <v>2.68</v>
      </c>
      <c r="E39" s="208"/>
      <c r="F39" s="365">
        <v>0</v>
      </c>
      <c r="G39" s="622">
        <v>2.68</v>
      </c>
      <c r="H39" s="112"/>
      <c r="I39" s="112"/>
      <c r="J39" s="112"/>
      <c r="K39" s="112"/>
      <c r="L39" s="112"/>
      <c r="M39" s="112"/>
      <c r="N39" s="112"/>
      <c r="O39" s="112"/>
      <c r="P39" s="112"/>
      <c r="Q39" s="112"/>
      <c r="R39" s="363"/>
    </row>
    <row r="40" spans="2:18" ht="15.75">
      <c r="B40" s="150">
        <f t="shared" si="12"/>
        <v>353</v>
      </c>
      <c r="C40" s="365">
        <v>0</v>
      </c>
      <c r="D40" s="607">
        <v>1.54</v>
      </c>
      <c r="E40" s="208"/>
      <c r="F40" s="365">
        <v>0</v>
      </c>
      <c r="G40" s="622">
        <v>1.54</v>
      </c>
      <c r="H40" s="112"/>
      <c r="I40" s="112"/>
      <c r="J40" s="112"/>
      <c r="K40" s="112"/>
      <c r="L40" s="112"/>
      <c r="M40" s="112"/>
      <c r="N40" s="112"/>
      <c r="O40" s="112"/>
      <c r="P40" s="112"/>
      <c r="Q40" s="112"/>
      <c r="R40" s="363"/>
    </row>
    <row r="41" spans="2:18" ht="15.75">
      <c r="B41" s="150">
        <f t="shared" si="12"/>
        <v>354</v>
      </c>
      <c r="C41" s="365">
        <v>0</v>
      </c>
      <c r="D41" s="607">
        <v>3.51</v>
      </c>
      <c r="E41" s="208"/>
      <c r="F41" s="365">
        <v>0</v>
      </c>
      <c r="G41" s="622">
        <v>3.51</v>
      </c>
      <c r="H41" s="112"/>
      <c r="I41" s="112"/>
      <c r="J41" s="112"/>
      <c r="K41" s="112"/>
      <c r="L41" s="112"/>
      <c r="M41" s="112"/>
      <c r="N41" s="112"/>
      <c r="O41" s="112"/>
      <c r="P41" s="112"/>
      <c r="Q41" s="112"/>
      <c r="R41" s="363"/>
    </row>
    <row r="42" spans="2:18" ht="15.75">
      <c r="B42" s="150">
        <f t="shared" si="12"/>
        <v>355</v>
      </c>
      <c r="C42" s="365">
        <v>0</v>
      </c>
      <c r="D42" s="607">
        <v>3.19</v>
      </c>
      <c r="E42" s="208"/>
      <c r="F42" s="365">
        <v>0</v>
      </c>
      <c r="G42" s="622">
        <v>3.19</v>
      </c>
      <c r="H42" s="112"/>
      <c r="I42" s="112"/>
      <c r="J42" s="112"/>
      <c r="K42" s="112"/>
      <c r="L42" s="112"/>
      <c r="M42" s="112"/>
      <c r="N42" s="112"/>
      <c r="O42" s="112"/>
      <c r="P42" s="112"/>
      <c r="Q42" s="112"/>
      <c r="R42" s="363"/>
    </row>
    <row r="43" spans="2:18" ht="15.75">
      <c r="B43" s="150">
        <f t="shared" si="12"/>
        <v>356</v>
      </c>
      <c r="C43" s="365">
        <v>0</v>
      </c>
      <c r="D43" s="607">
        <v>2.05</v>
      </c>
      <c r="E43" s="208"/>
      <c r="F43" s="365">
        <v>0</v>
      </c>
      <c r="G43" s="622">
        <v>2.05</v>
      </c>
      <c r="H43" s="112"/>
      <c r="I43" s="112"/>
      <c r="J43" s="112"/>
      <c r="K43" s="112"/>
      <c r="L43" s="112"/>
      <c r="M43" s="112"/>
      <c r="N43" s="112"/>
      <c r="O43" s="112"/>
      <c r="P43" s="112"/>
      <c r="Q43" s="112"/>
      <c r="R43" s="363"/>
    </row>
    <row r="44" spans="2:18" ht="15.75">
      <c r="B44" s="150">
        <f t="shared" si="12"/>
        <v>357</v>
      </c>
      <c r="C44" s="365">
        <v>0</v>
      </c>
      <c r="D44" s="607">
        <v>1.5</v>
      </c>
      <c r="E44" s="208"/>
      <c r="F44" s="365">
        <v>0</v>
      </c>
      <c r="G44" s="622">
        <v>1.5</v>
      </c>
      <c r="H44" s="112"/>
      <c r="I44" s="112"/>
      <c r="J44" s="112"/>
      <c r="K44" s="112"/>
      <c r="L44" s="112"/>
      <c r="M44" s="112"/>
      <c r="N44" s="112"/>
      <c r="O44" s="112"/>
      <c r="P44" s="112"/>
      <c r="Q44" s="112"/>
      <c r="R44" s="363"/>
    </row>
    <row r="45" spans="2:18" ht="15.75">
      <c r="B45" s="150">
        <f t="shared" si="12"/>
        <v>358</v>
      </c>
      <c r="C45" s="365">
        <v>0</v>
      </c>
      <c r="D45" s="607">
        <v>2.1</v>
      </c>
      <c r="E45" s="208"/>
      <c r="F45" s="365">
        <v>0</v>
      </c>
      <c r="G45" s="622">
        <v>2.1</v>
      </c>
      <c r="H45" s="112"/>
      <c r="I45" s="112"/>
      <c r="J45" s="112"/>
      <c r="K45" s="112"/>
      <c r="L45" s="112"/>
      <c r="M45" s="112"/>
      <c r="N45" s="112"/>
      <c r="O45" s="112"/>
      <c r="P45" s="112"/>
      <c r="Q45" s="112"/>
      <c r="R45" s="363"/>
    </row>
    <row r="46" spans="2:18" ht="15.75">
      <c r="B46" s="150">
        <f t="shared" si="12"/>
        <v>359</v>
      </c>
      <c r="C46" s="365">
        <v>0</v>
      </c>
      <c r="D46" s="607">
        <v>1.56</v>
      </c>
      <c r="E46" s="208"/>
      <c r="F46" s="365">
        <v>0</v>
      </c>
      <c r="G46" s="622">
        <v>1.56</v>
      </c>
      <c r="H46" s="112"/>
      <c r="I46" s="112"/>
      <c r="J46" s="112"/>
      <c r="K46" s="112"/>
      <c r="L46" s="112"/>
      <c r="M46" s="112"/>
      <c r="N46" s="112"/>
      <c r="O46" s="112"/>
      <c r="P46" s="112"/>
      <c r="Q46" s="112"/>
      <c r="R46" s="363"/>
    </row>
    <row r="47" spans="2:18" ht="15.75">
      <c r="B47" s="126"/>
      <c r="C47" s="122"/>
      <c r="D47" s="122"/>
      <c r="E47" s="208"/>
      <c r="F47" s="122"/>
      <c r="G47" s="366"/>
      <c r="H47" s="112"/>
      <c r="I47" s="112"/>
      <c r="J47" s="112"/>
      <c r="K47" s="112"/>
      <c r="L47" s="112"/>
      <c r="M47" s="112"/>
      <c r="N47" s="112"/>
      <c r="O47" s="112"/>
      <c r="P47" s="112"/>
      <c r="Q47" s="112"/>
      <c r="R47" s="363"/>
    </row>
    <row r="48" spans="2:18" ht="15.75">
      <c r="B48" s="362"/>
      <c r="C48" s="112"/>
      <c r="D48" s="112"/>
      <c r="E48" s="112"/>
      <c r="F48" s="112"/>
      <c r="G48" s="112"/>
      <c r="H48" s="112"/>
      <c r="I48" s="112"/>
      <c r="J48" s="112"/>
      <c r="K48" s="112"/>
      <c r="L48" s="112"/>
      <c r="M48" s="112"/>
      <c r="N48" s="112"/>
      <c r="O48" s="112"/>
      <c r="P48" s="112"/>
      <c r="Q48" s="112"/>
      <c r="R48" s="363"/>
    </row>
    <row r="49" spans="2:18" ht="20.25">
      <c r="B49" s="86" t="str">
        <f>+B1</f>
        <v>Worksheet A-8 - WEN &amp; WES DEPRECIATION CALCULATION</v>
      </c>
      <c r="C49" s="112"/>
      <c r="D49" s="112"/>
      <c r="E49" s="112"/>
      <c r="F49" s="112"/>
      <c r="G49" s="112"/>
      <c r="H49" s="112"/>
      <c r="I49" s="112"/>
      <c r="J49" s="112"/>
      <c r="K49" s="112"/>
      <c r="L49" s="112"/>
      <c r="M49" s="112"/>
      <c r="N49" s="112"/>
      <c r="O49" s="79"/>
      <c r="P49" s="112"/>
      <c r="Q49" s="112"/>
      <c r="R49" s="79" t="s">
        <v>1695</v>
      </c>
    </row>
    <row r="50" spans="2:18" ht="18">
      <c r="B50" s="107" t="s">
        <v>838</v>
      </c>
      <c r="C50" s="112"/>
      <c r="D50" s="112"/>
      <c r="E50" s="112"/>
      <c r="F50" s="112"/>
      <c r="G50" s="112"/>
      <c r="H50" s="112"/>
      <c r="I50" s="112"/>
      <c r="J50" s="112"/>
      <c r="K50" s="112"/>
      <c r="L50" s="112"/>
      <c r="M50" s="112"/>
      <c r="N50" s="112"/>
      <c r="O50" s="79"/>
      <c r="P50" s="112"/>
      <c r="Q50" s="112"/>
      <c r="R50" s="363"/>
    </row>
    <row r="51" spans="2:18" ht="15.75">
      <c r="B51" s="362" t="str">
        <f>+B3</f>
        <v>For the 12 months ended - December 31, 2008</v>
      </c>
      <c r="C51" s="112"/>
      <c r="D51" s="112"/>
      <c r="E51" s="112"/>
      <c r="F51" s="112"/>
      <c r="G51" s="112"/>
      <c r="H51" s="112"/>
      <c r="I51" s="112"/>
      <c r="J51" s="112"/>
      <c r="K51" s="112"/>
      <c r="L51" s="112"/>
      <c r="M51" s="112"/>
      <c r="N51" s="112"/>
      <c r="O51" s="112"/>
      <c r="P51" s="112"/>
      <c r="Q51" s="112"/>
      <c r="R51" s="363"/>
    </row>
    <row r="52" spans="2:18" ht="18">
      <c r="B52" s="108" t="s">
        <v>1572</v>
      </c>
      <c r="C52" s="109"/>
      <c r="D52" s="109"/>
      <c r="E52" s="109"/>
      <c r="F52" s="109"/>
      <c r="G52" s="109"/>
      <c r="H52" s="109"/>
      <c r="I52" s="109"/>
      <c r="J52" s="109"/>
      <c r="K52" s="109"/>
      <c r="L52" s="109"/>
      <c r="M52" s="109"/>
      <c r="N52" s="109"/>
      <c r="O52" s="109"/>
      <c r="P52" s="109"/>
      <c r="Q52" s="109"/>
      <c r="R52" s="110"/>
    </row>
    <row r="53" spans="2:18" ht="15">
      <c r="B53" s="111"/>
      <c r="C53" s="112"/>
      <c r="D53" s="112"/>
      <c r="E53" s="112"/>
      <c r="F53" s="112"/>
      <c r="G53" s="112"/>
      <c r="H53" s="112"/>
      <c r="I53" s="112"/>
      <c r="J53" s="112"/>
      <c r="K53" s="112"/>
      <c r="L53" s="112"/>
      <c r="M53" s="112"/>
      <c r="N53" s="112"/>
      <c r="O53" s="112"/>
      <c r="P53" s="112"/>
      <c r="Q53" s="112"/>
      <c r="R53" s="113"/>
    </row>
    <row r="54" spans="2:18" ht="47.25">
      <c r="B54" s="138" t="s">
        <v>839</v>
      </c>
      <c r="C54" s="352" t="s">
        <v>385</v>
      </c>
      <c r="D54" s="144" t="s">
        <v>386</v>
      </c>
      <c r="E54" s="144" t="s">
        <v>387</v>
      </c>
      <c r="F54" s="144" t="s">
        <v>30</v>
      </c>
      <c r="G54" s="144" t="s">
        <v>389</v>
      </c>
      <c r="H54" s="144" t="s">
        <v>390</v>
      </c>
      <c r="I54" s="144" t="s">
        <v>391</v>
      </c>
      <c r="J54" s="144" t="s">
        <v>392</v>
      </c>
      <c r="K54" s="144" t="s">
        <v>393</v>
      </c>
      <c r="L54" s="144" t="s">
        <v>394</v>
      </c>
      <c r="M54" s="144" t="s">
        <v>395</v>
      </c>
      <c r="N54" s="144" t="s">
        <v>1106</v>
      </c>
      <c r="O54" s="140" t="s">
        <v>840</v>
      </c>
      <c r="P54" s="140" t="s">
        <v>841</v>
      </c>
      <c r="Q54" s="140" t="s">
        <v>842</v>
      </c>
      <c r="R54" s="151" t="s">
        <v>406</v>
      </c>
    </row>
    <row r="55" spans="2:18" ht="15.75">
      <c r="B55" s="141">
        <v>352</v>
      </c>
      <c r="C55" s="353">
        <v>0</v>
      </c>
      <c r="D55" s="353">
        <v>0</v>
      </c>
      <c r="E55" s="353">
        <v>0</v>
      </c>
      <c r="F55" s="353">
        <v>0</v>
      </c>
      <c r="G55" s="353">
        <v>0</v>
      </c>
      <c r="H55" s="353">
        <v>0</v>
      </c>
      <c r="I55" s="353">
        <v>0</v>
      </c>
      <c r="J55" s="353">
        <v>0</v>
      </c>
      <c r="K55" s="353">
        <v>0</v>
      </c>
      <c r="L55" s="353">
        <v>0</v>
      </c>
      <c r="M55" s="353">
        <v>0</v>
      </c>
      <c r="N55" s="353">
        <v>0</v>
      </c>
      <c r="O55" s="354">
        <f aca="true" t="shared" si="13" ref="O55:O62">SUM(C55:N55)</f>
        <v>0</v>
      </c>
      <c r="P55" s="128">
        <f>+D84/100</f>
        <v>0.0667</v>
      </c>
      <c r="Q55" s="620">
        <f aca="true" t="shared" si="14" ref="Q55:Q62">ROUND(+P55/12,8)</f>
        <v>0.00555833</v>
      </c>
      <c r="R55" s="121">
        <f aca="true" t="shared" si="15" ref="R55:R62">+O55*Q55</f>
        <v>0</v>
      </c>
    </row>
    <row r="56" spans="2:18" ht="15.75">
      <c r="B56" s="141">
        <v>353</v>
      </c>
      <c r="C56" s="355">
        <v>0</v>
      </c>
      <c r="D56" s="355">
        <v>0</v>
      </c>
      <c r="E56" s="355">
        <v>0</v>
      </c>
      <c r="F56" s="355">
        <v>0</v>
      </c>
      <c r="G56" s="355">
        <v>0</v>
      </c>
      <c r="H56" s="355">
        <v>0</v>
      </c>
      <c r="I56" s="355">
        <v>0</v>
      </c>
      <c r="J56" s="355">
        <v>0</v>
      </c>
      <c r="K56" s="355">
        <v>0</v>
      </c>
      <c r="L56" s="355">
        <v>0</v>
      </c>
      <c r="M56" s="355">
        <v>0</v>
      </c>
      <c r="N56" s="355">
        <v>0</v>
      </c>
      <c r="O56" s="356">
        <f t="shared" si="13"/>
        <v>0</v>
      </c>
      <c r="P56" s="128">
        <f aca="true" t="shared" si="16" ref="P56:P62">+D85/100</f>
        <v>0.0667</v>
      </c>
      <c r="Q56" s="620">
        <f t="shared" si="14"/>
        <v>0.00555833</v>
      </c>
      <c r="R56" s="121">
        <f t="shared" si="15"/>
        <v>0</v>
      </c>
    </row>
    <row r="57" spans="2:18" ht="15.75">
      <c r="B57" s="141">
        <v>354</v>
      </c>
      <c r="C57" s="355">
        <v>0</v>
      </c>
      <c r="D57" s="355">
        <v>0</v>
      </c>
      <c r="E57" s="355">
        <v>0</v>
      </c>
      <c r="F57" s="355">
        <v>0</v>
      </c>
      <c r="G57" s="355">
        <v>0</v>
      </c>
      <c r="H57" s="355">
        <v>0</v>
      </c>
      <c r="I57" s="355">
        <v>0</v>
      </c>
      <c r="J57" s="355">
        <v>0</v>
      </c>
      <c r="K57" s="355">
        <v>0</v>
      </c>
      <c r="L57" s="355">
        <v>0</v>
      </c>
      <c r="M57" s="355">
        <v>0</v>
      </c>
      <c r="N57" s="355">
        <v>0</v>
      </c>
      <c r="O57" s="356">
        <f t="shared" si="13"/>
        <v>0</v>
      </c>
      <c r="P57" s="128">
        <f t="shared" si="16"/>
        <v>0.0667</v>
      </c>
      <c r="Q57" s="620">
        <f t="shared" si="14"/>
        <v>0.00555833</v>
      </c>
      <c r="R57" s="121">
        <f t="shared" si="15"/>
        <v>0</v>
      </c>
    </row>
    <row r="58" spans="2:18" ht="15.75">
      <c r="B58" s="141">
        <v>355</v>
      </c>
      <c r="C58" s="355">
        <v>0</v>
      </c>
      <c r="D58" s="355">
        <v>0</v>
      </c>
      <c r="E58" s="355">
        <v>0</v>
      </c>
      <c r="F58" s="355">
        <v>0</v>
      </c>
      <c r="G58" s="355">
        <v>0</v>
      </c>
      <c r="H58" s="355">
        <v>0</v>
      </c>
      <c r="I58" s="355">
        <v>0</v>
      </c>
      <c r="J58" s="355">
        <v>0</v>
      </c>
      <c r="K58" s="355">
        <v>0</v>
      </c>
      <c r="L58" s="355">
        <v>0</v>
      </c>
      <c r="M58" s="355">
        <v>0</v>
      </c>
      <c r="N58" s="355">
        <v>0</v>
      </c>
      <c r="O58" s="356">
        <f t="shared" si="13"/>
        <v>0</v>
      </c>
      <c r="P58" s="128">
        <f t="shared" si="16"/>
        <v>0.0667</v>
      </c>
      <c r="Q58" s="620">
        <f t="shared" si="14"/>
        <v>0.00555833</v>
      </c>
      <c r="R58" s="121">
        <f t="shared" si="15"/>
        <v>0</v>
      </c>
    </row>
    <row r="59" spans="2:18" ht="15.75">
      <c r="B59" s="141">
        <v>356</v>
      </c>
      <c r="C59" s="355">
        <v>0</v>
      </c>
      <c r="D59" s="355">
        <v>0</v>
      </c>
      <c r="E59" s="355">
        <v>0</v>
      </c>
      <c r="F59" s="355">
        <v>0</v>
      </c>
      <c r="G59" s="355">
        <v>0</v>
      </c>
      <c r="H59" s="355">
        <v>0</v>
      </c>
      <c r="I59" s="355">
        <v>0</v>
      </c>
      <c r="J59" s="355">
        <v>0</v>
      </c>
      <c r="K59" s="355">
        <v>0</v>
      </c>
      <c r="L59" s="355">
        <v>0</v>
      </c>
      <c r="M59" s="355">
        <v>0</v>
      </c>
      <c r="N59" s="355">
        <v>0</v>
      </c>
      <c r="O59" s="356">
        <f t="shared" si="13"/>
        <v>0</v>
      </c>
      <c r="P59" s="128">
        <f t="shared" si="16"/>
        <v>0.0667</v>
      </c>
      <c r="Q59" s="620">
        <f t="shared" si="14"/>
        <v>0.00555833</v>
      </c>
      <c r="R59" s="121">
        <f t="shared" si="15"/>
        <v>0</v>
      </c>
    </row>
    <row r="60" spans="2:18" ht="15.75">
      <c r="B60" s="141">
        <v>357</v>
      </c>
      <c r="C60" s="355">
        <v>0</v>
      </c>
      <c r="D60" s="355">
        <v>0</v>
      </c>
      <c r="E60" s="355">
        <v>0</v>
      </c>
      <c r="F60" s="355">
        <v>0</v>
      </c>
      <c r="G60" s="355">
        <v>0</v>
      </c>
      <c r="H60" s="355">
        <v>0</v>
      </c>
      <c r="I60" s="355">
        <v>0</v>
      </c>
      <c r="J60" s="355">
        <v>0</v>
      </c>
      <c r="K60" s="355">
        <v>0</v>
      </c>
      <c r="L60" s="355">
        <v>0</v>
      </c>
      <c r="M60" s="355">
        <v>0</v>
      </c>
      <c r="N60" s="355">
        <v>0</v>
      </c>
      <c r="O60" s="356">
        <f t="shared" si="13"/>
        <v>0</v>
      </c>
      <c r="P60" s="128">
        <f t="shared" si="16"/>
        <v>0.0667</v>
      </c>
      <c r="Q60" s="620">
        <f t="shared" si="14"/>
        <v>0.00555833</v>
      </c>
      <c r="R60" s="121">
        <f t="shared" si="15"/>
        <v>0</v>
      </c>
    </row>
    <row r="61" spans="2:18" ht="15.75">
      <c r="B61" s="141">
        <v>358</v>
      </c>
      <c r="C61" s="355">
        <v>0</v>
      </c>
      <c r="D61" s="355">
        <v>0</v>
      </c>
      <c r="E61" s="355">
        <v>0</v>
      </c>
      <c r="F61" s="355">
        <v>0</v>
      </c>
      <c r="G61" s="355">
        <v>0</v>
      </c>
      <c r="H61" s="355">
        <v>0</v>
      </c>
      <c r="I61" s="355">
        <v>0</v>
      </c>
      <c r="J61" s="355">
        <v>0</v>
      </c>
      <c r="K61" s="355">
        <v>0</v>
      </c>
      <c r="L61" s="355">
        <v>0</v>
      </c>
      <c r="M61" s="355">
        <v>0</v>
      </c>
      <c r="N61" s="355">
        <v>0</v>
      </c>
      <c r="O61" s="356">
        <f t="shared" si="13"/>
        <v>0</v>
      </c>
      <c r="P61" s="128">
        <f t="shared" si="16"/>
        <v>0.0667</v>
      </c>
      <c r="Q61" s="620">
        <f t="shared" si="14"/>
        <v>0.00555833</v>
      </c>
      <c r="R61" s="121">
        <f t="shared" si="15"/>
        <v>0</v>
      </c>
    </row>
    <row r="62" spans="2:18" ht="15.75">
      <c r="B62" s="141">
        <v>359</v>
      </c>
      <c r="C62" s="355">
        <v>0</v>
      </c>
      <c r="D62" s="355">
        <v>0</v>
      </c>
      <c r="E62" s="355">
        <v>0</v>
      </c>
      <c r="F62" s="355">
        <v>0</v>
      </c>
      <c r="G62" s="355">
        <v>0</v>
      </c>
      <c r="H62" s="355">
        <v>0</v>
      </c>
      <c r="I62" s="355">
        <v>0</v>
      </c>
      <c r="J62" s="355">
        <v>0</v>
      </c>
      <c r="K62" s="355">
        <v>0</v>
      </c>
      <c r="L62" s="355">
        <v>0</v>
      </c>
      <c r="M62" s="355">
        <v>0</v>
      </c>
      <c r="N62" s="355">
        <v>0</v>
      </c>
      <c r="O62" s="356">
        <f t="shared" si="13"/>
        <v>0</v>
      </c>
      <c r="P62" s="128">
        <f t="shared" si="16"/>
        <v>0.0667</v>
      </c>
      <c r="Q62" s="620">
        <f t="shared" si="14"/>
        <v>0.00555833</v>
      </c>
      <c r="R62" s="121">
        <f t="shared" si="15"/>
        <v>0</v>
      </c>
    </row>
    <row r="63" spans="2:18" ht="18">
      <c r="B63" s="141" t="s">
        <v>1106</v>
      </c>
      <c r="C63" s="354">
        <f aca="true" t="shared" si="17" ref="C63:O63">SUM(C55:C62)</f>
        <v>0</v>
      </c>
      <c r="D63" s="354">
        <f t="shared" si="17"/>
        <v>0</v>
      </c>
      <c r="E63" s="354">
        <f t="shared" si="17"/>
        <v>0</v>
      </c>
      <c r="F63" s="354">
        <f t="shared" si="17"/>
        <v>0</v>
      </c>
      <c r="G63" s="354">
        <f t="shared" si="17"/>
        <v>0</v>
      </c>
      <c r="H63" s="354">
        <f t="shared" si="17"/>
        <v>0</v>
      </c>
      <c r="I63" s="354">
        <f t="shared" si="17"/>
        <v>0</v>
      </c>
      <c r="J63" s="354">
        <f t="shared" si="17"/>
        <v>0</v>
      </c>
      <c r="K63" s="354">
        <f t="shared" si="17"/>
        <v>0</v>
      </c>
      <c r="L63" s="354">
        <f t="shared" si="17"/>
        <v>0</v>
      </c>
      <c r="M63" s="354">
        <f t="shared" si="17"/>
        <v>0</v>
      </c>
      <c r="N63" s="354">
        <f t="shared" si="17"/>
        <v>0</v>
      </c>
      <c r="O63" s="354">
        <f t="shared" si="17"/>
        <v>0</v>
      </c>
      <c r="P63" s="128"/>
      <c r="Q63" s="620"/>
      <c r="R63" s="357">
        <f>SUM(R55:R62)</f>
        <v>0</v>
      </c>
    </row>
    <row r="64" spans="2:18" ht="15.75">
      <c r="B64" s="134"/>
      <c r="C64" s="116"/>
      <c r="D64" s="116"/>
      <c r="E64" s="116"/>
      <c r="F64" s="116"/>
      <c r="G64" s="116"/>
      <c r="H64" s="116"/>
      <c r="I64" s="116"/>
      <c r="J64" s="116"/>
      <c r="K64" s="116"/>
      <c r="L64" s="116"/>
      <c r="M64" s="116"/>
      <c r="N64" s="116"/>
      <c r="O64" s="116"/>
      <c r="P64" s="129"/>
      <c r="Q64" s="358"/>
      <c r="R64" s="132"/>
    </row>
    <row r="65" spans="2:18" ht="15.75">
      <c r="B65" s="362"/>
      <c r="C65" s="112"/>
      <c r="D65" s="112"/>
      <c r="E65" s="112"/>
      <c r="F65" s="112"/>
      <c r="G65" s="112"/>
      <c r="H65" s="112"/>
      <c r="I65" s="112"/>
      <c r="J65" s="112"/>
      <c r="K65" s="112"/>
      <c r="L65" s="112"/>
      <c r="M65" s="112"/>
      <c r="N65" s="112"/>
      <c r="O65" s="112"/>
      <c r="P65" s="112"/>
      <c r="Q65" s="112"/>
      <c r="R65" s="363"/>
    </row>
    <row r="66" spans="2:18" ht="18">
      <c r="B66" s="136" t="s">
        <v>1573</v>
      </c>
      <c r="C66" s="119"/>
      <c r="D66" s="119"/>
      <c r="E66" s="119"/>
      <c r="F66" s="119"/>
      <c r="G66" s="119"/>
      <c r="H66" s="119"/>
      <c r="I66" s="119"/>
      <c r="J66" s="119"/>
      <c r="K66" s="119"/>
      <c r="L66" s="119"/>
      <c r="M66" s="119"/>
      <c r="N66" s="119"/>
      <c r="O66" s="119"/>
      <c r="P66" s="131"/>
      <c r="Q66" s="360"/>
      <c r="R66" s="120"/>
    </row>
    <row r="67" spans="2:18" ht="15">
      <c r="B67" s="137"/>
      <c r="C67" s="114"/>
      <c r="D67" s="114"/>
      <c r="E67" s="114"/>
      <c r="F67" s="114"/>
      <c r="G67" s="114"/>
      <c r="H67" s="114"/>
      <c r="I67" s="114"/>
      <c r="J67" s="114"/>
      <c r="K67" s="114"/>
      <c r="L67" s="114"/>
      <c r="M67" s="114"/>
      <c r="N67" s="114"/>
      <c r="O67" s="114"/>
      <c r="P67" s="128"/>
      <c r="Q67" s="361"/>
      <c r="R67" s="121"/>
    </row>
    <row r="68" spans="2:18" ht="47.25">
      <c r="B68" s="142" t="str">
        <f aca="true" t="shared" si="18" ref="B68:R68">+B54</f>
        <v>Plant In Service Account #</v>
      </c>
      <c r="C68" s="139" t="str">
        <f t="shared" si="18"/>
        <v>Jan</v>
      </c>
      <c r="D68" s="139" t="str">
        <f t="shared" si="18"/>
        <v>Feb</v>
      </c>
      <c r="E68" s="139" t="str">
        <f t="shared" si="18"/>
        <v>Mar</v>
      </c>
      <c r="F68" s="139" t="str">
        <f t="shared" si="18"/>
        <v>May</v>
      </c>
      <c r="G68" s="139" t="str">
        <f t="shared" si="18"/>
        <v>Jun</v>
      </c>
      <c r="H68" s="139" t="str">
        <f t="shared" si="18"/>
        <v>Jul</v>
      </c>
      <c r="I68" s="139" t="str">
        <f t="shared" si="18"/>
        <v>Aug</v>
      </c>
      <c r="J68" s="139" t="str">
        <f t="shared" si="18"/>
        <v>Sep</v>
      </c>
      <c r="K68" s="139" t="str">
        <f t="shared" si="18"/>
        <v>Oct</v>
      </c>
      <c r="L68" s="139" t="str">
        <f t="shared" si="18"/>
        <v>Nov</v>
      </c>
      <c r="M68" s="139" t="str">
        <f t="shared" si="18"/>
        <v>Dec</v>
      </c>
      <c r="N68" s="139" t="str">
        <f t="shared" si="18"/>
        <v>Total</v>
      </c>
      <c r="O68" s="140" t="str">
        <f t="shared" si="18"/>
        <v>Total Plant In Service           (Total PIS)</v>
      </c>
      <c r="P68" s="140" t="str">
        <f t="shared" si="18"/>
        <v>FR Fixed Annualized Depr Rates</v>
      </c>
      <c r="Q68" s="140" t="str">
        <f t="shared" si="18"/>
        <v>FR Fixed Monthly Rate</v>
      </c>
      <c r="R68" s="151" t="str">
        <f t="shared" si="18"/>
        <v>FR Transmission Depreciation Expense</v>
      </c>
    </row>
    <row r="69" spans="2:18" ht="15.75">
      <c r="B69" s="141">
        <f aca="true" t="shared" si="19" ref="B69:B76">+B55</f>
        <v>352</v>
      </c>
      <c r="C69" s="353">
        <v>0</v>
      </c>
      <c r="D69" s="353">
        <v>0</v>
      </c>
      <c r="E69" s="353">
        <v>0</v>
      </c>
      <c r="F69" s="353">
        <v>0</v>
      </c>
      <c r="G69" s="353">
        <v>0</v>
      </c>
      <c r="H69" s="353">
        <v>0</v>
      </c>
      <c r="I69" s="353">
        <v>0</v>
      </c>
      <c r="J69" s="353">
        <v>0</v>
      </c>
      <c r="K69" s="353">
        <v>0</v>
      </c>
      <c r="L69" s="353">
        <v>0</v>
      </c>
      <c r="M69" s="353">
        <v>0</v>
      </c>
      <c r="N69" s="353">
        <v>0</v>
      </c>
      <c r="O69" s="354">
        <f aca="true" t="shared" si="20" ref="O69:O76">SUM(C69:N69)</f>
        <v>0</v>
      </c>
      <c r="P69" s="128">
        <f>+G84/100</f>
        <v>0.0667</v>
      </c>
      <c r="Q69" s="620">
        <f aca="true" t="shared" si="21" ref="Q69:Q76">ROUND(+P69/12,8)</f>
        <v>0.00555833</v>
      </c>
      <c r="R69" s="121">
        <f aca="true" t="shared" si="22" ref="R69:R76">+O69*Q69</f>
        <v>0</v>
      </c>
    </row>
    <row r="70" spans="2:18" ht="15.75">
      <c r="B70" s="141">
        <f t="shared" si="19"/>
        <v>353</v>
      </c>
      <c r="C70" s="355">
        <v>0</v>
      </c>
      <c r="D70" s="355">
        <v>0</v>
      </c>
      <c r="E70" s="355">
        <v>0</v>
      </c>
      <c r="F70" s="355">
        <v>0</v>
      </c>
      <c r="G70" s="355">
        <v>0</v>
      </c>
      <c r="H70" s="355">
        <v>0</v>
      </c>
      <c r="I70" s="355">
        <v>0</v>
      </c>
      <c r="J70" s="355">
        <v>0</v>
      </c>
      <c r="K70" s="355">
        <v>0</v>
      </c>
      <c r="L70" s="355">
        <v>0</v>
      </c>
      <c r="M70" s="355">
        <v>0</v>
      </c>
      <c r="N70" s="355">
        <v>0</v>
      </c>
      <c r="O70" s="356">
        <f t="shared" si="20"/>
        <v>0</v>
      </c>
      <c r="P70" s="128">
        <f aca="true" t="shared" si="23" ref="P70:P76">+G85/100</f>
        <v>0.0667</v>
      </c>
      <c r="Q70" s="620">
        <f t="shared" si="21"/>
        <v>0.00555833</v>
      </c>
      <c r="R70" s="121">
        <f t="shared" si="22"/>
        <v>0</v>
      </c>
    </row>
    <row r="71" spans="2:18" ht="15.75">
      <c r="B71" s="141">
        <f t="shared" si="19"/>
        <v>354</v>
      </c>
      <c r="C71" s="355">
        <v>0</v>
      </c>
      <c r="D71" s="355">
        <v>0</v>
      </c>
      <c r="E71" s="355">
        <v>0</v>
      </c>
      <c r="F71" s="355">
        <v>0</v>
      </c>
      <c r="G71" s="355">
        <v>0</v>
      </c>
      <c r="H71" s="355">
        <v>0</v>
      </c>
      <c r="I71" s="355">
        <v>0</v>
      </c>
      <c r="J71" s="355">
        <v>0</v>
      </c>
      <c r="K71" s="355">
        <v>0</v>
      </c>
      <c r="L71" s="355">
        <v>0</v>
      </c>
      <c r="M71" s="355">
        <v>0</v>
      </c>
      <c r="N71" s="355">
        <v>0</v>
      </c>
      <c r="O71" s="356">
        <f t="shared" si="20"/>
        <v>0</v>
      </c>
      <c r="P71" s="128">
        <f t="shared" si="23"/>
        <v>0.0667</v>
      </c>
      <c r="Q71" s="620">
        <f t="shared" si="21"/>
        <v>0.00555833</v>
      </c>
      <c r="R71" s="121">
        <f t="shared" si="22"/>
        <v>0</v>
      </c>
    </row>
    <row r="72" spans="2:18" ht="15.75">
      <c r="B72" s="141">
        <f t="shared" si="19"/>
        <v>355</v>
      </c>
      <c r="C72" s="355">
        <v>0</v>
      </c>
      <c r="D72" s="355">
        <v>0</v>
      </c>
      <c r="E72" s="355">
        <v>0</v>
      </c>
      <c r="F72" s="355">
        <v>0</v>
      </c>
      <c r="G72" s="355">
        <v>0</v>
      </c>
      <c r="H72" s="355">
        <v>0</v>
      </c>
      <c r="I72" s="355">
        <v>0</v>
      </c>
      <c r="J72" s="355">
        <v>0</v>
      </c>
      <c r="K72" s="355">
        <v>0</v>
      </c>
      <c r="L72" s="355">
        <v>0</v>
      </c>
      <c r="M72" s="355">
        <v>0</v>
      </c>
      <c r="N72" s="355">
        <v>0</v>
      </c>
      <c r="O72" s="356">
        <f t="shared" si="20"/>
        <v>0</v>
      </c>
      <c r="P72" s="128">
        <f t="shared" si="23"/>
        <v>0.0667</v>
      </c>
      <c r="Q72" s="620">
        <f t="shared" si="21"/>
        <v>0.00555833</v>
      </c>
      <c r="R72" s="121">
        <f t="shared" si="22"/>
        <v>0</v>
      </c>
    </row>
    <row r="73" spans="2:18" ht="15.75">
      <c r="B73" s="141">
        <f t="shared" si="19"/>
        <v>356</v>
      </c>
      <c r="C73" s="355">
        <v>0</v>
      </c>
      <c r="D73" s="355">
        <v>0</v>
      </c>
      <c r="E73" s="355">
        <v>0</v>
      </c>
      <c r="F73" s="355">
        <v>0</v>
      </c>
      <c r="G73" s="355">
        <v>0</v>
      </c>
      <c r="H73" s="355">
        <v>0</v>
      </c>
      <c r="I73" s="355">
        <v>0</v>
      </c>
      <c r="J73" s="355">
        <v>0</v>
      </c>
      <c r="K73" s="355">
        <v>0</v>
      </c>
      <c r="L73" s="355">
        <v>0</v>
      </c>
      <c r="M73" s="355">
        <v>0</v>
      </c>
      <c r="N73" s="355">
        <v>0</v>
      </c>
      <c r="O73" s="356">
        <f t="shared" si="20"/>
        <v>0</v>
      </c>
      <c r="P73" s="128">
        <f t="shared" si="23"/>
        <v>0.0667</v>
      </c>
      <c r="Q73" s="620">
        <f t="shared" si="21"/>
        <v>0.00555833</v>
      </c>
      <c r="R73" s="121">
        <f t="shared" si="22"/>
        <v>0</v>
      </c>
    </row>
    <row r="74" spans="2:18" ht="15.75">
      <c r="B74" s="141">
        <f t="shared" si="19"/>
        <v>357</v>
      </c>
      <c r="C74" s="355">
        <v>0</v>
      </c>
      <c r="D74" s="355">
        <v>0</v>
      </c>
      <c r="E74" s="355">
        <v>0</v>
      </c>
      <c r="F74" s="355">
        <v>0</v>
      </c>
      <c r="G74" s="355">
        <v>0</v>
      </c>
      <c r="H74" s="355">
        <v>0</v>
      </c>
      <c r="I74" s="355">
        <v>0</v>
      </c>
      <c r="J74" s="355">
        <v>0</v>
      </c>
      <c r="K74" s="355">
        <v>0</v>
      </c>
      <c r="L74" s="355">
        <v>0</v>
      </c>
      <c r="M74" s="355">
        <v>0</v>
      </c>
      <c r="N74" s="355">
        <v>0</v>
      </c>
      <c r="O74" s="356">
        <f t="shared" si="20"/>
        <v>0</v>
      </c>
      <c r="P74" s="128">
        <f t="shared" si="23"/>
        <v>0.0667</v>
      </c>
      <c r="Q74" s="620">
        <f t="shared" si="21"/>
        <v>0.00555833</v>
      </c>
      <c r="R74" s="121">
        <f t="shared" si="22"/>
        <v>0</v>
      </c>
    </row>
    <row r="75" spans="2:18" ht="15.75">
      <c r="B75" s="141">
        <f t="shared" si="19"/>
        <v>358</v>
      </c>
      <c r="C75" s="355">
        <v>0</v>
      </c>
      <c r="D75" s="355">
        <v>0</v>
      </c>
      <c r="E75" s="355">
        <v>0</v>
      </c>
      <c r="F75" s="355">
        <v>0</v>
      </c>
      <c r="G75" s="355">
        <v>0</v>
      </c>
      <c r="H75" s="355">
        <v>0</v>
      </c>
      <c r="I75" s="355">
        <v>0</v>
      </c>
      <c r="J75" s="355">
        <v>0</v>
      </c>
      <c r="K75" s="355">
        <v>0</v>
      </c>
      <c r="L75" s="355">
        <v>0</v>
      </c>
      <c r="M75" s="355">
        <v>0</v>
      </c>
      <c r="N75" s="355">
        <v>0</v>
      </c>
      <c r="O75" s="356">
        <f t="shared" si="20"/>
        <v>0</v>
      </c>
      <c r="P75" s="128">
        <f t="shared" si="23"/>
        <v>0.0667</v>
      </c>
      <c r="Q75" s="620">
        <f t="shared" si="21"/>
        <v>0.00555833</v>
      </c>
      <c r="R75" s="121">
        <f t="shared" si="22"/>
        <v>0</v>
      </c>
    </row>
    <row r="76" spans="2:18" ht="15.75">
      <c r="B76" s="141">
        <f t="shared" si="19"/>
        <v>359</v>
      </c>
      <c r="C76" s="355">
        <v>0</v>
      </c>
      <c r="D76" s="355">
        <v>0</v>
      </c>
      <c r="E76" s="355">
        <v>0</v>
      </c>
      <c r="F76" s="355">
        <v>0</v>
      </c>
      <c r="G76" s="355">
        <v>0</v>
      </c>
      <c r="H76" s="355">
        <v>0</v>
      </c>
      <c r="I76" s="355">
        <v>0</v>
      </c>
      <c r="J76" s="355">
        <v>0</v>
      </c>
      <c r="K76" s="355">
        <v>0</v>
      </c>
      <c r="L76" s="355">
        <v>0</v>
      </c>
      <c r="M76" s="355">
        <v>0</v>
      </c>
      <c r="N76" s="355">
        <v>0</v>
      </c>
      <c r="O76" s="356">
        <f t="shared" si="20"/>
        <v>0</v>
      </c>
      <c r="P76" s="128">
        <f t="shared" si="23"/>
        <v>0.0667</v>
      </c>
      <c r="Q76" s="620">
        <f t="shared" si="21"/>
        <v>0.00555833</v>
      </c>
      <c r="R76" s="121">
        <f t="shared" si="22"/>
        <v>0</v>
      </c>
    </row>
    <row r="77" spans="2:18" ht="18">
      <c r="B77" s="143" t="s">
        <v>1106</v>
      </c>
      <c r="C77" s="354">
        <f aca="true" t="shared" si="24" ref="C77:O77">SUM(C69:C76)</f>
        <v>0</v>
      </c>
      <c r="D77" s="354">
        <f t="shared" si="24"/>
        <v>0</v>
      </c>
      <c r="E77" s="354">
        <f t="shared" si="24"/>
        <v>0</v>
      </c>
      <c r="F77" s="354">
        <f t="shared" si="24"/>
        <v>0</v>
      </c>
      <c r="G77" s="354">
        <f t="shared" si="24"/>
        <v>0</v>
      </c>
      <c r="H77" s="354">
        <f t="shared" si="24"/>
        <v>0</v>
      </c>
      <c r="I77" s="354">
        <f t="shared" si="24"/>
        <v>0</v>
      </c>
      <c r="J77" s="354">
        <f t="shared" si="24"/>
        <v>0</v>
      </c>
      <c r="K77" s="354">
        <f t="shared" si="24"/>
        <v>0</v>
      </c>
      <c r="L77" s="354">
        <f t="shared" si="24"/>
        <v>0</v>
      </c>
      <c r="M77" s="354">
        <f t="shared" si="24"/>
        <v>0</v>
      </c>
      <c r="N77" s="354">
        <f t="shared" si="24"/>
        <v>0</v>
      </c>
      <c r="O77" s="354">
        <f t="shared" si="24"/>
        <v>0</v>
      </c>
      <c r="P77" s="114"/>
      <c r="Q77" s="114"/>
      <c r="R77" s="357">
        <f>SUM(R69:R76)</f>
        <v>0</v>
      </c>
    </row>
    <row r="78" spans="2:18" ht="15.75">
      <c r="B78" s="115"/>
      <c r="C78" s="122"/>
      <c r="D78" s="122"/>
      <c r="E78" s="122"/>
      <c r="F78" s="122"/>
      <c r="G78" s="122"/>
      <c r="H78" s="122"/>
      <c r="I78" s="122"/>
      <c r="J78" s="122"/>
      <c r="K78" s="122"/>
      <c r="L78" s="122"/>
      <c r="M78" s="122"/>
      <c r="N78" s="122"/>
      <c r="O78" s="122"/>
      <c r="P78" s="122"/>
      <c r="Q78" s="122"/>
      <c r="R78" s="133"/>
    </row>
    <row r="79" spans="2:18" ht="15.75">
      <c r="B79" s="362"/>
      <c r="C79" s="112"/>
      <c r="D79" s="112"/>
      <c r="E79" s="112"/>
      <c r="F79" s="112"/>
      <c r="G79" s="112"/>
      <c r="H79" s="112"/>
      <c r="I79" s="112"/>
      <c r="J79" s="112"/>
      <c r="K79" s="112"/>
      <c r="L79" s="112"/>
      <c r="M79" s="112"/>
      <c r="N79" s="112"/>
      <c r="O79" s="112"/>
      <c r="P79" s="112"/>
      <c r="Q79" s="112"/>
      <c r="R79" s="363"/>
    </row>
    <row r="80" spans="2:18" ht="15">
      <c r="B80" s="117"/>
      <c r="C80" s="74"/>
      <c r="D80" s="74"/>
      <c r="E80" s="74"/>
      <c r="F80" s="74"/>
      <c r="G80" s="74"/>
      <c r="H80" s="74"/>
      <c r="I80" s="74"/>
      <c r="J80" s="74"/>
      <c r="K80" s="74"/>
      <c r="L80" s="74"/>
      <c r="M80" s="74"/>
      <c r="N80" s="74"/>
      <c r="O80" s="74"/>
      <c r="P80" s="74"/>
      <c r="Q80" s="74"/>
      <c r="R80" s="74"/>
    </row>
    <row r="81" spans="2:7" ht="18">
      <c r="B81" s="105" t="s">
        <v>843</v>
      </c>
      <c r="C81" s="109"/>
      <c r="D81" s="109"/>
      <c r="E81" s="208"/>
      <c r="F81" s="109"/>
      <c r="G81" s="364" t="s">
        <v>1716</v>
      </c>
    </row>
    <row r="82" spans="2:7" ht="15.75">
      <c r="B82" s="123"/>
      <c r="C82" s="146" t="s">
        <v>28</v>
      </c>
      <c r="D82" s="124"/>
      <c r="E82" s="208"/>
      <c r="F82" s="146" t="s">
        <v>29</v>
      </c>
      <c r="G82" s="125"/>
    </row>
    <row r="83" spans="2:7" ht="47.25">
      <c r="B83" s="142" t="str">
        <f>+B68</f>
        <v>Plant In Service Account #</v>
      </c>
      <c r="C83" s="148" t="s">
        <v>1571</v>
      </c>
      <c r="D83" s="148" t="s">
        <v>405</v>
      </c>
      <c r="E83" s="208"/>
      <c r="F83" s="148" t="str">
        <f>+C83</f>
        <v>Form 1 Rates</v>
      </c>
      <c r="G83" s="149" t="str">
        <f>+D83</f>
        <v>Depr Rate used in Formula </v>
      </c>
    </row>
    <row r="84" spans="2:7" ht="15.75">
      <c r="B84" s="150">
        <f aca="true" t="shared" si="25" ref="B84:B91">+B55</f>
        <v>352</v>
      </c>
      <c r="C84" s="365">
        <v>0</v>
      </c>
      <c r="D84" s="623">
        <v>6.67</v>
      </c>
      <c r="E84" s="208"/>
      <c r="F84" s="365">
        <v>0</v>
      </c>
      <c r="G84" s="624">
        <v>6.67</v>
      </c>
    </row>
    <row r="85" spans="2:7" ht="15.75">
      <c r="B85" s="150">
        <f t="shared" si="25"/>
        <v>353</v>
      </c>
      <c r="C85" s="365">
        <v>0</v>
      </c>
      <c r="D85" s="623">
        <v>6.67</v>
      </c>
      <c r="E85" s="208"/>
      <c r="F85" s="365">
        <v>0</v>
      </c>
      <c r="G85" s="624">
        <v>6.67</v>
      </c>
    </row>
    <row r="86" spans="2:7" ht="15.75">
      <c r="B86" s="150">
        <f t="shared" si="25"/>
        <v>354</v>
      </c>
      <c r="C86" s="365">
        <v>0</v>
      </c>
      <c r="D86" s="623">
        <v>6.67</v>
      </c>
      <c r="E86" s="208"/>
      <c r="F86" s="365">
        <v>0</v>
      </c>
      <c r="G86" s="624">
        <v>6.67</v>
      </c>
    </row>
    <row r="87" spans="2:7" ht="15.75">
      <c r="B87" s="150">
        <f t="shared" si="25"/>
        <v>355</v>
      </c>
      <c r="C87" s="365">
        <v>0</v>
      </c>
      <c r="D87" s="623">
        <v>6.67</v>
      </c>
      <c r="E87" s="208"/>
      <c r="F87" s="365">
        <v>0</v>
      </c>
      <c r="G87" s="624">
        <v>6.67</v>
      </c>
    </row>
    <row r="88" spans="2:7" ht="15.75">
      <c r="B88" s="150">
        <f t="shared" si="25"/>
        <v>356</v>
      </c>
      <c r="C88" s="365">
        <v>0</v>
      </c>
      <c r="D88" s="623">
        <v>6.67</v>
      </c>
      <c r="E88" s="208"/>
      <c r="F88" s="365">
        <v>0</v>
      </c>
      <c r="G88" s="624">
        <v>6.67</v>
      </c>
    </row>
    <row r="89" spans="2:7" ht="15.75">
      <c r="B89" s="150">
        <f t="shared" si="25"/>
        <v>357</v>
      </c>
      <c r="C89" s="365">
        <v>0</v>
      </c>
      <c r="D89" s="623">
        <v>6.67</v>
      </c>
      <c r="E89" s="208"/>
      <c r="F89" s="365">
        <v>0</v>
      </c>
      <c r="G89" s="624">
        <v>6.67</v>
      </c>
    </row>
    <row r="90" spans="2:7" ht="15.75">
      <c r="B90" s="150">
        <f t="shared" si="25"/>
        <v>358</v>
      </c>
      <c r="C90" s="365">
        <v>0</v>
      </c>
      <c r="D90" s="623">
        <v>6.67</v>
      </c>
      <c r="E90" s="208"/>
      <c r="F90" s="365">
        <v>0</v>
      </c>
      <c r="G90" s="624">
        <v>6.67</v>
      </c>
    </row>
    <row r="91" spans="2:7" ht="15.75">
      <c r="B91" s="150">
        <f t="shared" si="25"/>
        <v>359</v>
      </c>
      <c r="C91" s="365">
        <v>0</v>
      </c>
      <c r="D91" s="623">
        <v>6.67</v>
      </c>
      <c r="E91" s="208"/>
      <c r="F91" s="365">
        <v>0</v>
      </c>
      <c r="G91" s="624">
        <v>6.67</v>
      </c>
    </row>
    <row r="92" spans="2:7" ht="15">
      <c r="B92" s="126"/>
      <c r="C92" s="122"/>
      <c r="D92" s="122"/>
      <c r="E92" s="208"/>
      <c r="F92" s="122"/>
      <c r="G92" s="366"/>
    </row>
    <row r="93" spans="2:18" ht="15">
      <c r="B93" s="117"/>
      <c r="C93" s="74"/>
      <c r="D93" s="74"/>
      <c r="E93" s="118"/>
      <c r="F93" s="118"/>
      <c r="G93" s="74"/>
      <c r="H93" s="74"/>
      <c r="I93" s="74"/>
      <c r="J93" s="74"/>
      <c r="K93" s="74"/>
      <c r="L93" s="74"/>
      <c r="M93" s="74"/>
      <c r="N93" s="74"/>
      <c r="O93" s="74"/>
      <c r="P93" s="74"/>
      <c r="Q93" s="74"/>
      <c r="R93" s="74"/>
    </row>
    <row r="96" spans="2:6" ht="18">
      <c r="B96" s="108" t="s">
        <v>1480</v>
      </c>
      <c r="C96" s="109"/>
      <c r="D96" s="109"/>
      <c r="E96" s="109"/>
      <c r="F96" s="110"/>
    </row>
    <row r="97" spans="2:6" ht="15.75">
      <c r="B97" s="111"/>
      <c r="C97" s="112"/>
      <c r="D97" s="144"/>
      <c r="E97" s="144" t="s">
        <v>28</v>
      </c>
      <c r="F97" s="145" t="s">
        <v>29</v>
      </c>
    </row>
    <row r="98" spans="2:6" ht="15.75">
      <c r="B98" s="147" t="s">
        <v>1481</v>
      </c>
      <c r="C98" s="112"/>
      <c r="D98" s="152"/>
      <c r="E98" s="114"/>
      <c r="F98" s="121"/>
    </row>
    <row r="99" spans="2:6" ht="15.75">
      <c r="B99" s="111" t="s">
        <v>1574</v>
      </c>
      <c r="C99" s="112"/>
      <c r="D99" s="152"/>
      <c r="E99" s="367">
        <f>+R21+E48</f>
        <v>0</v>
      </c>
      <c r="F99" s="368">
        <f>+R35</f>
        <v>0</v>
      </c>
    </row>
    <row r="100" spans="2:6" ht="15.75">
      <c r="B100" s="111" t="s">
        <v>1575</v>
      </c>
      <c r="C100" s="112"/>
      <c r="D100" s="152"/>
      <c r="E100" s="367">
        <f>+R66</f>
        <v>0</v>
      </c>
      <c r="F100" s="368">
        <f>+R80</f>
        <v>0</v>
      </c>
    </row>
    <row r="101" spans="2:7" ht="15.75">
      <c r="B101" s="111" t="s">
        <v>1576</v>
      </c>
      <c r="C101" s="112"/>
      <c r="D101" s="152"/>
      <c r="E101" s="367"/>
      <c r="F101" s="368"/>
      <c r="G101" s="369" t="s">
        <v>1577</v>
      </c>
    </row>
    <row r="102" spans="2:6" ht="15">
      <c r="B102" s="111" t="s">
        <v>1483</v>
      </c>
      <c r="C102" s="112"/>
      <c r="D102" s="152"/>
      <c r="E102" s="355">
        <v>0</v>
      </c>
      <c r="F102" s="370">
        <v>0</v>
      </c>
    </row>
    <row r="103" spans="2:6" ht="15">
      <c r="B103" s="111" t="s">
        <v>1485</v>
      </c>
      <c r="C103" s="112"/>
      <c r="D103" s="152"/>
      <c r="E103" s="371">
        <f>+E99+E100-E102</f>
        <v>0</v>
      </c>
      <c r="F103" s="372">
        <f>+F99+F100-F102</f>
        <v>0</v>
      </c>
    </row>
    <row r="104" spans="2:6" ht="15">
      <c r="B104" s="181"/>
      <c r="C104" s="182"/>
      <c r="D104" s="182"/>
      <c r="E104" s="221"/>
      <c r="F104" s="373"/>
    </row>
    <row r="105" spans="2:6" ht="15.75">
      <c r="B105" s="183" t="s">
        <v>1482</v>
      </c>
      <c r="C105" s="182"/>
      <c r="D105" s="182"/>
      <c r="E105" s="221"/>
      <c r="F105" s="373"/>
    </row>
    <row r="106" spans="2:6" ht="15">
      <c r="B106" s="181"/>
      <c r="C106" s="182"/>
      <c r="D106" s="182"/>
      <c r="E106" s="221"/>
      <c r="F106" s="373"/>
    </row>
    <row r="107" spans="2:6" ht="15">
      <c r="B107" s="181" t="s">
        <v>1484</v>
      </c>
      <c r="C107" s="182"/>
      <c r="D107" s="182"/>
      <c r="E107" s="374">
        <v>0</v>
      </c>
      <c r="F107" s="375">
        <v>0</v>
      </c>
    </row>
    <row r="108" spans="2:6" ht="15.75">
      <c r="B108" s="181" t="s">
        <v>1486</v>
      </c>
      <c r="C108" s="182"/>
      <c r="D108" s="182"/>
      <c r="E108" s="376">
        <f>+E103+E107</f>
        <v>0</v>
      </c>
      <c r="F108" s="377">
        <f>+F103+F107</f>
        <v>0</v>
      </c>
    </row>
    <row r="109" spans="2:6" ht="15">
      <c r="B109" s="184"/>
      <c r="C109" s="185"/>
      <c r="D109" s="186" t="s">
        <v>1487</v>
      </c>
      <c r="E109" s="187" t="s">
        <v>1578</v>
      </c>
      <c r="F109" s="188" t="s">
        <v>1579</v>
      </c>
    </row>
  </sheetData>
  <sheetProtection/>
  <printOptions horizontalCentered="1"/>
  <pageMargins left="0.2" right="0.18" top="0.7" bottom="0.73" header="0.5" footer="0.5"/>
  <pageSetup fitToHeight="5" horizontalDpi="600" verticalDpi="600" orientation="landscape" scale="32" r:id="rId1"/>
  <headerFooter alignWithMargins="0">
    <oddFooter>&amp;L&amp;D&amp;R&amp;F</oddFooter>
  </headerFooter>
  <rowBreaks count="1" manualBreakCount="1">
    <brk id="48" max="18" man="1"/>
  </rowBreaks>
</worksheet>
</file>

<file path=xl/worksheets/sheet12.xml><?xml version="1.0" encoding="utf-8"?>
<worksheet xmlns="http://schemas.openxmlformats.org/spreadsheetml/2006/main" xmlns:r="http://schemas.openxmlformats.org/officeDocument/2006/relationships">
  <sheetPr>
    <tabColor indexed="22"/>
  </sheetPr>
  <dimension ref="A1:BN61"/>
  <sheetViews>
    <sheetView zoomScale="75" zoomScaleNormal="75" zoomScaleSheetLayoutView="50" zoomScalePageLayoutView="0" workbookViewId="0" topLeftCell="A1">
      <selection activeCell="H15" sqref="H15"/>
    </sheetView>
  </sheetViews>
  <sheetFormatPr defaultColWidth="8.88671875" defaultRowHeight="15"/>
  <cols>
    <col min="1" max="1" width="4.21484375" style="389" customWidth="1"/>
    <col min="2" max="2" width="8.88671875" style="389" customWidth="1"/>
    <col min="3" max="3" width="13.3359375" style="389" customWidth="1"/>
    <col min="4" max="4" width="15.21484375" style="389" customWidth="1"/>
    <col min="5" max="5" width="10.77734375" style="389" customWidth="1"/>
    <col min="6" max="6" width="8.88671875" style="389" customWidth="1"/>
    <col min="7" max="7" width="13.4453125" style="389" customWidth="1"/>
    <col min="8" max="8" width="11.5546875" style="389" bestFit="1" customWidth="1"/>
    <col min="9" max="9" width="10.6640625" style="389" customWidth="1"/>
    <col min="10" max="10" width="13.4453125" style="389" bestFit="1" customWidth="1"/>
    <col min="11" max="11" width="12.99609375" style="389" customWidth="1"/>
    <col min="12" max="12" width="10.99609375" style="389" customWidth="1"/>
    <col min="13" max="13" width="13.4453125" style="389" bestFit="1" customWidth="1"/>
    <col min="14" max="15" width="10.99609375" style="389" customWidth="1"/>
    <col min="16" max="16" width="13.4453125" style="389" bestFit="1" customWidth="1"/>
    <col min="17" max="17" width="16.10546875" style="389" customWidth="1"/>
    <col min="18" max="19" width="11.88671875" style="389" customWidth="1"/>
    <col min="20" max="20" width="13.4453125" style="389" bestFit="1" customWidth="1"/>
    <col min="21" max="21" width="10.6640625" style="389" customWidth="1"/>
    <col min="22" max="22" width="11.88671875" style="389" customWidth="1"/>
    <col min="23" max="23" width="13.4453125" style="389" bestFit="1" customWidth="1"/>
    <col min="24" max="24" width="10.77734375" style="389" customWidth="1"/>
    <col min="25" max="25" width="11.6640625" style="389" customWidth="1"/>
    <col min="26" max="26" width="13.4453125" style="389" customWidth="1"/>
    <col min="27" max="27" width="11.5546875" style="389" customWidth="1"/>
    <col min="28" max="28" width="10.6640625" style="389" customWidth="1"/>
    <col min="29" max="29" width="13.4453125" style="389" bestFit="1" customWidth="1"/>
    <col min="30" max="30" width="10.77734375" style="389" customWidth="1"/>
    <col min="31" max="31" width="11.3359375" style="389" customWidth="1"/>
    <col min="32" max="32" width="13.4453125" style="389" customWidth="1"/>
    <col min="33" max="33" width="10.4453125" style="389" customWidth="1"/>
    <col min="34" max="35" width="11.4453125" style="389" customWidth="1"/>
    <col min="36" max="36" width="13.4453125" style="389" bestFit="1" customWidth="1"/>
    <col min="37" max="37" width="10.77734375" style="389" customWidth="1"/>
    <col min="38" max="38" width="12.4453125" style="389" customWidth="1"/>
    <col min="39" max="39" width="13.4453125" style="389" bestFit="1" customWidth="1"/>
    <col min="40" max="40" width="12.3359375" style="389" customWidth="1"/>
    <col min="41" max="41" width="12.6640625" style="389" customWidth="1"/>
    <col min="42" max="42" width="13.4453125" style="389" bestFit="1" customWidth="1"/>
    <col min="43" max="43" width="10.88671875" style="389" customWidth="1"/>
    <col min="44" max="44" width="11.6640625" style="389" customWidth="1"/>
    <col min="45" max="45" width="13.4453125" style="389" bestFit="1" customWidth="1"/>
    <col min="46" max="46" width="10.88671875" style="389" customWidth="1"/>
    <col min="47" max="47" width="11.6640625" style="389" customWidth="1"/>
    <col min="48" max="48" width="13.4453125" style="389" bestFit="1" customWidth="1"/>
    <col min="49" max="49" width="11.3359375" style="389" customWidth="1"/>
    <col min="50" max="50" width="11.99609375" style="389" customWidth="1"/>
    <col min="51" max="51" width="11.4453125" style="389" customWidth="1"/>
    <col min="52" max="53" width="12.10546875" style="389" customWidth="1"/>
    <col min="54" max="54" width="13.21484375" style="389" customWidth="1"/>
    <col min="55" max="66" width="12.10546875" style="389" customWidth="1"/>
    <col min="67" max="16384" width="8.88671875" style="389" customWidth="1"/>
  </cols>
  <sheetData>
    <row r="1" spans="1:66" ht="20.25">
      <c r="A1" s="295" t="s">
        <v>647</v>
      </c>
      <c r="B1" s="295"/>
      <c r="C1" s="295"/>
      <c r="D1" s="295"/>
      <c r="E1" s="295"/>
      <c r="R1" s="389" t="s">
        <v>142</v>
      </c>
      <c r="S1" s="295" t="s">
        <v>647</v>
      </c>
      <c r="AH1" s="389" t="s">
        <v>143</v>
      </c>
      <c r="AI1" s="295" t="s">
        <v>647</v>
      </c>
      <c r="AX1" s="389" t="s">
        <v>144</v>
      </c>
      <c r="AY1" s="295" t="s">
        <v>647</v>
      </c>
      <c r="BN1" s="389" t="s">
        <v>1347</v>
      </c>
    </row>
    <row r="2" spans="1:51" ht="18">
      <c r="A2" s="298" t="s">
        <v>1603</v>
      </c>
      <c r="B2" s="298"/>
      <c r="C2" s="298"/>
      <c r="D2" s="298"/>
      <c r="E2" s="298"/>
      <c r="S2" s="298" t="s">
        <v>1603</v>
      </c>
      <c r="AI2" s="298" t="s">
        <v>1603</v>
      </c>
      <c r="AY2" s="298" t="s">
        <v>1603</v>
      </c>
    </row>
    <row r="3" spans="1:51" ht="18">
      <c r="A3" s="637" t="str">
        <f>+'Actual Net Rev Req'!$C$4</f>
        <v>For the 12 months ended - December 31, 2008</v>
      </c>
      <c r="B3" s="825"/>
      <c r="C3" s="825"/>
      <c r="D3" s="825"/>
      <c r="E3" s="825"/>
      <c r="S3" s="637" t="str">
        <f>+'Actual Net Rev Req'!$C$4</f>
        <v>For the 12 months ended - December 31, 2008</v>
      </c>
      <c r="AI3" s="637" t="str">
        <f>+'Actual Net Rev Req'!$C$4</f>
        <v>For the 12 months ended - December 31, 2008</v>
      </c>
      <c r="AY3" s="637" t="str">
        <f>+'Actual Net Rev Req'!$C$4</f>
        <v>For the 12 months ended - December 31, 2008</v>
      </c>
    </row>
    <row r="4" spans="1:5" ht="18">
      <c r="A4" s="637"/>
      <c r="B4" s="825"/>
      <c r="C4" s="825"/>
      <c r="D4" s="825"/>
      <c r="E4" s="825"/>
    </row>
    <row r="5" ht="12.75">
      <c r="B5" s="436" t="s">
        <v>418</v>
      </c>
    </row>
    <row r="6" spans="1:5" ht="12.75">
      <c r="A6" s="391">
        <f>A5+1</f>
        <v>1</v>
      </c>
      <c r="B6" s="389" t="s">
        <v>1503</v>
      </c>
      <c r="E6" s="1088">
        <f>E23</f>
        <v>32957258</v>
      </c>
    </row>
    <row r="7" spans="1:5" ht="12.75">
      <c r="A7" s="391">
        <f>A6+1</f>
        <v>2</v>
      </c>
      <c r="B7" s="389" t="s">
        <v>411</v>
      </c>
      <c r="D7" s="389" t="s">
        <v>413</v>
      </c>
      <c r="E7" s="1089">
        <f>'Actual Net Rev Req'!J31</f>
        <v>0.1672073709099235</v>
      </c>
    </row>
    <row r="8" spans="1:5" ht="12.75">
      <c r="A8" s="391">
        <f>A7+1</f>
        <v>3</v>
      </c>
      <c r="B8" s="389" t="s">
        <v>63</v>
      </c>
      <c r="D8" s="389" t="s">
        <v>414</v>
      </c>
      <c r="E8" s="415">
        <f>ROUND(E6*E7,0)</f>
        <v>5510696</v>
      </c>
    </row>
    <row r="9" spans="1:5" ht="12.75">
      <c r="A9" s="391">
        <f>A8+1</f>
        <v>4</v>
      </c>
      <c r="B9" s="389" t="s">
        <v>415</v>
      </c>
      <c r="D9" s="389" t="s">
        <v>419</v>
      </c>
      <c r="E9" s="1090">
        <f>'A-11 (Incentive Plant)'!F63</f>
        <v>0</v>
      </c>
    </row>
    <row r="10" spans="1:5" ht="13.5" thickBot="1">
      <c r="A10" s="391">
        <f>A9+1</f>
        <v>5</v>
      </c>
      <c r="B10" s="389" t="s">
        <v>416</v>
      </c>
      <c r="D10" s="389" t="s">
        <v>417</v>
      </c>
      <c r="E10" s="1091">
        <f>E8+E9</f>
        <v>5510696</v>
      </c>
    </row>
    <row r="11" ht="13.5" thickTop="1"/>
    <row r="12" spans="10:51" ht="12.75">
      <c r="J12" s="436"/>
      <c r="S12" s="394"/>
      <c r="AI12" s="394"/>
      <c r="AY12" s="394"/>
    </row>
    <row r="13" spans="1:66" ht="32.25" customHeight="1">
      <c r="A13" s="391">
        <f>A10+1</f>
        <v>6</v>
      </c>
      <c r="G13" s="392" t="s">
        <v>625</v>
      </c>
      <c r="H13" s="410" t="s">
        <v>1088</v>
      </c>
      <c r="I13" s="419"/>
      <c r="J13" s="392" t="s">
        <v>625</v>
      </c>
      <c r="K13" s="410" t="s">
        <v>1091</v>
      </c>
      <c r="L13" s="419"/>
      <c r="M13" s="392" t="s">
        <v>625</v>
      </c>
      <c r="N13" s="410" t="s">
        <v>498</v>
      </c>
      <c r="O13" s="419"/>
      <c r="P13" s="392" t="s">
        <v>625</v>
      </c>
      <c r="Q13" s="410" t="s">
        <v>503</v>
      </c>
      <c r="R13" s="419"/>
      <c r="S13" s="409"/>
      <c r="T13" s="392" t="s">
        <v>625</v>
      </c>
      <c r="U13" s="410" t="s">
        <v>506</v>
      </c>
      <c r="V13" s="419"/>
      <c r="W13" s="392" t="s">
        <v>625</v>
      </c>
      <c r="X13" s="410" t="s">
        <v>507</v>
      </c>
      <c r="Y13" s="419"/>
      <c r="Z13" s="392" t="s">
        <v>625</v>
      </c>
      <c r="AA13" s="410" t="s">
        <v>508</v>
      </c>
      <c r="AB13" s="419"/>
      <c r="AC13" s="392" t="s">
        <v>625</v>
      </c>
      <c r="AD13" s="410" t="s">
        <v>509</v>
      </c>
      <c r="AE13" s="419"/>
      <c r="AF13" s="392" t="s">
        <v>625</v>
      </c>
      <c r="AG13" s="410" t="s">
        <v>510</v>
      </c>
      <c r="AH13" s="419"/>
      <c r="AI13" s="409"/>
      <c r="AJ13" s="392" t="s">
        <v>625</v>
      </c>
      <c r="AK13" s="410" t="s">
        <v>524</v>
      </c>
      <c r="AL13" s="419"/>
      <c r="AM13" s="392" t="s">
        <v>625</v>
      </c>
      <c r="AN13" s="410" t="s">
        <v>1567</v>
      </c>
      <c r="AO13" s="419"/>
      <c r="AP13" s="392" t="s">
        <v>625</v>
      </c>
      <c r="AQ13" s="1448" t="s">
        <v>1342</v>
      </c>
      <c r="AR13" s="1449"/>
      <c r="AS13" s="392" t="s">
        <v>625</v>
      </c>
      <c r="AT13" s="1448" t="s">
        <v>1341</v>
      </c>
      <c r="AU13" s="1449"/>
      <c r="AV13" s="392" t="s">
        <v>625</v>
      </c>
      <c r="AW13" s="410" t="s">
        <v>1348</v>
      </c>
      <c r="AX13" s="419"/>
      <c r="AY13" s="409"/>
      <c r="AZ13" s="392" t="s">
        <v>625</v>
      </c>
      <c r="BA13" s="410" t="s">
        <v>997</v>
      </c>
      <c r="BB13" s="419"/>
      <c r="BC13" s="392" t="s">
        <v>625</v>
      </c>
      <c r="BD13" s="410" t="s">
        <v>1344</v>
      </c>
      <c r="BE13" s="419"/>
      <c r="BF13" s="392" t="s">
        <v>625</v>
      </c>
      <c r="BG13" s="1448" t="s">
        <v>1351</v>
      </c>
      <c r="BH13" s="1449"/>
      <c r="BI13" s="392" t="s">
        <v>625</v>
      </c>
      <c r="BJ13" s="1448"/>
      <c r="BK13" s="1449"/>
      <c r="BL13" s="392" t="s">
        <v>625</v>
      </c>
      <c r="BM13" s="410"/>
      <c r="BN13" s="419"/>
    </row>
    <row r="14" spans="1:66" ht="138" customHeight="1">
      <c r="A14" s="391">
        <f aca="true" t="shared" si="0" ref="A14:A19">A13+1</f>
        <v>7</v>
      </c>
      <c r="G14" s="408" t="s">
        <v>645</v>
      </c>
      <c r="H14" s="1304" t="s">
        <v>1089</v>
      </c>
      <c r="I14" s="1341" t="s">
        <v>1090</v>
      </c>
      <c r="J14" s="408" t="s">
        <v>645</v>
      </c>
      <c r="K14" s="1304" t="s">
        <v>496</v>
      </c>
      <c r="L14" s="1341" t="s">
        <v>501</v>
      </c>
      <c r="M14" s="408" t="s">
        <v>645</v>
      </c>
      <c r="N14" s="1304" t="s">
        <v>499</v>
      </c>
      <c r="O14" s="1305" t="s">
        <v>500</v>
      </c>
      <c r="P14" s="408" t="s">
        <v>645</v>
      </c>
      <c r="Q14" s="1304" t="s">
        <v>504</v>
      </c>
      <c r="R14" s="1305" t="s">
        <v>502</v>
      </c>
      <c r="S14" s="409"/>
      <c r="T14" s="408" t="s">
        <v>645</v>
      </c>
      <c r="U14" s="1304" t="s">
        <v>511</v>
      </c>
      <c r="V14" s="1341" t="s">
        <v>512</v>
      </c>
      <c r="W14" s="408" t="s">
        <v>645</v>
      </c>
      <c r="X14" s="1304" t="s">
        <v>513</v>
      </c>
      <c r="Y14" s="1341" t="s">
        <v>514</v>
      </c>
      <c r="Z14" s="408" t="s">
        <v>645</v>
      </c>
      <c r="AA14" s="1304" t="s">
        <v>515</v>
      </c>
      <c r="AB14" s="1341" t="s">
        <v>516</v>
      </c>
      <c r="AC14" s="408" t="s">
        <v>645</v>
      </c>
      <c r="AD14" s="1304" t="s">
        <v>517</v>
      </c>
      <c r="AE14" s="1341" t="s">
        <v>518</v>
      </c>
      <c r="AF14" s="408" t="s">
        <v>645</v>
      </c>
      <c r="AG14" s="1304" t="s">
        <v>519</v>
      </c>
      <c r="AH14" s="1341" t="s">
        <v>520</v>
      </c>
      <c r="AI14" s="409"/>
      <c r="AJ14" s="408" t="s">
        <v>645</v>
      </c>
      <c r="AK14" s="1304" t="s">
        <v>525</v>
      </c>
      <c r="AL14" s="1341" t="s">
        <v>522</v>
      </c>
      <c r="AM14" s="408" t="s">
        <v>645</v>
      </c>
      <c r="AN14" s="1304" t="s">
        <v>1568</v>
      </c>
      <c r="AO14" s="1305" t="s">
        <v>1569</v>
      </c>
      <c r="AP14" s="408" t="s">
        <v>645</v>
      </c>
      <c r="AQ14" s="1304" t="s">
        <v>722</v>
      </c>
      <c r="AR14" s="1305" t="s">
        <v>723</v>
      </c>
      <c r="AS14" s="408" t="s">
        <v>645</v>
      </c>
      <c r="AT14" s="1304" t="s">
        <v>1340</v>
      </c>
      <c r="AU14" s="1305" t="s">
        <v>1343</v>
      </c>
      <c r="AV14" s="408" t="s">
        <v>645</v>
      </c>
      <c r="AW14" s="1304" t="s">
        <v>1349</v>
      </c>
      <c r="AX14" s="1341" t="s">
        <v>1350</v>
      </c>
      <c r="AY14" s="409"/>
      <c r="AZ14" s="408" t="s">
        <v>645</v>
      </c>
      <c r="BA14" s="1304" t="s">
        <v>998</v>
      </c>
      <c r="BB14" s="1341"/>
      <c r="BC14" s="408" t="s">
        <v>645</v>
      </c>
      <c r="BD14" s="1304" t="s">
        <v>1345</v>
      </c>
      <c r="BE14" s="1305" t="s">
        <v>1346</v>
      </c>
      <c r="BF14" s="408" t="s">
        <v>645</v>
      </c>
      <c r="BG14" s="1304"/>
      <c r="BH14" s="1305"/>
      <c r="BI14" s="408" t="s">
        <v>645</v>
      </c>
      <c r="BJ14" s="1304"/>
      <c r="BK14" s="1305"/>
      <c r="BL14" s="408" t="s">
        <v>645</v>
      </c>
      <c r="BM14" s="1304"/>
      <c r="BN14" s="1305"/>
    </row>
    <row r="15" spans="1:66" ht="12.75">
      <c r="A15" s="391">
        <f t="shared" si="0"/>
        <v>8</v>
      </c>
      <c r="G15" s="393" t="s">
        <v>1231</v>
      </c>
      <c r="H15" s="456">
        <f>IF('Actual Gross Rev'!$G$17=0,0,'Actual Gross Rev'!$G$90/'Actual Gross Rev'!$G$17)</f>
        <v>0.018414190188755217</v>
      </c>
      <c r="I15" s="421" t="s">
        <v>1165</v>
      </c>
      <c r="J15" s="393" t="s">
        <v>1231</v>
      </c>
      <c r="K15" s="456">
        <f>IF('Actual Gross Rev'!$G$17=0,0,'Actual Gross Rev'!$G$90/'Actual Gross Rev'!$G$17)</f>
        <v>0.018414190188755217</v>
      </c>
      <c r="L15" s="421" t="s">
        <v>1165</v>
      </c>
      <c r="M15" s="393" t="s">
        <v>1231</v>
      </c>
      <c r="N15" s="456">
        <f>IF('Actual Gross Rev'!$G$17=0,0,'Actual Gross Rev'!$G$90/'Actual Gross Rev'!$G$17)</f>
        <v>0.018414190188755217</v>
      </c>
      <c r="O15" s="421" t="s">
        <v>1165</v>
      </c>
      <c r="P15" s="393" t="s">
        <v>1231</v>
      </c>
      <c r="Q15" s="456">
        <f>IF('Actual Gross Rev'!$G$17=0,0,'Actual Gross Rev'!$G$90/'Actual Gross Rev'!$G$17)</f>
        <v>0.018414190188755217</v>
      </c>
      <c r="R15" s="421" t="s">
        <v>1165</v>
      </c>
      <c r="S15" s="394"/>
      <c r="T15" s="393" t="s">
        <v>1231</v>
      </c>
      <c r="U15" s="456">
        <f>IF('Actual Gross Rev'!$G$17=0,0,'Actual Gross Rev'!$G$90/'Actual Gross Rev'!$G$17)</f>
        <v>0.018414190188755217</v>
      </c>
      <c r="V15" s="421" t="s">
        <v>1165</v>
      </c>
      <c r="W15" s="393" t="s">
        <v>1231</v>
      </c>
      <c r="X15" s="456">
        <f>IF('Actual Gross Rev'!$G$17=0,0,'Actual Gross Rev'!$G$90/'Actual Gross Rev'!$G$17)</f>
        <v>0.018414190188755217</v>
      </c>
      <c r="Y15" s="421" t="s">
        <v>1165</v>
      </c>
      <c r="Z15" s="393" t="s">
        <v>1231</v>
      </c>
      <c r="AA15" s="456">
        <f>IF('Actual Gross Rev'!$G$17=0,0,'Actual Gross Rev'!$G$90/'Actual Gross Rev'!$G$17)</f>
        <v>0.018414190188755217</v>
      </c>
      <c r="AB15" s="421" t="s">
        <v>1165</v>
      </c>
      <c r="AC15" s="393" t="s">
        <v>1231</v>
      </c>
      <c r="AD15" s="456">
        <f>IF('Actual Gross Rev'!$G$17=0,0,'Actual Gross Rev'!$G$90/'Actual Gross Rev'!$G$17)</f>
        <v>0.018414190188755217</v>
      </c>
      <c r="AE15" s="421" t="s">
        <v>1165</v>
      </c>
      <c r="AF15" s="393" t="s">
        <v>1231</v>
      </c>
      <c r="AG15" s="456">
        <f>IF('Actual Gross Rev'!$G$17=0,0,'Actual Gross Rev'!$G$90/'Actual Gross Rev'!$G$17)</f>
        <v>0.018414190188755217</v>
      </c>
      <c r="AH15" s="421" t="s">
        <v>1165</v>
      </c>
      <c r="AI15" s="394"/>
      <c r="AJ15" s="393" t="s">
        <v>1231</v>
      </c>
      <c r="AK15" s="456">
        <f>IF('Actual Gross Rev'!$G$17=0,0,'Actual Gross Rev'!$G$90/'Actual Gross Rev'!$G$17)</f>
        <v>0.018414190188755217</v>
      </c>
      <c r="AL15" s="421" t="s">
        <v>1165</v>
      </c>
      <c r="AM15" s="393" t="s">
        <v>1231</v>
      </c>
      <c r="AN15" s="456">
        <f>IF('Actual Gross Rev'!$G$17=0,0,'Actual Gross Rev'!$G$90/'Actual Gross Rev'!$G$17)</f>
        <v>0.018414190188755217</v>
      </c>
      <c r="AO15" s="421" t="s">
        <v>1165</v>
      </c>
      <c r="AP15" s="393" t="s">
        <v>1231</v>
      </c>
      <c r="AQ15" s="456">
        <f>IF('Actual Gross Rev'!$G$17=0,0,'Actual Gross Rev'!$G$90/'Actual Gross Rev'!$G$17)</f>
        <v>0.018414190188755217</v>
      </c>
      <c r="AR15" s="421" t="s">
        <v>1165</v>
      </c>
      <c r="AS15" s="393" t="s">
        <v>1231</v>
      </c>
      <c r="AT15" s="456">
        <f>IF('Actual Gross Rev'!$G$17=0,0,'Actual Gross Rev'!$G$90/'Actual Gross Rev'!$G$17)</f>
        <v>0.018414190188755217</v>
      </c>
      <c r="AU15" s="421" t="s">
        <v>1165</v>
      </c>
      <c r="AV15" s="393" t="s">
        <v>1231</v>
      </c>
      <c r="AW15" s="456">
        <f>IF('Actual Gross Rev'!$G$17=0,0,'Actual Gross Rev'!$G$90/'Actual Gross Rev'!$G$17)</f>
        <v>0.018414190188755217</v>
      </c>
      <c r="AX15" s="421" t="s">
        <v>1165</v>
      </c>
      <c r="AY15" s="394"/>
      <c r="AZ15" s="393" t="s">
        <v>1231</v>
      </c>
      <c r="BA15" s="456">
        <f>IF('Actual Gross Rev'!$G$17=0,0,'Actual Gross Rev'!$G$90/'Actual Gross Rev'!$G$17)</f>
        <v>0.018414190188755217</v>
      </c>
      <c r="BB15" s="421" t="s">
        <v>1165</v>
      </c>
      <c r="BC15" s="393" t="s">
        <v>1231</v>
      </c>
      <c r="BD15" s="456">
        <f>IF('Actual Gross Rev'!$G$17=0,0,'Actual Gross Rev'!$G$90/'Actual Gross Rev'!$G$17)</f>
        <v>0.018414190188755217</v>
      </c>
      <c r="BE15" s="421" t="s">
        <v>1165</v>
      </c>
      <c r="BF15" s="393" t="s">
        <v>1231</v>
      </c>
      <c r="BG15" s="456">
        <f>IF('Actual Gross Rev'!$G$17=0,0,'Actual Gross Rev'!$G$90/'Actual Gross Rev'!$G$17)</f>
        <v>0.018414190188755217</v>
      </c>
      <c r="BH15" s="421" t="s">
        <v>1165</v>
      </c>
      <c r="BI15" s="393" t="s">
        <v>1231</v>
      </c>
      <c r="BJ15" s="456">
        <f>IF('Actual Gross Rev'!$G$17=0,0,'Actual Gross Rev'!$G$90/'Actual Gross Rev'!$G$17)</f>
        <v>0.018414190188755217</v>
      </c>
      <c r="BK15" s="421" t="s">
        <v>1165</v>
      </c>
      <c r="BL15" s="393" t="s">
        <v>1231</v>
      </c>
      <c r="BM15" s="456">
        <f>IF('Actual Gross Rev'!$G$17=0,0,'Actual Gross Rev'!$G$90/'Actual Gross Rev'!$G$17)</f>
        <v>0.018414190188755217</v>
      </c>
      <c r="BN15" s="421" t="s">
        <v>1165</v>
      </c>
    </row>
    <row r="16" spans="1:66" ht="12.75">
      <c r="A16" s="391">
        <f t="shared" si="0"/>
        <v>9</v>
      </c>
      <c r="G16" s="393" t="s">
        <v>630</v>
      </c>
      <c r="H16" s="406">
        <v>4076108</v>
      </c>
      <c r="I16" s="421"/>
      <c r="J16" s="393" t="s">
        <v>630</v>
      </c>
      <c r="K16" s="406">
        <v>639602</v>
      </c>
      <c r="L16" s="421"/>
      <c r="M16" s="393" t="s">
        <v>630</v>
      </c>
      <c r="N16" s="406">
        <v>5714721</v>
      </c>
      <c r="O16" s="421"/>
      <c r="P16" s="393" t="s">
        <v>630</v>
      </c>
      <c r="Q16" s="406">
        <v>1555609</v>
      </c>
      <c r="R16" s="421"/>
      <c r="S16" s="394"/>
      <c r="T16" s="393" t="s">
        <v>630</v>
      </c>
      <c r="U16" s="406">
        <v>0</v>
      </c>
      <c r="V16" s="421"/>
      <c r="W16" s="393" t="s">
        <v>630</v>
      </c>
      <c r="X16" s="406">
        <v>0</v>
      </c>
      <c r="Y16" s="421"/>
      <c r="Z16" s="393" t="s">
        <v>630</v>
      </c>
      <c r="AA16" s="406"/>
      <c r="AB16" s="421"/>
      <c r="AC16" s="393" t="s">
        <v>630</v>
      </c>
      <c r="AD16" s="406">
        <v>0</v>
      </c>
      <c r="AE16" s="421"/>
      <c r="AF16" s="393" t="s">
        <v>630</v>
      </c>
      <c r="AG16" s="406">
        <v>0</v>
      </c>
      <c r="AH16" s="421"/>
      <c r="AI16" s="394"/>
      <c r="AJ16" s="393" t="s">
        <v>630</v>
      </c>
      <c r="AK16" s="406"/>
      <c r="AL16" s="421"/>
      <c r="AM16" s="393" t="s">
        <v>630</v>
      </c>
      <c r="AN16" s="406">
        <v>0</v>
      </c>
      <c r="AO16" s="421"/>
      <c r="AP16" s="393" t="s">
        <v>630</v>
      </c>
      <c r="AQ16" s="406"/>
      <c r="AR16" s="421"/>
      <c r="AS16" s="393" t="s">
        <v>630</v>
      </c>
      <c r="AT16" s="406"/>
      <c r="AU16" s="421"/>
      <c r="AV16" s="393" t="s">
        <v>630</v>
      </c>
      <c r="AW16" s="406"/>
      <c r="AX16" s="421"/>
      <c r="AY16" s="394"/>
      <c r="AZ16" s="393" t="s">
        <v>630</v>
      </c>
      <c r="BA16" s="406"/>
      <c r="BB16" s="421"/>
      <c r="BC16" s="393" t="s">
        <v>630</v>
      </c>
      <c r="BD16" s="406"/>
      <c r="BE16" s="421"/>
      <c r="BF16" s="393" t="s">
        <v>630</v>
      </c>
      <c r="BG16" s="406"/>
      <c r="BH16" s="421"/>
      <c r="BI16" s="393" t="s">
        <v>630</v>
      </c>
      <c r="BJ16" s="406"/>
      <c r="BK16" s="421"/>
      <c r="BL16" s="393" t="s">
        <v>630</v>
      </c>
      <c r="BM16" s="406"/>
      <c r="BN16" s="421"/>
    </row>
    <row r="17" spans="1:66" ht="12.75">
      <c r="A17" s="391">
        <f t="shared" si="0"/>
        <v>10</v>
      </c>
      <c r="C17" s="1450" t="s">
        <v>1106</v>
      </c>
      <c r="D17" s="1450"/>
      <c r="E17" s="1450"/>
      <c r="F17" s="394"/>
      <c r="G17" s="393" t="s">
        <v>631</v>
      </c>
      <c r="H17" s="398">
        <v>36009</v>
      </c>
      <c r="I17" s="421"/>
      <c r="J17" s="393" t="s">
        <v>631</v>
      </c>
      <c r="K17" s="398">
        <v>1202</v>
      </c>
      <c r="L17" s="421"/>
      <c r="M17" s="393" t="s">
        <v>631</v>
      </c>
      <c r="N17" s="398">
        <v>65466</v>
      </c>
      <c r="O17" s="421"/>
      <c r="P17" s="393" t="s">
        <v>631</v>
      </c>
      <c r="Q17" s="398">
        <v>17449</v>
      </c>
      <c r="R17" s="421"/>
      <c r="S17" s="394"/>
      <c r="T17" s="393" t="s">
        <v>631</v>
      </c>
      <c r="U17" s="398">
        <v>0</v>
      </c>
      <c r="V17" s="421"/>
      <c r="W17" s="393" t="s">
        <v>631</v>
      </c>
      <c r="X17" s="398">
        <v>0</v>
      </c>
      <c r="Y17" s="421"/>
      <c r="Z17" s="393" t="s">
        <v>631</v>
      </c>
      <c r="AA17" s="398"/>
      <c r="AB17" s="421"/>
      <c r="AC17" s="393" t="s">
        <v>631</v>
      </c>
      <c r="AD17" s="398">
        <v>0</v>
      </c>
      <c r="AE17" s="421"/>
      <c r="AF17" s="393" t="s">
        <v>631</v>
      </c>
      <c r="AG17" s="398">
        <v>0</v>
      </c>
      <c r="AH17" s="421"/>
      <c r="AI17" s="394"/>
      <c r="AJ17" s="393" t="s">
        <v>631</v>
      </c>
      <c r="AK17" s="398"/>
      <c r="AL17" s="421"/>
      <c r="AM17" s="393" t="s">
        <v>631</v>
      </c>
      <c r="AN17" s="398">
        <v>0</v>
      </c>
      <c r="AO17" s="421"/>
      <c r="AP17" s="393" t="s">
        <v>631</v>
      </c>
      <c r="AQ17" s="398"/>
      <c r="AR17" s="421"/>
      <c r="AS17" s="393" t="s">
        <v>631</v>
      </c>
      <c r="AT17" s="398"/>
      <c r="AU17" s="421"/>
      <c r="AV17" s="393" t="s">
        <v>631</v>
      </c>
      <c r="AW17" s="398"/>
      <c r="AX17" s="421"/>
      <c r="AY17" s="394"/>
      <c r="AZ17" s="393" t="s">
        <v>631</v>
      </c>
      <c r="BA17" s="398"/>
      <c r="BB17" s="421"/>
      <c r="BC17" s="393" t="s">
        <v>631</v>
      </c>
      <c r="BD17" s="398"/>
      <c r="BE17" s="421"/>
      <c r="BF17" s="393" t="s">
        <v>631</v>
      </c>
      <c r="BG17" s="398"/>
      <c r="BH17" s="421"/>
      <c r="BI17" s="393" t="s">
        <v>631</v>
      </c>
      <c r="BJ17" s="398"/>
      <c r="BK17" s="421"/>
      <c r="BL17" s="393" t="s">
        <v>631</v>
      </c>
      <c r="BM17" s="398"/>
      <c r="BN17" s="421"/>
    </row>
    <row r="18" spans="1:66" ht="12.75">
      <c r="A18" s="391">
        <f t="shared" si="0"/>
        <v>11</v>
      </c>
      <c r="G18" s="393" t="s">
        <v>648</v>
      </c>
      <c r="H18" s="454" t="s">
        <v>500</v>
      </c>
      <c r="I18" s="421"/>
      <c r="J18" s="393" t="s">
        <v>648</v>
      </c>
      <c r="K18" s="454" t="s">
        <v>497</v>
      </c>
      <c r="L18" s="1342"/>
      <c r="M18" s="393" t="s">
        <v>648</v>
      </c>
      <c r="N18" s="454" t="s">
        <v>502</v>
      </c>
      <c r="O18" s="827"/>
      <c r="P18" s="393" t="s">
        <v>648</v>
      </c>
      <c r="Q18" s="454" t="s">
        <v>505</v>
      </c>
      <c r="R18" s="421"/>
      <c r="S18" s="394"/>
      <c r="T18" s="393" t="s">
        <v>648</v>
      </c>
      <c r="U18" s="454" t="s">
        <v>521</v>
      </c>
      <c r="V18" s="1330"/>
      <c r="W18" s="393" t="s">
        <v>648</v>
      </c>
      <c r="X18" s="454" t="s">
        <v>522</v>
      </c>
      <c r="Y18" s="421"/>
      <c r="Z18" s="393" t="s">
        <v>648</v>
      </c>
      <c r="AA18" s="454" t="s">
        <v>523</v>
      </c>
      <c r="AB18" s="421"/>
      <c r="AC18" s="393" t="s">
        <v>648</v>
      </c>
      <c r="AD18" s="454" t="s">
        <v>522</v>
      </c>
      <c r="AE18" s="421"/>
      <c r="AF18" s="393" t="s">
        <v>648</v>
      </c>
      <c r="AG18" s="454" t="s">
        <v>523</v>
      </c>
      <c r="AH18" s="421"/>
      <c r="AI18" s="394"/>
      <c r="AJ18" s="393" t="s">
        <v>648</v>
      </c>
      <c r="AK18" s="454" t="s">
        <v>523</v>
      </c>
      <c r="AL18" s="421"/>
      <c r="AM18" s="393" t="s">
        <v>648</v>
      </c>
      <c r="AN18" s="1309" t="s">
        <v>1570</v>
      </c>
      <c r="AO18" s="421"/>
      <c r="AP18" s="393" t="s">
        <v>648</v>
      </c>
      <c r="AQ18" s="454" t="s">
        <v>724</v>
      </c>
      <c r="AR18" s="421"/>
      <c r="AS18" s="393" t="s">
        <v>648</v>
      </c>
      <c r="AT18" s="1309" t="s">
        <v>526</v>
      </c>
      <c r="AU18" s="421"/>
      <c r="AV18" s="393" t="s">
        <v>648</v>
      </c>
      <c r="AW18" s="454" t="s">
        <v>526</v>
      </c>
      <c r="AX18" s="421"/>
      <c r="AY18" s="394"/>
      <c r="AZ18" s="393" t="s">
        <v>648</v>
      </c>
      <c r="BA18" s="454" t="s">
        <v>724</v>
      </c>
      <c r="BB18" s="421"/>
      <c r="BC18" s="393" t="s">
        <v>648</v>
      </c>
      <c r="BD18" s="454" t="s">
        <v>1000</v>
      </c>
      <c r="BE18" s="421"/>
      <c r="BF18" s="393" t="s">
        <v>648</v>
      </c>
      <c r="BG18" s="454"/>
      <c r="BH18" s="421"/>
      <c r="BI18" s="393" t="s">
        <v>648</v>
      </c>
      <c r="BJ18" s="1309"/>
      <c r="BK18" s="421"/>
      <c r="BL18" s="393" t="s">
        <v>648</v>
      </c>
      <c r="BM18" s="454"/>
      <c r="BN18" s="421"/>
    </row>
    <row r="19" spans="1:66" ht="12.75">
      <c r="A19" s="391">
        <f t="shared" si="0"/>
        <v>12</v>
      </c>
      <c r="G19" s="393" t="s">
        <v>1738</v>
      </c>
      <c r="H19" s="514" t="s">
        <v>1187</v>
      </c>
      <c r="I19" s="827" t="s">
        <v>1737</v>
      </c>
      <c r="J19" s="393" t="s">
        <v>1738</v>
      </c>
      <c r="K19" s="514" t="s">
        <v>1086</v>
      </c>
      <c r="L19" s="827" t="s">
        <v>1737</v>
      </c>
      <c r="M19" s="393" t="s">
        <v>1738</v>
      </c>
      <c r="N19" s="514" t="s">
        <v>1086</v>
      </c>
      <c r="O19" s="827" t="s">
        <v>1737</v>
      </c>
      <c r="P19" s="393" t="s">
        <v>1738</v>
      </c>
      <c r="Q19" s="514" t="s">
        <v>1086</v>
      </c>
      <c r="R19" s="827" t="s">
        <v>1737</v>
      </c>
      <c r="S19" s="826"/>
      <c r="T19" s="393" t="s">
        <v>1738</v>
      </c>
      <c r="U19" s="514" t="s">
        <v>1086</v>
      </c>
      <c r="V19" s="827" t="s">
        <v>1737</v>
      </c>
      <c r="W19" s="393" t="s">
        <v>1738</v>
      </c>
      <c r="X19" s="514" t="s">
        <v>1086</v>
      </c>
      <c r="Y19" s="827" t="s">
        <v>1737</v>
      </c>
      <c r="Z19" s="393" t="s">
        <v>1738</v>
      </c>
      <c r="AA19" s="514" t="s">
        <v>1086</v>
      </c>
      <c r="AB19" s="827" t="s">
        <v>1737</v>
      </c>
      <c r="AC19" s="393" t="s">
        <v>1738</v>
      </c>
      <c r="AD19" s="514" t="s">
        <v>1086</v>
      </c>
      <c r="AE19" s="827" t="s">
        <v>1737</v>
      </c>
      <c r="AF19" s="393" t="s">
        <v>1738</v>
      </c>
      <c r="AG19" s="514" t="s">
        <v>1086</v>
      </c>
      <c r="AH19" s="827" t="s">
        <v>1737</v>
      </c>
      <c r="AI19" s="827"/>
      <c r="AJ19" s="393" t="s">
        <v>1738</v>
      </c>
      <c r="AK19" s="514" t="s">
        <v>1086</v>
      </c>
      <c r="AL19" s="827" t="s">
        <v>1737</v>
      </c>
      <c r="AM19" s="393" t="s">
        <v>1738</v>
      </c>
      <c r="AN19" s="514" t="s">
        <v>1086</v>
      </c>
      <c r="AO19" s="827" t="s">
        <v>1737</v>
      </c>
      <c r="AP19" s="393" t="s">
        <v>1738</v>
      </c>
      <c r="AQ19" s="514" t="s">
        <v>1086</v>
      </c>
      <c r="AR19" s="827" t="s">
        <v>1737</v>
      </c>
      <c r="AS19" s="393" t="s">
        <v>1738</v>
      </c>
      <c r="AT19" s="514" t="s">
        <v>1086</v>
      </c>
      <c r="AU19" s="827" t="s">
        <v>1737</v>
      </c>
      <c r="AV19" s="393" t="s">
        <v>1738</v>
      </c>
      <c r="AW19" s="514" t="s">
        <v>1086</v>
      </c>
      <c r="AX19" s="827" t="s">
        <v>1737</v>
      </c>
      <c r="AY19" s="421"/>
      <c r="AZ19" s="393" t="s">
        <v>1738</v>
      </c>
      <c r="BA19" s="514" t="s">
        <v>1086</v>
      </c>
      <c r="BB19" s="827" t="s">
        <v>1737</v>
      </c>
      <c r="BC19" s="393" t="s">
        <v>1738</v>
      </c>
      <c r="BD19" s="514" t="s">
        <v>1086</v>
      </c>
      <c r="BE19" s="827" t="s">
        <v>1737</v>
      </c>
      <c r="BF19" s="393" t="s">
        <v>1738</v>
      </c>
      <c r="BG19" s="514" t="s">
        <v>1086</v>
      </c>
      <c r="BH19" s="826" t="s">
        <v>1737</v>
      </c>
      <c r="BI19" s="393" t="s">
        <v>1738</v>
      </c>
      <c r="BJ19" s="514" t="s">
        <v>1086</v>
      </c>
      <c r="BK19" s="826" t="s">
        <v>1737</v>
      </c>
      <c r="BL19" s="393" t="s">
        <v>1738</v>
      </c>
      <c r="BM19" s="514" t="s">
        <v>1086</v>
      </c>
      <c r="BN19" s="827" t="s">
        <v>1737</v>
      </c>
    </row>
    <row r="20" spans="2:66" ht="12.75">
      <c r="B20" s="416" t="s">
        <v>845</v>
      </c>
      <c r="C20" s="385" t="s">
        <v>88</v>
      </c>
      <c r="D20" s="385" t="s">
        <v>649</v>
      </c>
      <c r="E20" s="385" t="s">
        <v>1491</v>
      </c>
      <c r="F20" s="416" t="s">
        <v>845</v>
      </c>
      <c r="G20" s="401" t="s">
        <v>88</v>
      </c>
      <c r="H20" s="402" t="s">
        <v>649</v>
      </c>
      <c r="I20" s="422" t="s">
        <v>1491</v>
      </c>
      <c r="J20" s="401" t="s">
        <v>88</v>
      </c>
      <c r="K20" s="402" t="s">
        <v>649</v>
      </c>
      <c r="L20" s="422" t="s">
        <v>1491</v>
      </c>
      <c r="M20" s="401" t="s">
        <v>88</v>
      </c>
      <c r="N20" s="402" t="s">
        <v>649</v>
      </c>
      <c r="O20" s="422" t="s">
        <v>1491</v>
      </c>
      <c r="P20" s="401" t="s">
        <v>88</v>
      </c>
      <c r="Q20" s="402" t="s">
        <v>649</v>
      </c>
      <c r="R20" s="422" t="s">
        <v>1491</v>
      </c>
      <c r="S20" s="416" t="s">
        <v>845</v>
      </c>
      <c r="T20" s="401" t="s">
        <v>88</v>
      </c>
      <c r="U20" s="402" t="s">
        <v>649</v>
      </c>
      <c r="V20" s="422" t="s">
        <v>1491</v>
      </c>
      <c r="W20" s="401" t="s">
        <v>88</v>
      </c>
      <c r="X20" s="402" t="s">
        <v>649</v>
      </c>
      <c r="Y20" s="422" t="s">
        <v>1491</v>
      </c>
      <c r="Z20" s="401" t="s">
        <v>88</v>
      </c>
      <c r="AA20" s="402" t="s">
        <v>649</v>
      </c>
      <c r="AB20" s="422" t="s">
        <v>1491</v>
      </c>
      <c r="AC20" s="401" t="s">
        <v>88</v>
      </c>
      <c r="AD20" s="402" t="s">
        <v>649</v>
      </c>
      <c r="AE20" s="422" t="s">
        <v>1491</v>
      </c>
      <c r="AF20" s="401" t="s">
        <v>88</v>
      </c>
      <c r="AG20" s="402" t="s">
        <v>649</v>
      </c>
      <c r="AH20" s="422" t="s">
        <v>1491</v>
      </c>
      <c r="AI20" s="416" t="s">
        <v>845</v>
      </c>
      <c r="AJ20" s="401" t="s">
        <v>88</v>
      </c>
      <c r="AK20" s="402" t="s">
        <v>649</v>
      </c>
      <c r="AL20" s="422" t="s">
        <v>1491</v>
      </c>
      <c r="AM20" s="401" t="s">
        <v>88</v>
      </c>
      <c r="AN20" s="402" t="s">
        <v>649</v>
      </c>
      <c r="AO20" s="422" t="s">
        <v>1491</v>
      </c>
      <c r="AP20" s="401" t="s">
        <v>88</v>
      </c>
      <c r="AQ20" s="402" t="s">
        <v>649</v>
      </c>
      <c r="AR20" s="422" t="s">
        <v>1491</v>
      </c>
      <c r="AS20" s="401" t="s">
        <v>88</v>
      </c>
      <c r="AT20" s="402" t="s">
        <v>649</v>
      </c>
      <c r="AU20" s="422" t="s">
        <v>1491</v>
      </c>
      <c r="AV20" s="401" t="s">
        <v>88</v>
      </c>
      <c r="AW20" s="402" t="s">
        <v>649</v>
      </c>
      <c r="AX20" s="422" t="s">
        <v>1491</v>
      </c>
      <c r="AY20" s="416" t="s">
        <v>845</v>
      </c>
      <c r="AZ20" s="401" t="s">
        <v>88</v>
      </c>
      <c r="BA20" s="402" t="s">
        <v>649</v>
      </c>
      <c r="BB20" s="422" t="s">
        <v>1491</v>
      </c>
      <c r="BC20" s="401" t="s">
        <v>88</v>
      </c>
      <c r="BD20" s="402" t="s">
        <v>649</v>
      </c>
      <c r="BE20" s="422" t="s">
        <v>1491</v>
      </c>
      <c r="BF20" s="402" t="s">
        <v>88</v>
      </c>
      <c r="BG20" s="402" t="s">
        <v>649</v>
      </c>
      <c r="BH20" s="422" t="s">
        <v>1491</v>
      </c>
      <c r="BI20" s="402" t="s">
        <v>88</v>
      </c>
      <c r="BJ20" s="402" t="s">
        <v>649</v>
      </c>
      <c r="BK20" s="422" t="s">
        <v>1491</v>
      </c>
      <c r="BL20" s="402" t="s">
        <v>88</v>
      </c>
      <c r="BM20" s="402" t="s">
        <v>649</v>
      </c>
      <c r="BN20" s="422" t="s">
        <v>1491</v>
      </c>
    </row>
    <row r="21" spans="7:66" ht="12.75">
      <c r="G21" s="403"/>
      <c r="H21" s="404"/>
      <c r="I21" s="423"/>
      <c r="J21" s="403"/>
      <c r="K21" s="404"/>
      <c r="L21" s="423"/>
      <c r="M21" s="403"/>
      <c r="N21" s="404"/>
      <c r="O21" s="423"/>
      <c r="P21" s="403"/>
      <c r="Q21" s="404"/>
      <c r="R21" s="423"/>
      <c r="T21" s="403"/>
      <c r="U21" s="404"/>
      <c r="V21" s="423"/>
      <c r="W21" s="403"/>
      <c r="X21" s="404"/>
      <c r="Y21" s="423"/>
      <c r="Z21" s="403"/>
      <c r="AA21" s="404"/>
      <c r="AB21" s="423"/>
      <c r="AC21" s="403"/>
      <c r="AD21" s="404"/>
      <c r="AE21" s="423"/>
      <c r="AF21" s="403"/>
      <c r="AG21" s="404"/>
      <c r="AH21" s="423"/>
      <c r="AJ21" s="403"/>
      <c r="AK21" s="404"/>
      <c r="AL21" s="423"/>
      <c r="AM21" s="403"/>
      <c r="AN21" s="404"/>
      <c r="AO21" s="423"/>
      <c r="AP21" s="403"/>
      <c r="AQ21" s="404"/>
      <c r="AR21" s="423"/>
      <c r="AS21" s="403"/>
      <c r="AT21" s="404"/>
      <c r="AU21" s="423"/>
      <c r="AV21" s="403"/>
      <c r="AW21" s="404"/>
      <c r="AX21" s="423"/>
      <c r="AZ21" s="403"/>
      <c r="BA21" s="404"/>
      <c r="BB21" s="423"/>
      <c r="BC21" s="403"/>
      <c r="BD21" s="404"/>
      <c r="BE21" s="423"/>
      <c r="BF21" s="403"/>
      <c r="BG21" s="404"/>
      <c r="BH21" s="423"/>
      <c r="BI21" s="403"/>
      <c r="BJ21" s="404"/>
      <c r="BK21" s="423"/>
      <c r="BL21" s="403"/>
      <c r="BM21" s="404"/>
      <c r="BN21" s="423"/>
    </row>
    <row r="22" spans="1:66" ht="12.75">
      <c r="A22" s="391">
        <f>A19+1</f>
        <v>13</v>
      </c>
      <c r="B22" s="400">
        <v>2007</v>
      </c>
      <c r="C22" s="415">
        <f>+G22+J22+M22+P22+T22+W22+Z22+AC22+AF22+AJ22+AM22+AP22+AS22+AV22+AZ22+BC22+BF22+BI22+BL22</f>
        <v>16987379</v>
      </c>
      <c r="D22" s="415">
        <f>+H22+K22+N22+Q22+U22+X22+AA22+AD22+AG22+AK22+AN22+AT22+AQ22+AW22+BA22+BD22+BG22+BJ22+BL22</f>
        <v>414633</v>
      </c>
      <c r="E22" s="415">
        <f>+I22+L22+O22+R22+V22+Y22+AB22+AE22+AH22+AL22+AO22+AR22+AU22+AX22+BB22+BE22+BH22+BK22+BN22</f>
        <v>16572746</v>
      </c>
      <c r="F22" s="414">
        <f aca="true" t="shared" si="1" ref="F22:F45">+B22</f>
        <v>2007</v>
      </c>
      <c r="G22" s="449">
        <v>4076108</v>
      </c>
      <c r="H22" s="450">
        <v>128761</v>
      </c>
      <c r="I22" s="452">
        <f>+G22-H22</f>
        <v>3947347</v>
      </c>
      <c r="J22" s="449">
        <f>+K16</f>
        <v>639602</v>
      </c>
      <c r="K22" s="450">
        <v>15756</v>
      </c>
      <c r="L22" s="452">
        <f>+J22-K22</f>
        <v>623846</v>
      </c>
      <c r="M22" s="449">
        <f>+N16</f>
        <v>5714721</v>
      </c>
      <c r="N22" s="450">
        <v>195055</v>
      </c>
      <c r="O22" s="452">
        <f>+M22-N22</f>
        <v>5519666</v>
      </c>
      <c r="P22" s="449">
        <f>+Q16</f>
        <v>1555609</v>
      </c>
      <c r="Q22" s="450">
        <v>52847</v>
      </c>
      <c r="R22" s="452">
        <f>+P22-Q22</f>
        <v>1502762</v>
      </c>
      <c r="S22" s="414">
        <f>$F22</f>
        <v>2007</v>
      </c>
      <c r="T22" s="449">
        <v>2779334</v>
      </c>
      <c r="U22" s="450">
        <v>10541</v>
      </c>
      <c r="V22" s="452">
        <f>+T22-U22</f>
        <v>2768793</v>
      </c>
      <c r="W22" s="449">
        <v>388841</v>
      </c>
      <c r="X22" s="450">
        <v>5161</v>
      </c>
      <c r="Y22" s="452">
        <f>+W22-X22</f>
        <v>383680</v>
      </c>
      <c r="Z22" s="449">
        <v>291102</v>
      </c>
      <c r="AA22" s="450">
        <v>0</v>
      </c>
      <c r="AB22" s="452">
        <f>+Z22-AA22</f>
        <v>291102</v>
      </c>
      <c r="AC22" s="449">
        <v>490583</v>
      </c>
      <c r="AD22" s="450">
        <v>6512</v>
      </c>
      <c r="AE22" s="452">
        <f>+AC22-AD22</f>
        <v>484071</v>
      </c>
      <c r="AF22" s="449">
        <v>641714</v>
      </c>
      <c r="AG22" s="450">
        <f>ROUND(AF22*(AG15*0/12),0)+AG17</f>
        <v>0</v>
      </c>
      <c r="AH22" s="452">
        <f>+AF22-AG22</f>
        <v>641714</v>
      </c>
      <c r="AI22" s="414">
        <f>$F22</f>
        <v>2007</v>
      </c>
      <c r="AJ22" s="449">
        <v>409765</v>
      </c>
      <c r="AK22" s="450">
        <f>ROUND(AJ22*(AK15*0/12),0)+AK17</f>
        <v>0</v>
      </c>
      <c r="AL22" s="452">
        <f>+AJ22-AK22</f>
        <v>409765</v>
      </c>
      <c r="AM22" s="449">
        <v>0</v>
      </c>
      <c r="AN22" s="450">
        <v>0</v>
      </c>
      <c r="AO22" s="452">
        <f>+AM22-AN22</f>
        <v>0</v>
      </c>
      <c r="AP22" s="449">
        <v>0</v>
      </c>
      <c r="AQ22" s="450">
        <v>0</v>
      </c>
      <c r="AR22" s="452">
        <f>+AP22-AQ22</f>
        <v>0</v>
      </c>
      <c r="AS22" s="449">
        <v>0</v>
      </c>
      <c r="AT22" s="450">
        <v>0</v>
      </c>
      <c r="AU22" s="452">
        <f>+AS22-AT22</f>
        <v>0</v>
      </c>
      <c r="AV22" s="449">
        <v>0</v>
      </c>
      <c r="AW22" s="450">
        <v>0</v>
      </c>
      <c r="AX22" s="452">
        <f>+AV22-AW22</f>
        <v>0</v>
      </c>
      <c r="AY22" s="414">
        <f>$F22</f>
        <v>2007</v>
      </c>
      <c r="AZ22" s="449">
        <v>0</v>
      </c>
      <c r="BA22" s="450">
        <v>0</v>
      </c>
      <c r="BB22" s="452">
        <f>+AZ22-BA22</f>
        <v>0</v>
      </c>
      <c r="BC22" s="449">
        <v>0</v>
      </c>
      <c r="BD22" s="450">
        <v>0</v>
      </c>
      <c r="BE22" s="452">
        <f>+BC22-BD22</f>
        <v>0</v>
      </c>
      <c r="BF22" s="449">
        <f>+BG16</f>
        <v>0</v>
      </c>
      <c r="BG22" s="450">
        <f>ROUND(BF22*BG15,0)+BG17</f>
        <v>0</v>
      </c>
      <c r="BH22" s="452">
        <f>+BF22-BG22</f>
        <v>0</v>
      </c>
      <c r="BI22" s="449">
        <f>+BJ16</f>
        <v>0</v>
      </c>
      <c r="BJ22" s="450">
        <f>ROUND(BI22*BJ15,0)+BJ17</f>
        <v>0</v>
      </c>
      <c r="BK22" s="452">
        <f>+BI22-BJ22</f>
        <v>0</v>
      </c>
      <c r="BL22" s="449">
        <f>+BM16</f>
        <v>0</v>
      </c>
      <c r="BM22" s="450">
        <f>ROUND(BL22*BM15,0)+BM17</f>
        <v>0</v>
      </c>
      <c r="BN22" s="452">
        <f>+BL22-BM22</f>
        <v>0</v>
      </c>
    </row>
    <row r="23" spans="1:66" ht="12.75">
      <c r="A23" s="391">
        <f aca="true" t="shared" si="2" ref="A23:A45">A22+1</f>
        <v>14</v>
      </c>
      <c r="B23" s="400">
        <v>2008</v>
      </c>
      <c r="C23" s="415">
        <f>+G23+J23+M23+P23+T23+W23+Z23+AC23+AF23+AJ23+AM23+AP23+AS23+AV23+AZ23+BC23+BF23+BI23+BL23</f>
        <v>33813294</v>
      </c>
      <c r="D23" s="415">
        <f>+H23+K23+N23+Q23+U23+X23+AA23+AD23+AG23+AK23+AN23+AT23+AQ23+AW23+BA23+BD23+BG23+BJ23+BL23</f>
        <v>856036</v>
      </c>
      <c r="E23" s="415">
        <f>+I23+L23+O23+R23+V23+Y23+AB23+AE23+AH23+AL23+AO23+AR23+AU23+AX23+BB23+BE23+BH23+BK23+BN23</f>
        <v>32957258</v>
      </c>
      <c r="F23" s="414">
        <f t="shared" si="1"/>
        <v>2008</v>
      </c>
      <c r="G23" s="449">
        <f>3407145+G22</f>
        <v>7483253</v>
      </c>
      <c r="H23" s="406">
        <v>209283</v>
      </c>
      <c r="I23" s="452">
        <f aca="true" t="shared" si="3" ref="I23:I45">+G23-H23</f>
        <v>7273970</v>
      </c>
      <c r="J23" s="449">
        <f>152+J22</f>
        <v>639754</v>
      </c>
      <c r="K23" s="406">
        <v>27535</v>
      </c>
      <c r="L23" s="452">
        <f aca="true" t="shared" si="4" ref="L23:L45">+J23-K23</f>
        <v>612219</v>
      </c>
      <c r="M23" s="449">
        <f>123+M22</f>
        <v>5714844</v>
      </c>
      <c r="N23" s="406">
        <v>300737</v>
      </c>
      <c r="O23" s="452">
        <f aca="true" t="shared" si="5" ref="O23:O45">+M23-N23</f>
        <v>5414107</v>
      </c>
      <c r="P23" s="449">
        <f>0+P22</f>
        <v>1555609</v>
      </c>
      <c r="Q23" s="406">
        <v>81492</v>
      </c>
      <c r="R23" s="452">
        <f aca="true" t="shared" si="6" ref="R23:R45">+P23-Q23</f>
        <v>1474117</v>
      </c>
      <c r="S23" s="414">
        <f aca="true" t="shared" si="7" ref="S23:S45">$F23</f>
        <v>2008</v>
      </c>
      <c r="T23" s="449">
        <f>-18578+T22</f>
        <v>2760756</v>
      </c>
      <c r="U23" s="406">
        <v>61446</v>
      </c>
      <c r="V23" s="452">
        <f aca="true" t="shared" si="8" ref="V23:V45">+T23-U23</f>
        <v>2699310</v>
      </c>
      <c r="W23" s="449">
        <f>0+W22</f>
        <v>388841</v>
      </c>
      <c r="X23" s="406">
        <v>51548</v>
      </c>
      <c r="Y23" s="452">
        <f aca="true" t="shared" si="9" ref="Y23:Y45">+W23-X23</f>
        <v>337293</v>
      </c>
      <c r="Z23" s="449">
        <f>8895+Z22</f>
        <v>299997</v>
      </c>
      <c r="AA23" s="406">
        <v>9485</v>
      </c>
      <c r="AB23" s="452">
        <f aca="true" t="shared" si="10" ref="AB23:AB45">+Z23-AA23</f>
        <v>290512</v>
      </c>
      <c r="AC23" s="449">
        <f>0+AC22</f>
        <v>490583</v>
      </c>
      <c r="AD23" s="406">
        <v>54771</v>
      </c>
      <c r="AE23" s="452">
        <f aca="true" t="shared" si="11" ref="AE23:AE45">+AC23-AD23</f>
        <v>435812</v>
      </c>
      <c r="AF23" s="449">
        <f>9461+AF22</f>
        <v>651175</v>
      </c>
      <c r="AG23" s="406">
        <v>11918</v>
      </c>
      <c r="AH23" s="452">
        <f aca="true" t="shared" si="12" ref="AH23:AH45">+AF23-AG23</f>
        <v>639257</v>
      </c>
      <c r="AI23" s="414">
        <f aca="true" t="shared" si="13" ref="AI23:AI45">$F23</f>
        <v>2008</v>
      </c>
      <c r="AJ23" s="449">
        <f>2537135+AJ22</f>
        <v>2946900</v>
      </c>
      <c r="AK23" s="406">
        <v>25620</v>
      </c>
      <c r="AL23" s="452">
        <f aca="true" t="shared" si="14" ref="AL23:AL45">+AJ23-AK23</f>
        <v>2921280</v>
      </c>
      <c r="AM23" s="449">
        <v>1636534</v>
      </c>
      <c r="AN23" s="406">
        <v>10208</v>
      </c>
      <c r="AO23" s="452">
        <f aca="true" t="shared" si="15" ref="AO23:AO45">+AM23-AN23</f>
        <v>1626326</v>
      </c>
      <c r="AP23" s="449">
        <v>2537076</v>
      </c>
      <c r="AQ23" s="406">
        <v>11451</v>
      </c>
      <c r="AR23" s="452">
        <f aca="true" t="shared" si="16" ref="AR23:AR45">+AP23-AQ23</f>
        <v>2525625</v>
      </c>
      <c r="AS23" s="449">
        <v>19528</v>
      </c>
      <c r="AT23" s="406">
        <v>0</v>
      </c>
      <c r="AU23" s="452">
        <f aca="true" t="shared" si="17" ref="AU23:AU45">+AS23-AT23</f>
        <v>19528</v>
      </c>
      <c r="AV23" s="449">
        <v>6565406</v>
      </c>
      <c r="AW23" s="406">
        <v>0</v>
      </c>
      <c r="AX23" s="452">
        <f aca="true" t="shared" si="18" ref="AX23:AX45">+AV23-AW23</f>
        <v>6565406</v>
      </c>
      <c r="AY23" s="414">
        <f aca="true" t="shared" si="19" ref="AY23:AY45">$F23</f>
        <v>2008</v>
      </c>
      <c r="AZ23" s="449">
        <v>109925</v>
      </c>
      <c r="BA23" s="406">
        <v>502</v>
      </c>
      <c r="BB23" s="452">
        <f aca="true" t="shared" si="20" ref="BB23:BB45">+AZ23-BA23</f>
        <v>109423</v>
      </c>
      <c r="BC23" s="449">
        <v>13113</v>
      </c>
      <c r="BD23" s="406">
        <v>40</v>
      </c>
      <c r="BE23" s="452">
        <f aca="true" t="shared" si="21" ref="BE23:BE45">+BC23-BD23</f>
        <v>13073</v>
      </c>
      <c r="BF23" s="449"/>
      <c r="BG23" s="406">
        <v>0</v>
      </c>
      <c r="BH23" s="452">
        <f aca="true" t="shared" si="22" ref="BH23:BH45">+BF23-BG23</f>
        <v>0</v>
      </c>
      <c r="BI23" s="449"/>
      <c r="BJ23" s="406">
        <v>0</v>
      </c>
      <c r="BK23" s="452">
        <f aca="true" t="shared" si="23" ref="BK23:BK45">+BI23-BJ23</f>
        <v>0</v>
      </c>
      <c r="BL23" s="449"/>
      <c r="BM23" s="406">
        <v>0</v>
      </c>
      <c r="BN23" s="452">
        <f aca="true" t="shared" si="24" ref="BN23:BN45">+BL23-BM23</f>
        <v>0</v>
      </c>
    </row>
    <row r="24" spans="1:66" ht="12.75">
      <c r="A24" s="391">
        <f t="shared" si="2"/>
        <v>15</v>
      </c>
      <c r="B24" s="400">
        <f aca="true" t="shared" si="25" ref="B24:B45">+B23+1</f>
        <v>2009</v>
      </c>
      <c r="C24" s="415">
        <f aca="true" t="shared" si="26" ref="C24:C45">+G24+J24+M24+P24+T24+W24+Z24+AC24+AF24+AJ24+AM24+AP24+AV24+AZ24+BC24+BF24+BI24+BL24</f>
        <v>0</v>
      </c>
      <c r="D24" s="415">
        <f aca="true" t="shared" si="27" ref="D24:D45">+H24+K24+N24+Q24+U24+X24+AA24+AD24+AG24+AK24+AN24+AQ24+AW24+BA24+BD24+BG24+BJ24+BL24</f>
        <v>0</v>
      </c>
      <c r="E24" s="415">
        <f aca="true" t="shared" si="28" ref="E24:E45">+I24+L24+O24+R24+V24+Y24+AB24+AE24+AH24+AL24+AO24+AR24+AX24+BB24+BE24+BH24+BK24+BN24</f>
        <v>0</v>
      </c>
      <c r="F24" s="414">
        <f t="shared" si="1"/>
        <v>2009</v>
      </c>
      <c r="G24" s="449"/>
      <c r="H24" s="406">
        <v>0</v>
      </c>
      <c r="I24" s="452">
        <f t="shared" si="3"/>
        <v>0</v>
      </c>
      <c r="J24" s="449"/>
      <c r="K24" s="406">
        <v>0</v>
      </c>
      <c r="L24" s="452">
        <f t="shared" si="4"/>
        <v>0</v>
      </c>
      <c r="M24" s="449"/>
      <c r="N24" s="406">
        <v>0</v>
      </c>
      <c r="O24" s="452">
        <f t="shared" si="5"/>
        <v>0</v>
      </c>
      <c r="P24" s="449"/>
      <c r="Q24" s="406">
        <v>0</v>
      </c>
      <c r="R24" s="452">
        <f t="shared" si="6"/>
        <v>0</v>
      </c>
      <c r="S24" s="414">
        <f t="shared" si="7"/>
        <v>2009</v>
      </c>
      <c r="T24" s="449"/>
      <c r="U24" s="406">
        <v>0</v>
      </c>
      <c r="V24" s="452">
        <f t="shared" si="8"/>
        <v>0</v>
      </c>
      <c r="W24" s="449"/>
      <c r="X24" s="406">
        <v>0</v>
      </c>
      <c r="Y24" s="452">
        <f t="shared" si="9"/>
        <v>0</v>
      </c>
      <c r="Z24" s="449"/>
      <c r="AA24" s="406">
        <v>0</v>
      </c>
      <c r="AB24" s="452">
        <f t="shared" si="10"/>
        <v>0</v>
      </c>
      <c r="AC24" s="449"/>
      <c r="AD24" s="406">
        <v>0</v>
      </c>
      <c r="AE24" s="452">
        <f t="shared" si="11"/>
        <v>0</v>
      </c>
      <c r="AF24" s="449"/>
      <c r="AG24" s="406">
        <v>0</v>
      </c>
      <c r="AH24" s="452">
        <f t="shared" si="12"/>
        <v>0</v>
      </c>
      <c r="AI24" s="414">
        <f t="shared" si="13"/>
        <v>2009</v>
      </c>
      <c r="AJ24" s="449"/>
      <c r="AK24" s="406">
        <v>0</v>
      </c>
      <c r="AL24" s="452">
        <f t="shared" si="14"/>
        <v>0</v>
      </c>
      <c r="AM24" s="449"/>
      <c r="AN24" s="406">
        <v>0</v>
      </c>
      <c r="AO24" s="452">
        <f t="shared" si="15"/>
        <v>0</v>
      </c>
      <c r="AP24" s="449"/>
      <c r="AQ24" s="406">
        <v>0</v>
      </c>
      <c r="AR24" s="452">
        <f t="shared" si="16"/>
        <v>0</v>
      </c>
      <c r="AS24" s="449"/>
      <c r="AT24" s="406">
        <v>0</v>
      </c>
      <c r="AU24" s="452">
        <f t="shared" si="17"/>
        <v>0</v>
      </c>
      <c r="AV24" s="449"/>
      <c r="AW24" s="406">
        <v>0</v>
      </c>
      <c r="AX24" s="452">
        <f t="shared" si="18"/>
        <v>0</v>
      </c>
      <c r="AY24" s="414">
        <f t="shared" si="19"/>
        <v>2009</v>
      </c>
      <c r="AZ24" s="449"/>
      <c r="BA24" s="406">
        <v>0</v>
      </c>
      <c r="BB24" s="452">
        <f t="shared" si="20"/>
        <v>0</v>
      </c>
      <c r="BC24" s="449"/>
      <c r="BD24" s="406">
        <v>0</v>
      </c>
      <c r="BE24" s="452">
        <f t="shared" si="21"/>
        <v>0</v>
      </c>
      <c r="BF24" s="449"/>
      <c r="BG24" s="406">
        <v>0</v>
      </c>
      <c r="BH24" s="452">
        <f t="shared" si="22"/>
        <v>0</v>
      </c>
      <c r="BI24" s="449"/>
      <c r="BJ24" s="406">
        <v>0</v>
      </c>
      <c r="BK24" s="452">
        <f t="shared" si="23"/>
        <v>0</v>
      </c>
      <c r="BL24" s="449"/>
      <c r="BM24" s="406">
        <v>0</v>
      </c>
      <c r="BN24" s="452">
        <f t="shared" si="24"/>
        <v>0</v>
      </c>
    </row>
    <row r="25" spans="1:66" ht="12.75">
      <c r="A25" s="391">
        <f t="shared" si="2"/>
        <v>16</v>
      </c>
      <c r="B25" s="400">
        <f t="shared" si="25"/>
        <v>2010</v>
      </c>
      <c r="C25" s="415">
        <f t="shared" si="26"/>
        <v>0</v>
      </c>
      <c r="D25" s="415">
        <f t="shared" si="27"/>
        <v>0</v>
      </c>
      <c r="E25" s="415">
        <f t="shared" si="28"/>
        <v>0</v>
      </c>
      <c r="F25" s="414">
        <f t="shared" si="1"/>
        <v>2010</v>
      </c>
      <c r="G25" s="449"/>
      <c r="H25" s="406">
        <v>0</v>
      </c>
      <c r="I25" s="452">
        <f t="shared" si="3"/>
        <v>0</v>
      </c>
      <c r="J25" s="449"/>
      <c r="K25" s="406">
        <v>0</v>
      </c>
      <c r="L25" s="452">
        <f t="shared" si="4"/>
        <v>0</v>
      </c>
      <c r="M25" s="449"/>
      <c r="N25" s="406">
        <v>0</v>
      </c>
      <c r="O25" s="452">
        <f t="shared" si="5"/>
        <v>0</v>
      </c>
      <c r="P25" s="449"/>
      <c r="Q25" s="406">
        <v>0</v>
      </c>
      <c r="R25" s="452">
        <f t="shared" si="6"/>
        <v>0</v>
      </c>
      <c r="S25" s="414">
        <f t="shared" si="7"/>
        <v>2010</v>
      </c>
      <c r="T25" s="449"/>
      <c r="U25" s="406">
        <v>0</v>
      </c>
      <c r="V25" s="452">
        <f t="shared" si="8"/>
        <v>0</v>
      </c>
      <c r="W25" s="449"/>
      <c r="X25" s="406">
        <v>0</v>
      </c>
      <c r="Y25" s="452">
        <f t="shared" si="9"/>
        <v>0</v>
      </c>
      <c r="Z25" s="449"/>
      <c r="AA25" s="406">
        <v>0</v>
      </c>
      <c r="AB25" s="452">
        <f t="shared" si="10"/>
        <v>0</v>
      </c>
      <c r="AC25" s="449"/>
      <c r="AD25" s="406">
        <v>0</v>
      </c>
      <c r="AE25" s="452">
        <f t="shared" si="11"/>
        <v>0</v>
      </c>
      <c r="AF25" s="449"/>
      <c r="AG25" s="406">
        <v>0</v>
      </c>
      <c r="AH25" s="452">
        <f t="shared" si="12"/>
        <v>0</v>
      </c>
      <c r="AI25" s="414">
        <f t="shared" si="13"/>
        <v>2010</v>
      </c>
      <c r="AJ25" s="449"/>
      <c r="AK25" s="406">
        <v>0</v>
      </c>
      <c r="AL25" s="452">
        <f t="shared" si="14"/>
        <v>0</v>
      </c>
      <c r="AM25" s="449"/>
      <c r="AN25" s="406">
        <v>0</v>
      </c>
      <c r="AO25" s="452">
        <f t="shared" si="15"/>
        <v>0</v>
      </c>
      <c r="AP25" s="449"/>
      <c r="AQ25" s="406">
        <v>0</v>
      </c>
      <c r="AR25" s="452">
        <f t="shared" si="16"/>
        <v>0</v>
      </c>
      <c r="AS25" s="449"/>
      <c r="AT25" s="406">
        <v>0</v>
      </c>
      <c r="AU25" s="452">
        <f t="shared" si="17"/>
        <v>0</v>
      </c>
      <c r="AV25" s="449"/>
      <c r="AW25" s="406">
        <v>0</v>
      </c>
      <c r="AX25" s="452">
        <f t="shared" si="18"/>
        <v>0</v>
      </c>
      <c r="AY25" s="414">
        <f t="shared" si="19"/>
        <v>2010</v>
      </c>
      <c r="AZ25" s="449"/>
      <c r="BA25" s="406">
        <v>0</v>
      </c>
      <c r="BB25" s="452">
        <f t="shared" si="20"/>
        <v>0</v>
      </c>
      <c r="BC25" s="449"/>
      <c r="BD25" s="406">
        <v>0</v>
      </c>
      <c r="BE25" s="452">
        <f t="shared" si="21"/>
        <v>0</v>
      </c>
      <c r="BF25" s="449"/>
      <c r="BG25" s="406">
        <v>0</v>
      </c>
      <c r="BH25" s="452">
        <f t="shared" si="22"/>
        <v>0</v>
      </c>
      <c r="BI25" s="449"/>
      <c r="BJ25" s="406">
        <v>0</v>
      </c>
      <c r="BK25" s="452">
        <f t="shared" si="23"/>
        <v>0</v>
      </c>
      <c r="BL25" s="449"/>
      <c r="BM25" s="406">
        <v>0</v>
      </c>
      <c r="BN25" s="452">
        <f t="shared" si="24"/>
        <v>0</v>
      </c>
    </row>
    <row r="26" spans="1:66" ht="12.75">
      <c r="A26" s="391">
        <f t="shared" si="2"/>
        <v>17</v>
      </c>
      <c r="B26" s="400">
        <f t="shared" si="25"/>
        <v>2011</v>
      </c>
      <c r="C26" s="415">
        <f t="shared" si="26"/>
        <v>0</v>
      </c>
      <c r="D26" s="415">
        <f t="shared" si="27"/>
        <v>0</v>
      </c>
      <c r="E26" s="415">
        <f t="shared" si="28"/>
        <v>0</v>
      </c>
      <c r="F26" s="414">
        <f t="shared" si="1"/>
        <v>2011</v>
      </c>
      <c r="G26" s="449"/>
      <c r="H26" s="406">
        <v>0</v>
      </c>
      <c r="I26" s="452">
        <f t="shared" si="3"/>
        <v>0</v>
      </c>
      <c r="J26" s="449"/>
      <c r="K26" s="406">
        <v>0</v>
      </c>
      <c r="L26" s="452">
        <f t="shared" si="4"/>
        <v>0</v>
      </c>
      <c r="M26" s="449"/>
      <c r="N26" s="406">
        <v>0</v>
      </c>
      <c r="O26" s="452">
        <f t="shared" si="5"/>
        <v>0</v>
      </c>
      <c r="P26" s="449"/>
      <c r="Q26" s="406">
        <v>0</v>
      </c>
      <c r="R26" s="452">
        <f t="shared" si="6"/>
        <v>0</v>
      </c>
      <c r="S26" s="414">
        <f t="shared" si="7"/>
        <v>2011</v>
      </c>
      <c r="T26" s="449"/>
      <c r="U26" s="406">
        <v>0</v>
      </c>
      <c r="V26" s="452">
        <f t="shared" si="8"/>
        <v>0</v>
      </c>
      <c r="W26" s="449"/>
      <c r="X26" s="406">
        <v>0</v>
      </c>
      <c r="Y26" s="452">
        <f t="shared" si="9"/>
        <v>0</v>
      </c>
      <c r="Z26" s="449"/>
      <c r="AA26" s="406">
        <v>0</v>
      </c>
      <c r="AB26" s="452">
        <f t="shared" si="10"/>
        <v>0</v>
      </c>
      <c r="AC26" s="449"/>
      <c r="AD26" s="406">
        <v>0</v>
      </c>
      <c r="AE26" s="452">
        <f t="shared" si="11"/>
        <v>0</v>
      </c>
      <c r="AF26" s="449"/>
      <c r="AG26" s="406">
        <v>0</v>
      </c>
      <c r="AH26" s="452">
        <f t="shared" si="12"/>
        <v>0</v>
      </c>
      <c r="AI26" s="414">
        <f t="shared" si="13"/>
        <v>2011</v>
      </c>
      <c r="AJ26" s="449"/>
      <c r="AK26" s="406">
        <v>0</v>
      </c>
      <c r="AL26" s="452">
        <f t="shared" si="14"/>
        <v>0</v>
      </c>
      <c r="AM26" s="449"/>
      <c r="AN26" s="406">
        <v>0</v>
      </c>
      <c r="AO26" s="452">
        <f t="shared" si="15"/>
        <v>0</v>
      </c>
      <c r="AP26" s="449"/>
      <c r="AQ26" s="406">
        <v>0</v>
      </c>
      <c r="AR26" s="452">
        <f t="shared" si="16"/>
        <v>0</v>
      </c>
      <c r="AS26" s="449"/>
      <c r="AT26" s="406">
        <v>0</v>
      </c>
      <c r="AU26" s="452">
        <f t="shared" si="17"/>
        <v>0</v>
      </c>
      <c r="AV26" s="449"/>
      <c r="AW26" s="406">
        <v>0</v>
      </c>
      <c r="AX26" s="452">
        <f t="shared" si="18"/>
        <v>0</v>
      </c>
      <c r="AY26" s="414">
        <f t="shared" si="19"/>
        <v>2011</v>
      </c>
      <c r="AZ26" s="449"/>
      <c r="BA26" s="406">
        <v>0</v>
      </c>
      <c r="BB26" s="452">
        <f t="shared" si="20"/>
        <v>0</v>
      </c>
      <c r="BC26" s="449"/>
      <c r="BD26" s="406">
        <v>0</v>
      </c>
      <c r="BE26" s="452">
        <f t="shared" si="21"/>
        <v>0</v>
      </c>
      <c r="BF26" s="449"/>
      <c r="BG26" s="406">
        <v>0</v>
      </c>
      <c r="BH26" s="452">
        <f t="shared" si="22"/>
        <v>0</v>
      </c>
      <c r="BI26" s="449"/>
      <c r="BJ26" s="406">
        <v>0</v>
      </c>
      <c r="BK26" s="452">
        <f t="shared" si="23"/>
        <v>0</v>
      </c>
      <c r="BL26" s="449"/>
      <c r="BM26" s="406">
        <v>0</v>
      </c>
      <c r="BN26" s="452">
        <f t="shared" si="24"/>
        <v>0</v>
      </c>
    </row>
    <row r="27" spans="1:66" ht="12.75">
      <c r="A27" s="391">
        <f t="shared" si="2"/>
        <v>18</v>
      </c>
      <c r="B27" s="400">
        <f t="shared" si="25"/>
        <v>2012</v>
      </c>
      <c r="C27" s="415">
        <f t="shared" si="26"/>
        <v>0</v>
      </c>
      <c r="D27" s="415">
        <f t="shared" si="27"/>
        <v>0</v>
      </c>
      <c r="E27" s="415">
        <f t="shared" si="28"/>
        <v>0</v>
      </c>
      <c r="F27" s="414">
        <f t="shared" si="1"/>
        <v>2012</v>
      </c>
      <c r="G27" s="449"/>
      <c r="H27" s="406">
        <v>0</v>
      </c>
      <c r="I27" s="452">
        <f t="shared" si="3"/>
        <v>0</v>
      </c>
      <c r="J27" s="449"/>
      <c r="K27" s="406">
        <v>0</v>
      </c>
      <c r="L27" s="452">
        <f t="shared" si="4"/>
        <v>0</v>
      </c>
      <c r="M27" s="449"/>
      <c r="N27" s="406">
        <v>0</v>
      </c>
      <c r="O27" s="452">
        <f t="shared" si="5"/>
        <v>0</v>
      </c>
      <c r="P27" s="449"/>
      <c r="Q27" s="406">
        <v>0</v>
      </c>
      <c r="R27" s="452">
        <f t="shared" si="6"/>
        <v>0</v>
      </c>
      <c r="S27" s="414">
        <f t="shared" si="7"/>
        <v>2012</v>
      </c>
      <c r="T27" s="449"/>
      <c r="U27" s="406">
        <v>0</v>
      </c>
      <c r="V27" s="452">
        <f t="shared" si="8"/>
        <v>0</v>
      </c>
      <c r="W27" s="449"/>
      <c r="X27" s="406">
        <v>0</v>
      </c>
      <c r="Y27" s="452">
        <f t="shared" si="9"/>
        <v>0</v>
      </c>
      <c r="Z27" s="449"/>
      <c r="AA27" s="406">
        <v>0</v>
      </c>
      <c r="AB27" s="452">
        <f t="shared" si="10"/>
        <v>0</v>
      </c>
      <c r="AC27" s="449"/>
      <c r="AD27" s="406">
        <v>0</v>
      </c>
      <c r="AE27" s="452">
        <f t="shared" si="11"/>
        <v>0</v>
      </c>
      <c r="AF27" s="449"/>
      <c r="AG27" s="406">
        <v>0</v>
      </c>
      <c r="AH27" s="452">
        <f t="shared" si="12"/>
        <v>0</v>
      </c>
      <c r="AI27" s="414">
        <f t="shared" si="13"/>
        <v>2012</v>
      </c>
      <c r="AJ27" s="449"/>
      <c r="AK27" s="406">
        <v>0</v>
      </c>
      <c r="AL27" s="452">
        <f t="shared" si="14"/>
        <v>0</v>
      </c>
      <c r="AM27" s="449"/>
      <c r="AN27" s="406">
        <v>0</v>
      </c>
      <c r="AO27" s="452">
        <f t="shared" si="15"/>
        <v>0</v>
      </c>
      <c r="AP27" s="449"/>
      <c r="AQ27" s="406">
        <v>0</v>
      </c>
      <c r="AR27" s="452">
        <f t="shared" si="16"/>
        <v>0</v>
      </c>
      <c r="AS27" s="449"/>
      <c r="AT27" s="406">
        <v>0</v>
      </c>
      <c r="AU27" s="452">
        <f t="shared" si="17"/>
        <v>0</v>
      </c>
      <c r="AV27" s="449"/>
      <c r="AW27" s="406">
        <v>0</v>
      </c>
      <c r="AX27" s="452">
        <f t="shared" si="18"/>
        <v>0</v>
      </c>
      <c r="AY27" s="414">
        <f t="shared" si="19"/>
        <v>2012</v>
      </c>
      <c r="AZ27" s="449"/>
      <c r="BA27" s="406">
        <v>0</v>
      </c>
      <c r="BB27" s="452">
        <f t="shared" si="20"/>
        <v>0</v>
      </c>
      <c r="BC27" s="449"/>
      <c r="BD27" s="406">
        <v>0</v>
      </c>
      <c r="BE27" s="452">
        <f t="shared" si="21"/>
        <v>0</v>
      </c>
      <c r="BF27" s="449"/>
      <c r="BG27" s="406">
        <v>0</v>
      </c>
      <c r="BH27" s="452">
        <f t="shared" si="22"/>
        <v>0</v>
      </c>
      <c r="BI27" s="449"/>
      <c r="BJ27" s="406">
        <v>0</v>
      </c>
      <c r="BK27" s="452">
        <f t="shared" si="23"/>
        <v>0</v>
      </c>
      <c r="BL27" s="449"/>
      <c r="BM27" s="406">
        <v>0</v>
      </c>
      <c r="BN27" s="452">
        <f t="shared" si="24"/>
        <v>0</v>
      </c>
    </row>
    <row r="28" spans="1:66" ht="12.75">
      <c r="A28" s="391">
        <f t="shared" si="2"/>
        <v>19</v>
      </c>
      <c r="B28" s="400">
        <f t="shared" si="25"/>
        <v>2013</v>
      </c>
      <c r="C28" s="415">
        <f t="shared" si="26"/>
        <v>0</v>
      </c>
      <c r="D28" s="415">
        <f t="shared" si="27"/>
        <v>0</v>
      </c>
      <c r="E28" s="415">
        <f t="shared" si="28"/>
        <v>0</v>
      </c>
      <c r="F28" s="414">
        <f t="shared" si="1"/>
        <v>2013</v>
      </c>
      <c r="G28" s="449"/>
      <c r="H28" s="406">
        <v>0</v>
      </c>
      <c r="I28" s="452">
        <f t="shared" si="3"/>
        <v>0</v>
      </c>
      <c r="J28" s="449"/>
      <c r="K28" s="406">
        <v>0</v>
      </c>
      <c r="L28" s="452">
        <f t="shared" si="4"/>
        <v>0</v>
      </c>
      <c r="M28" s="449"/>
      <c r="N28" s="406">
        <v>0</v>
      </c>
      <c r="O28" s="452">
        <f t="shared" si="5"/>
        <v>0</v>
      </c>
      <c r="P28" s="449"/>
      <c r="Q28" s="406">
        <v>0</v>
      </c>
      <c r="R28" s="452">
        <f t="shared" si="6"/>
        <v>0</v>
      </c>
      <c r="S28" s="414">
        <f t="shared" si="7"/>
        <v>2013</v>
      </c>
      <c r="T28" s="449"/>
      <c r="U28" s="406">
        <v>0</v>
      </c>
      <c r="V28" s="452">
        <f t="shared" si="8"/>
        <v>0</v>
      </c>
      <c r="W28" s="449"/>
      <c r="X28" s="406">
        <v>0</v>
      </c>
      <c r="Y28" s="452">
        <f t="shared" si="9"/>
        <v>0</v>
      </c>
      <c r="Z28" s="449"/>
      <c r="AA28" s="406">
        <v>0</v>
      </c>
      <c r="AB28" s="452">
        <f t="shared" si="10"/>
        <v>0</v>
      </c>
      <c r="AC28" s="449"/>
      <c r="AD28" s="406">
        <v>0</v>
      </c>
      <c r="AE28" s="452">
        <f t="shared" si="11"/>
        <v>0</v>
      </c>
      <c r="AF28" s="449"/>
      <c r="AG28" s="406">
        <v>0</v>
      </c>
      <c r="AH28" s="452">
        <f t="shared" si="12"/>
        <v>0</v>
      </c>
      <c r="AI28" s="414">
        <f t="shared" si="13"/>
        <v>2013</v>
      </c>
      <c r="AJ28" s="449"/>
      <c r="AK28" s="406">
        <v>0</v>
      </c>
      <c r="AL28" s="452">
        <f t="shared" si="14"/>
        <v>0</v>
      </c>
      <c r="AM28" s="449"/>
      <c r="AN28" s="406">
        <v>0</v>
      </c>
      <c r="AO28" s="452">
        <f t="shared" si="15"/>
        <v>0</v>
      </c>
      <c r="AP28" s="449"/>
      <c r="AQ28" s="406">
        <v>0</v>
      </c>
      <c r="AR28" s="452">
        <f t="shared" si="16"/>
        <v>0</v>
      </c>
      <c r="AS28" s="449"/>
      <c r="AT28" s="406">
        <v>0</v>
      </c>
      <c r="AU28" s="452">
        <f t="shared" si="17"/>
        <v>0</v>
      </c>
      <c r="AV28" s="449"/>
      <c r="AW28" s="406">
        <v>0</v>
      </c>
      <c r="AX28" s="452">
        <f t="shared" si="18"/>
        <v>0</v>
      </c>
      <c r="AY28" s="414">
        <f t="shared" si="19"/>
        <v>2013</v>
      </c>
      <c r="AZ28" s="449"/>
      <c r="BA28" s="406">
        <v>0</v>
      </c>
      <c r="BB28" s="452">
        <f t="shared" si="20"/>
        <v>0</v>
      </c>
      <c r="BC28" s="449"/>
      <c r="BD28" s="406">
        <v>0</v>
      </c>
      <c r="BE28" s="452">
        <f t="shared" si="21"/>
        <v>0</v>
      </c>
      <c r="BF28" s="449"/>
      <c r="BG28" s="406">
        <v>0</v>
      </c>
      <c r="BH28" s="452">
        <f t="shared" si="22"/>
        <v>0</v>
      </c>
      <c r="BI28" s="449"/>
      <c r="BJ28" s="406">
        <v>0</v>
      </c>
      <c r="BK28" s="452">
        <f t="shared" si="23"/>
        <v>0</v>
      </c>
      <c r="BL28" s="449"/>
      <c r="BM28" s="406">
        <v>0</v>
      </c>
      <c r="BN28" s="452">
        <f t="shared" si="24"/>
        <v>0</v>
      </c>
    </row>
    <row r="29" spans="1:66" ht="12.75">
      <c r="A29" s="391">
        <f t="shared" si="2"/>
        <v>20</v>
      </c>
      <c r="B29" s="400">
        <f t="shared" si="25"/>
        <v>2014</v>
      </c>
      <c r="C29" s="415">
        <f t="shared" si="26"/>
        <v>0</v>
      </c>
      <c r="D29" s="415">
        <f t="shared" si="27"/>
        <v>0</v>
      </c>
      <c r="E29" s="415">
        <f t="shared" si="28"/>
        <v>0</v>
      </c>
      <c r="F29" s="414">
        <f t="shared" si="1"/>
        <v>2014</v>
      </c>
      <c r="G29" s="449"/>
      <c r="H29" s="406">
        <v>0</v>
      </c>
      <c r="I29" s="452">
        <f t="shared" si="3"/>
        <v>0</v>
      </c>
      <c r="J29" s="449"/>
      <c r="K29" s="406">
        <v>0</v>
      </c>
      <c r="L29" s="452">
        <f t="shared" si="4"/>
        <v>0</v>
      </c>
      <c r="M29" s="449"/>
      <c r="N29" s="406">
        <v>0</v>
      </c>
      <c r="O29" s="452">
        <f t="shared" si="5"/>
        <v>0</v>
      </c>
      <c r="P29" s="449"/>
      <c r="Q29" s="406">
        <v>0</v>
      </c>
      <c r="R29" s="452">
        <f t="shared" si="6"/>
        <v>0</v>
      </c>
      <c r="S29" s="414">
        <f t="shared" si="7"/>
        <v>2014</v>
      </c>
      <c r="T29" s="449"/>
      <c r="U29" s="406">
        <v>0</v>
      </c>
      <c r="V29" s="452">
        <f t="shared" si="8"/>
        <v>0</v>
      </c>
      <c r="W29" s="449"/>
      <c r="X29" s="406">
        <v>0</v>
      </c>
      <c r="Y29" s="452">
        <f t="shared" si="9"/>
        <v>0</v>
      </c>
      <c r="Z29" s="449"/>
      <c r="AA29" s="406">
        <v>0</v>
      </c>
      <c r="AB29" s="452">
        <f t="shared" si="10"/>
        <v>0</v>
      </c>
      <c r="AC29" s="449"/>
      <c r="AD29" s="406">
        <v>0</v>
      </c>
      <c r="AE29" s="452">
        <f t="shared" si="11"/>
        <v>0</v>
      </c>
      <c r="AF29" s="449"/>
      <c r="AG29" s="406">
        <v>0</v>
      </c>
      <c r="AH29" s="452">
        <f t="shared" si="12"/>
        <v>0</v>
      </c>
      <c r="AI29" s="414">
        <f t="shared" si="13"/>
        <v>2014</v>
      </c>
      <c r="AJ29" s="449"/>
      <c r="AK29" s="406">
        <v>0</v>
      </c>
      <c r="AL29" s="452">
        <f t="shared" si="14"/>
        <v>0</v>
      </c>
      <c r="AM29" s="449"/>
      <c r="AN29" s="406">
        <v>0</v>
      </c>
      <c r="AO29" s="452">
        <f t="shared" si="15"/>
        <v>0</v>
      </c>
      <c r="AP29" s="449"/>
      <c r="AQ29" s="406">
        <v>0</v>
      </c>
      <c r="AR29" s="452">
        <f t="shared" si="16"/>
        <v>0</v>
      </c>
      <c r="AS29" s="449"/>
      <c r="AT29" s="406">
        <v>0</v>
      </c>
      <c r="AU29" s="452">
        <f t="shared" si="17"/>
        <v>0</v>
      </c>
      <c r="AV29" s="449"/>
      <c r="AW29" s="406">
        <v>0</v>
      </c>
      <c r="AX29" s="452">
        <f t="shared" si="18"/>
        <v>0</v>
      </c>
      <c r="AY29" s="414">
        <f t="shared" si="19"/>
        <v>2014</v>
      </c>
      <c r="AZ29" s="449"/>
      <c r="BA29" s="406">
        <v>0</v>
      </c>
      <c r="BB29" s="452">
        <f t="shared" si="20"/>
        <v>0</v>
      </c>
      <c r="BC29" s="449"/>
      <c r="BD29" s="406">
        <v>0</v>
      </c>
      <c r="BE29" s="452">
        <f t="shared" si="21"/>
        <v>0</v>
      </c>
      <c r="BF29" s="449"/>
      <c r="BG29" s="406">
        <v>0</v>
      </c>
      <c r="BH29" s="452">
        <f t="shared" si="22"/>
        <v>0</v>
      </c>
      <c r="BI29" s="449"/>
      <c r="BJ29" s="406">
        <v>0</v>
      </c>
      <c r="BK29" s="452">
        <f t="shared" si="23"/>
        <v>0</v>
      </c>
      <c r="BL29" s="449"/>
      <c r="BM29" s="406">
        <v>0</v>
      </c>
      <c r="BN29" s="452">
        <f t="shared" si="24"/>
        <v>0</v>
      </c>
    </row>
    <row r="30" spans="1:66" ht="12.75">
      <c r="A30" s="391">
        <f t="shared" si="2"/>
        <v>21</v>
      </c>
      <c r="B30" s="400">
        <f t="shared" si="25"/>
        <v>2015</v>
      </c>
      <c r="C30" s="415">
        <f t="shared" si="26"/>
        <v>0</v>
      </c>
      <c r="D30" s="415">
        <f t="shared" si="27"/>
        <v>0</v>
      </c>
      <c r="E30" s="415">
        <f t="shared" si="28"/>
        <v>0</v>
      </c>
      <c r="F30" s="414">
        <f t="shared" si="1"/>
        <v>2015</v>
      </c>
      <c r="G30" s="449"/>
      <c r="H30" s="406">
        <v>0</v>
      </c>
      <c r="I30" s="452">
        <f t="shared" si="3"/>
        <v>0</v>
      </c>
      <c r="J30" s="449"/>
      <c r="K30" s="406">
        <v>0</v>
      </c>
      <c r="L30" s="452">
        <f t="shared" si="4"/>
        <v>0</v>
      </c>
      <c r="M30" s="449"/>
      <c r="N30" s="406">
        <v>0</v>
      </c>
      <c r="O30" s="452">
        <f t="shared" si="5"/>
        <v>0</v>
      </c>
      <c r="P30" s="449"/>
      <c r="Q30" s="406">
        <v>0</v>
      </c>
      <c r="R30" s="452">
        <f t="shared" si="6"/>
        <v>0</v>
      </c>
      <c r="S30" s="414">
        <f t="shared" si="7"/>
        <v>2015</v>
      </c>
      <c r="T30" s="449"/>
      <c r="U30" s="406">
        <v>0</v>
      </c>
      <c r="V30" s="452">
        <f t="shared" si="8"/>
        <v>0</v>
      </c>
      <c r="W30" s="449"/>
      <c r="X30" s="406">
        <v>0</v>
      </c>
      <c r="Y30" s="452">
        <f t="shared" si="9"/>
        <v>0</v>
      </c>
      <c r="Z30" s="449"/>
      <c r="AA30" s="406">
        <v>0</v>
      </c>
      <c r="AB30" s="452">
        <f t="shared" si="10"/>
        <v>0</v>
      </c>
      <c r="AC30" s="449"/>
      <c r="AD30" s="406">
        <v>0</v>
      </c>
      <c r="AE30" s="452">
        <f t="shared" si="11"/>
        <v>0</v>
      </c>
      <c r="AF30" s="449"/>
      <c r="AG30" s="406">
        <v>0</v>
      </c>
      <c r="AH30" s="452">
        <f t="shared" si="12"/>
        <v>0</v>
      </c>
      <c r="AI30" s="414">
        <f t="shared" si="13"/>
        <v>2015</v>
      </c>
      <c r="AJ30" s="449"/>
      <c r="AK30" s="406">
        <v>0</v>
      </c>
      <c r="AL30" s="452">
        <f t="shared" si="14"/>
        <v>0</v>
      </c>
      <c r="AM30" s="449"/>
      <c r="AN30" s="406">
        <v>0</v>
      </c>
      <c r="AO30" s="452">
        <f t="shared" si="15"/>
        <v>0</v>
      </c>
      <c r="AP30" s="449"/>
      <c r="AQ30" s="406">
        <v>0</v>
      </c>
      <c r="AR30" s="452">
        <f t="shared" si="16"/>
        <v>0</v>
      </c>
      <c r="AS30" s="449"/>
      <c r="AT30" s="406">
        <v>0</v>
      </c>
      <c r="AU30" s="452">
        <f t="shared" si="17"/>
        <v>0</v>
      </c>
      <c r="AV30" s="449"/>
      <c r="AW30" s="406">
        <v>0</v>
      </c>
      <c r="AX30" s="452">
        <f t="shared" si="18"/>
        <v>0</v>
      </c>
      <c r="AY30" s="414">
        <f t="shared" si="19"/>
        <v>2015</v>
      </c>
      <c r="AZ30" s="449"/>
      <c r="BA30" s="406">
        <v>0</v>
      </c>
      <c r="BB30" s="452">
        <f t="shared" si="20"/>
        <v>0</v>
      </c>
      <c r="BC30" s="449"/>
      <c r="BD30" s="406">
        <v>0</v>
      </c>
      <c r="BE30" s="452">
        <f t="shared" si="21"/>
        <v>0</v>
      </c>
      <c r="BF30" s="449"/>
      <c r="BG30" s="406">
        <v>0</v>
      </c>
      <c r="BH30" s="452">
        <f t="shared" si="22"/>
        <v>0</v>
      </c>
      <c r="BI30" s="449"/>
      <c r="BJ30" s="406">
        <v>0</v>
      </c>
      <c r="BK30" s="452">
        <f t="shared" si="23"/>
        <v>0</v>
      </c>
      <c r="BL30" s="449"/>
      <c r="BM30" s="406">
        <v>0</v>
      </c>
      <c r="BN30" s="452">
        <f t="shared" si="24"/>
        <v>0</v>
      </c>
    </row>
    <row r="31" spans="1:66" ht="12.75">
      <c r="A31" s="391">
        <f t="shared" si="2"/>
        <v>22</v>
      </c>
      <c r="B31" s="400">
        <f t="shared" si="25"/>
        <v>2016</v>
      </c>
      <c r="C31" s="415">
        <f t="shared" si="26"/>
        <v>0</v>
      </c>
      <c r="D31" s="415">
        <f t="shared" si="27"/>
        <v>0</v>
      </c>
      <c r="E31" s="415">
        <f t="shared" si="28"/>
        <v>0</v>
      </c>
      <c r="F31" s="414">
        <f t="shared" si="1"/>
        <v>2016</v>
      </c>
      <c r="G31" s="449"/>
      <c r="H31" s="406">
        <v>0</v>
      </c>
      <c r="I31" s="452">
        <f t="shared" si="3"/>
        <v>0</v>
      </c>
      <c r="J31" s="449"/>
      <c r="K31" s="406">
        <v>0</v>
      </c>
      <c r="L31" s="452">
        <f t="shared" si="4"/>
        <v>0</v>
      </c>
      <c r="M31" s="449"/>
      <c r="N31" s="406">
        <v>0</v>
      </c>
      <c r="O31" s="452">
        <f t="shared" si="5"/>
        <v>0</v>
      </c>
      <c r="P31" s="449"/>
      <c r="Q31" s="406">
        <v>0</v>
      </c>
      <c r="R31" s="452">
        <f t="shared" si="6"/>
        <v>0</v>
      </c>
      <c r="S31" s="414">
        <f t="shared" si="7"/>
        <v>2016</v>
      </c>
      <c r="T31" s="449"/>
      <c r="U31" s="406">
        <v>0</v>
      </c>
      <c r="V31" s="452">
        <f t="shared" si="8"/>
        <v>0</v>
      </c>
      <c r="W31" s="449"/>
      <c r="X31" s="406">
        <v>0</v>
      </c>
      <c r="Y31" s="452">
        <f t="shared" si="9"/>
        <v>0</v>
      </c>
      <c r="Z31" s="449"/>
      <c r="AA31" s="406">
        <v>0</v>
      </c>
      <c r="AB31" s="452">
        <f t="shared" si="10"/>
        <v>0</v>
      </c>
      <c r="AC31" s="449"/>
      <c r="AD31" s="406">
        <v>0</v>
      </c>
      <c r="AE31" s="452">
        <f t="shared" si="11"/>
        <v>0</v>
      </c>
      <c r="AF31" s="449"/>
      <c r="AG31" s="406">
        <v>0</v>
      </c>
      <c r="AH31" s="452">
        <f t="shared" si="12"/>
        <v>0</v>
      </c>
      <c r="AI31" s="414">
        <f t="shared" si="13"/>
        <v>2016</v>
      </c>
      <c r="AJ31" s="449"/>
      <c r="AK31" s="406">
        <v>0</v>
      </c>
      <c r="AL31" s="452">
        <f t="shared" si="14"/>
        <v>0</v>
      </c>
      <c r="AM31" s="449"/>
      <c r="AN31" s="406">
        <v>0</v>
      </c>
      <c r="AO31" s="452">
        <f t="shared" si="15"/>
        <v>0</v>
      </c>
      <c r="AP31" s="449"/>
      <c r="AQ31" s="406">
        <v>0</v>
      </c>
      <c r="AR31" s="452">
        <f t="shared" si="16"/>
        <v>0</v>
      </c>
      <c r="AS31" s="449"/>
      <c r="AT31" s="406">
        <v>0</v>
      </c>
      <c r="AU31" s="452">
        <f t="shared" si="17"/>
        <v>0</v>
      </c>
      <c r="AV31" s="449"/>
      <c r="AW31" s="406">
        <v>0</v>
      </c>
      <c r="AX31" s="452">
        <f t="shared" si="18"/>
        <v>0</v>
      </c>
      <c r="AY31" s="414">
        <f t="shared" si="19"/>
        <v>2016</v>
      </c>
      <c r="AZ31" s="449"/>
      <c r="BA31" s="406">
        <v>0</v>
      </c>
      <c r="BB31" s="452">
        <f t="shared" si="20"/>
        <v>0</v>
      </c>
      <c r="BC31" s="449"/>
      <c r="BD31" s="406">
        <v>0</v>
      </c>
      <c r="BE31" s="452">
        <f t="shared" si="21"/>
        <v>0</v>
      </c>
      <c r="BF31" s="449"/>
      <c r="BG31" s="406">
        <v>0</v>
      </c>
      <c r="BH31" s="452">
        <f t="shared" si="22"/>
        <v>0</v>
      </c>
      <c r="BI31" s="449"/>
      <c r="BJ31" s="406">
        <v>0</v>
      </c>
      <c r="BK31" s="452">
        <f t="shared" si="23"/>
        <v>0</v>
      </c>
      <c r="BL31" s="449"/>
      <c r="BM31" s="406">
        <v>0</v>
      </c>
      <c r="BN31" s="452">
        <f t="shared" si="24"/>
        <v>0</v>
      </c>
    </row>
    <row r="32" spans="1:66" ht="12.75">
      <c r="A32" s="391">
        <f t="shared" si="2"/>
        <v>23</v>
      </c>
      <c r="B32" s="400">
        <f t="shared" si="25"/>
        <v>2017</v>
      </c>
      <c r="C32" s="415">
        <f t="shared" si="26"/>
        <v>0</v>
      </c>
      <c r="D32" s="415">
        <f t="shared" si="27"/>
        <v>0</v>
      </c>
      <c r="E32" s="415">
        <f t="shared" si="28"/>
        <v>0</v>
      </c>
      <c r="F32" s="414">
        <f t="shared" si="1"/>
        <v>2017</v>
      </c>
      <c r="G32" s="449"/>
      <c r="H32" s="406">
        <v>0</v>
      </c>
      <c r="I32" s="452">
        <f t="shared" si="3"/>
        <v>0</v>
      </c>
      <c r="J32" s="449"/>
      <c r="K32" s="406">
        <v>0</v>
      </c>
      <c r="L32" s="452">
        <f t="shared" si="4"/>
        <v>0</v>
      </c>
      <c r="M32" s="449"/>
      <c r="N32" s="406">
        <v>0</v>
      </c>
      <c r="O32" s="452">
        <f t="shared" si="5"/>
        <v>0</v>
      </c>
      <c r="P32" s="449"/>
      <c r="Q32" s="406">
        <v>0</v>
      </c>
      <c r="R32" s="452">
        <f t="shared" si="6"/>
        <v>0</v>
      </c>
      <c r="S32" s="414">
        <f t="shared" si="7"/>
        <v>2017</v>
      </c>
      <c r="T32" s="449"/>
      <c r="U32" s="406">
        <v>0</v>
      </c>
      <c r="V32" s="452">
        <f t="shared" si="8"/>
        <v>0</v>
      </c>
      <c r="W32" s="449"/>
      <c r="X32" s="406">
        <v>0</v>
      </c>
      <c r="Y32" s="452">
        <f t="shared" si="9"/>
        <v>0</v>
      </c>
      <c r="Z32" s="449"/>
      <c r="AA32" s="406">
        <v>0</v>
      </c>
      <c r="AB32" s="452">
        <f t="shared" si="10"/>
        <v>0</v>
      </c>
      <c r="AC32" s="449"/>
      <c r="AD32" s="406">
        <v>0</v>
      </c>
      <c r="AE32" s="452">
        <f t="shared" si="11"/>
        <v>0</v>
      </c>
      <c r="AF32" s="449"/>
      <c r="AG32" s="406">
        <v>0</v>
      </c>
      <c r="AH32" s="452">
        <f t="shared" si="12"/>
        <v>0</v>
      </c>
      <c r="AI32" s="414">
        <f t="shared" si="13"/>
        <v>2017</v>
      </c>
      <c r="AJ32" s="449"/>
      <c r="AK32" s="406">
        <v>0</v>
      </c>
      <c r="AL32" s="452">
        <f t="shared" si="14"/>
        <v>0</v>
      </c>
      <c r="AM32" s="449"/>
      <c r="AN32" s="406">
        <v>0</v>
      </c>
      <c r="AO32" s="452">
        <f t="shared" si="15"/>
        <v>0</v>
      </c>
      <c r="AP32" s="449"/>
      <c r="AQ32" s="406">
        <v>0</v>
      </c>
      <c r="AR32" s="452">
        <f t="shared" si="16"/>
        <v>0</v>
      </c>
      <c r="AS32" s="449"/>
      <c r="AT32" s="406">
        <v>0</v>
      </c>
      <c r="AU32" s="452">
        <f t="shared" si="17"/>
        <v>0</v>
      </c>
      <c r="AV32" s="449"/>
      <c r="AW32" s="406">
        <v>0</v>
      </c>
      <c r="AX32" s="452">
        <f t="shared" si="18"/>
        <v>0</v>
      </c>
      <c r="AY32" s="414">
        <f t="shared" si="19"/>
        <v>2017</v>
      </c>
      <c r="AZ32" s="449"/>
      <c r="BA32" s="406">
        <v>0</v>
      </c>
      <c r="BB32" s="452">
        <f t="shared" si="20"/>
        <v>0</v>
      </c>
      <c r="BC32" s="449"/>
      <c r="BD32" s="406">
        <v>0</v>
      </c>
      <c r="BE32" s="452">
        <f t="shared" si="21"/>
        <v>0</v>
      </c>
      <c r="BF32" s="449"/>
      <c r="BG32" s="406">
        <v>0</v>
      </c>
      <c r="BH32" s="452">
        <f t="shared" si="22"/>
        <v>0</v>
      </c>
      <c r="BI32" s="449"/>
      <c r="BJ32" s="406">
        <v>0</v>
      </c>
      <c r="BK32" s="452">
        <f t="shared" si="23"/>
        <v>0</v>
      </c>
      <c r="BL32" s="449"/>
      <c r="BM32" s="406">
        <v>0</v>
      </c>
      <c r="BN32" s="452">
        <f t="shared" si="24"/>
        <v>0</v>
      </c>
    </row>
    <row r="33" spans="1:66" ht="12.75">
      <c r="A33" s="391">
        <f t="shared" si="2"/>
        <v>24</v>
      </c>
      <c r="B33" s="400">
        <f t="shared" si="25"/>
        <v>2018</v>
      </c>
      <c r="C33" s="415">
        <f t="shared" si="26"/>
        <v>0</v>
      </c>
      <c r="D33" s="415">
        <f t="shared" si="27"/>
        <v>0</v>
      </c>
      <c r="E33" s="415">
        <f t="shared" si="28"/>
        <v>0</v>
      </c>
      <c r="F33" s="414">
        <f t="shared" si="1"/>
        <v>2018</v>
      </c>
      <c r="G33" s="449"/>
      <c r="H33" s="406">
        <v>0</v>
      </c>
      <c r="I33" s="452">
        <f t="shared" si="3"/>
        <v>0</v>
      </c>
      <c r="J33" s="449"/>
      <c r="K33" s="406">
        <v>0</v>
      </c>
      <c r="L33" s="452">
        <f t="shared" si="4"/>
        <v>0</v>
      </c>
      <c r="M33" s="449"/>
      <c r="N33" s="406">
        <v>0</v>
      </c>
      <c r="O33" s="452">
        <f t="shared" si="5"/>
        <v>0</v>
      </c>
      <c r="P33" s="449"/>
      <c r="Q33" s="406">
        <v>0</v>
      </c>
      <c r="R33" s="452">
        <f t="shared" si="6"/>
        <v>0</v>
      </c>
      <c r="S33" s="414">
        <f t="shared" si="7"/>
        <v>2018</v>
      </c>
      <c r="T33" s="449"/>
      <c r="U33" s="406">
        <v>0</v>
      </c>
      <c r="V33" s="452">
        <f t="shared" si="8"/>
        <v>0</v>
      </c>
      <c r="W33" s="449"/>
      <c r="X33" s="406">
        <v>0</v>
      </c>
      <c r="Y33" s="452">
        <f t="shared" si="9"/>
        <v>0</v>
      </c>
      <c r="Z33" s="449"/>
      <c r="AA33" s="406">
        <v>0</v>
      </c>
      <c r="AB33" s="452">
        <f t="shared" si="10"/>
        <v>0</v>
      </c>
      <c r="AC33" s="449"/>
      <c r="AD33" s="406">
        <v>0</v>
      </c>
      <c r="AE33" s="452">
        <f t="shared" si="11"/>
        <v>0</v>
      </c>
      <c r="AF33" s="449"/>
      <c r="AG33" s="406">
        <v>0</v>
      </c>
      <c r="AH33" s="452">
        <f t="shared" si="12"/>
        <v>0</v>
      </c>
      <c r="AI33" s="414">
        <f t="shared" si="13"/>
        <v>2018</v>
      </c>
      <c r="AJ33" s="449"/>
      <c r="AK33" s="406">
        <v>0</v>
      </c>
      <c r="AL33" s="452">
        <f t="shared" si="14"/>
        <v>0</v>
      </c>
      <c r="AM33" s="449"/>
      <c r="AN33" s="406">
        <v>0</v>
      </c>
      <c r="AO33" s="452">
        <f t="shared" si="15"/>
        <v>0</v>
      </c>
      <c r="AP33" s="449"/>
      <c r="AQ33" s="406">
        <v>0</v>
      </c>
      <c r="AR33" s="452">
        <f t="shared" si="16"/>
        <v>0</v>
      </c>
      <c r="AS33" s="449"/>
      <c r="AT33" s="406">
        <v>0</v>
      </c>
      <c r="AU33" s="452">
        <f t="shared" si="17"/>
        <v>0</v>
      </c>
      <c r="AV33" s="449"/>
      <c r="AW33" s="406">
        <v>0</v>
      </c>
      <c r="AX33" s="452">
        <f t="shared" si="18"/>
        <v>0</v>
      </c>
      <c r="AY33" s="414">
        <f t="shared" si="19"/>
        <v>2018</v>
      </c>
      <c r="AZ33" s="449"/>
      <c r="BA33" s="406">
        <v>0</v>
      </c>
      <c r="BB33" s="452">
        <f t="shared" si="20"/>
        <v>0</v>
      </c>
      <c r="BC33" s="449"/>
      <c r="BD33" s="406">
        <v>0</v>
      </c>
      <c r="BE33" s="452">
        <f t="shared" si="21"/>
        <v>0</v>
      </c>
      <c r="BF33" s="449"/>
      <c r="BG33" s="406">
        <v>0</v>
      </c>
      <c r="BH33" s="452">
        <f t="shared" si="22"/>
        <v>0</v>
      </c>
      <c r="BI33" s="449"/>
      <c r="BJ33" s="406">
        <v>0</v>
      </c>
      <c r="BK33" s="452">
        <f t="shared" si="23"/>
        <v>0</v>
      </c>
      <c r="BL33" s="449"/>
      <c r="BM33" s="406">
        <v>0</v>
      </c>
      <c r="BN33" s="452">
        <f t="shared" si="24"/>
        <v>0</v>
      </c>
    </row>
    <row r="34" spans="1:66" ht="12.75">
      <c r="A34" s="391">
        <f t="shared" si="2"/>
        <v>25</v>
      </c>
      <c r="B34" s="400">
        <f t="shared" si="25"/>
        <v>2019</v>
      </c>
      <c r="C34" s="415">
        <f t="shared" si="26"/>
        <v>0</v>
      </c>
      <c r="D34" s="415">
        <f t="shared" si="27"/>
        <v>0</v>
      </c>
      <c r="E34" s="415">
        <f t="shared" si="28"/>
        <v>0</v>
      </c>
      <c r="F34" s="414">
        <f t="shared" si="1"/>
        <v>2019</v>
      </c>
      <c r="G34" s="449"/>
      <c r="H34" s="406">
        <v>0</v>
      </c>
      <c r="I34" s="452">
        <f t="shared" si="3"/>
        <v>0</v>
      </c>
      <c r="J34" s="449"/>
      <c r="K34" s="406">
        <v>0</v>
      </c>
      <c r="L34" s="452">
        <f t="shared" si="4"/>
        <v>0</v>
      </c>
      <c r="M34" s="449"/>
      <c r="N34" s="406">
        <v>0</v>
      </c>
      <c r="O34" s="452">
        <f t="shared" si="5"/>
        <v>0</v>
      </c>
      <c r="P34" s="449"/>
      <c r="Q34" s="406">
        <v>0</v>
      </c>
      <c r="R34" s="452">
        <f t="shared" si="6"/>
        <v>0</v>
      </c>
      <c r="S34" s="414">
        <f t="shared" si="7"/>
        <v>2019</v>
      </c>
      <c r="T34" s="449"/>
      <c r="U34" s="406">
        <v>0</v>
      </c>
      <c r="V34" s="452">
        <f t="shared" si="8"/>
        <v>0</v>
      </c>
      <c r="W34" s="449"/>
      <c r="X34" s="406">
        <v>0</v>
      </c>
      <c r="Y34" s="452">
        <f t="shared" si="9"/>
        <v>0</v>
      </c>
      <c r="Z34" s="449"/>
      <c r="AA34" s="406">
        <v>0</v>
      </c>
      <c r="AB34" s="452">
        <f t="shared" si="10"/>
        <v>0</v>
      </c>
      <c r="AC34" s="449"/>
      <c r="AD34" s="406">
        <v>0</v>
      </c>
      <c r="AE34" s="452">
        <f t="shared" si="11"/>
        <v>0</v>
      </c>
      <c r="AF34" s="449"/>
      <c r="AG34" s="406">
        <v>0</v>
      </c>
      <c r="AH34" s="452">
        <f t="shared" si="12"/>
        <v>0</v>
      </c>
      <c r="AI34" s="414">
        <f t="shared" si="13"/>
        <v>2019</v>
      </c>
      <c r="AJ34" s="449"/>
      <c r="AK34" s="406">
        <v>0</v>
      </c>
      <c r="AL34" s="452">
        <f t="shared" si="14"/>
        <v>0</v>
      </c>
      <c r="AM34" s="449"/>
      <c r="AN34" s="406">
        <v>0</v>
      </c>
      <c r="AO34" s="452">
        <f t="shared" si="15"/>
        <v>0</v>
      </c>
      <c r="AP34" s="449"/>
      <c r="AQ34" s="406">
        <v>0</v>
      </c>
      <c r="AR34" s="452">
        <f t="shared" si="16"/>
        <v>0</v>
      </c>
      <c r="AS34" s="449"/>
      <c r="AT34" s="406">
        <v>0</v>
      </c>
      <c r="AU34" s="452">
        <f t="shared" si="17"/>
        <v>0</v>
      </c>
      <c r="AV34" s="449"/>
      <c r="AW34" s="406">
        <v>0</v>
      </c>
      <c r="AX34" s="452">
        <f t="shared" si="18"/>
        <v>0</v>
      </c>
      <c r="AY34" s="414">
        <f t="shared" si="19"/>
        <v>2019</v>
      </c>
      <c r="AZ34" s="449"/>
      <c r="BA34" s="406">
        <v>0</v>
      </c>
      <c r="BB34" s="452">
        <f t="shared" si="20"/>
        <v>0</v>
      </c>
      <c r="BC34" s="449"/>
      <c r="BD34" s="406">
        <v>0</v>
      </c>
      <c r="BE34" s="452">
        <f t="shared" si="21"/>
        <v>0</v>
      </c>
      <c r="BF34" s="449"/>
      <c r="BG34" s="406">
        <v>0</v>
      </c>
      <c r="BH34" s="452">
        <f t="shared" si="22"/>
        <v>0</v>
      </c>
      <c r="BI34" s="449"/>
      <c r="BJ34" s="406">
        <v>0</v>
      </c>
      <c r="BK34" s="452">
        <f t="shared" si="23"/>
        <v>0</v>
      </c>
      <c r="BL34" s="449"/>
      <c r="BM34" s="406">
        <v>0</v>
      </c>
      <c r="BN34" s="452">
        <f t="shared" si="24"/>
        <v>0</v>
      </c>
    </row>
    <row r="35" spans="1:66" ht="12.75">
      <c r="A35" s="391">
        <f t="shared" si="2"/>
        <v>26</v>
      </c>
      <c r="B35" s="400">
        <f t="shared" si="25"/>
        <v>2020</v>
      </c>
      <c r="C35" s="415">
        <f t="shared" si="26"/>
        <v>0</v>
      </c>
      <c r="D35" s="415">
        <f t="shared" si="27"/>
        <v>0</v>
      </c>
      <c r="E35" s="415">
        <f t="shared" si="28"/>
        <v>0</v>
      </c>
      <c r="F35" s="414">
        <f t="shared" si="1"/>
        <v>2020</v>
      </c>
      <c r="G35" s="449"/>
      <c r="H35" s="406">
        <v>0</v>
      </c>
      <c r="I35" s="452">
        <f t="shared" si="3"/>
        <v>0</v>
      </c>
      <c r="J35" s="449"/>
      <c r="K35" s="406">
        <v>0</v>
      </c>
      <c r="L35" s="452">
        <f t="shared" si="4"/>
        <v>0</v>
      </c>
      <c r="M35" s="449"/>
      <c r="N35" s="406">
        <v>0</v>
      </c>
      <c r="O35" s="452">
        <f t="shared" si="5"/>
        <v>0</v>
      </c>
      <c r="P35" s="449"/>
      <c r="Q35" s="406">
        <v>0</v>
      </c>
      <c r="R35" s="452">
        <f t="shared" si="6"/>
        <v>0</v>
      </c>
      <c r="S35" s="414">
        <f t="shared" si="7"/>
        <v>2020</v>
      </c>
      <c r="T35" s="449"/>
      <c r="U35" s="406">
        <v>0</v>
      </c>
      <c r="V35" s="452">
        <f t="shared" si="8"/>
        <v>0</v>
      </c>
      <c r="W35" s="449"/>
      <c r="X35" s="406">
        <v>0</v>
      </c>
      <c r="Y35" s="452">
        <f t="shared" si="9"/>
        <v>0</v>
      </c>
      <c r="Z35" s="449"/>
      <c r="AA35" s="406">
        <v>0</v>
      </c>
      <c r="AB35" s="452">
        <f t="shared" si="10"/>
        <v>0</v>
      </c>
      <c r="AC35" s="449"/>
      <c r="AD35" s="406">
        <v>0</v>
      </c>
      <c r="AE35" s="452">
        <f t="shared" si="11"/>
        <v>0</v>
      </c>
      <c r="AF35" s="449"/>
      <c r="AG35" s="406">
        <v>0</v>
      </c>
      <c r="AH35" s="452">
        <f t="shared" si="12"/>
        <v>0</v>
      </c>
      <c r="AI35" s="414">
        <f t="shared" si="13"/>
        <v>2020</v>
      </c>
      <c r="AJ35" s="449"/>
      <c r="AK35" s="406">
        <v>0</v>
      </c>
      <c r="AL35" s="452">
        <f t="shared" si="14"/>
        <v>0</v>
      </c>
      <c r="AM35" s="449"/>
      <c r="AN35" s="406">
        <v>0</v>
      </c>
      <c r="AO35" s="452">
        <f t="shared" si="15"/>
        <v>0</v>
      </c>
      <c r="AP35" s="449"/>
      <c r="AQ35" s="406">
        <v>0</v>
      </c>
      <c r="AR35" s="452">
        <f t="shared" si="16"/>
        <v>0</v>
      </c>
      <c r="AS35" s="449"/>
      <c r="AT35" s="406">
        <v>0</v>
      </c>
      <c r="AU35" s="452">
        <f t="shared" si="17"/>
        <v>0</v>
      </c>
      <c r="AV35" s="449"/>
      <c r="AW35" s="406">
        <v>0</v>
      </c>
      <c r="AX35" s="452">
        <f t="shared" si="18"/>
        <v>0</v>
      </c>
      <c r="AY35" s="414">
        <f t="shared" si="19"/>
        <v>2020</v>
      </c>
      <c r="AZ35" s="449"/>
      <c r="BA35" s="406">
        <v>0</v>
      </c>
      <c r="BB35" s="452">
        <f t="shared" si="20"/>
        <v>0</v>
      </c>
      <c r="BC35" s="449"/>
      <c r="BD35" s="406">
        <v>0</v>
      </c>
      <c r="BE35" s="452">
        <f t="shared" si="21"/>
        <v>0</v>
      </c>
      <c r="BF35" s="449"/>
      <c r="BG35" s="406">
        <v>0</v>
      </c>
      <c r="BH35" s="452">
        <f t="shared" si="22"/>
        <v>0</v>
      </c>
      <c r="BI35" s="449"/>
      <c r="BJ35" s="406">
        <v>0</v>
      </c>
      <c r="BK35" s="452">
        <f t="shared" si="23"/>
        <v>0</v>
      </c>
      <c r="BL35" s="449"/>
      <c r="BM35" s="406">
        <v>0</v>
      </c>
      <c r="BN35" s="452">
        <f t="shared" si="24"/>
        <v>0</v>
      </c>
    </row>
    <row r="36" spans="1:66" ht="12.75">
      <c r="A36" s="391">
        <f t="shared" si="2"/>
        <v>27</v>
      </c>
      <c r="B36" s="400">
        <f t="shared" si="25"/>
        <v>2021</v>
      </c>
      <c r="C36" s="415">
        <f t="shared" si="26"/>
        <v>0</v>
      </c>
      <c r="D36" s="415">
        <f t="shared" si="27"/>
        <v>0</v>
      </c>
      <c r="E36" s="415">
        <f t="shared" si="28"/>
        <v>0</v>
      </c>
      <c r="F36" s="414">
        <f t="shared" si="1"/>
        <v>2021</v>
      </c>
      <c r="G36" s="449"/>
      <c r="H36" s="406">
        <v>0</v>
      </c>
      <c r="I36" s="452">
        <f t="shared" si="3"/>
        <v>0</v>
      </c>
      <c r="J36" s="449"/>
      <c r="K36" s="406">
        <v>0</v>
      </c>
      <c r="L36" s="452">
        <f t="shared" si="4"/>
        <v>0</v>
      </c>
      <c r="M36" s="449"/>
      <c r="N36" s="406">
        <v>0</v>
      </c>
      <c r="O36" s="452">
        <f t="shared" si="5"/>
        <v>0</v>
      </c>
      <c r="P36" s="449"/>
      <c r="Q36" s="406">
        <v>0</v>
      </c>
      <c r="R36" s="452">
        <f t="shared" si="6"/>
        <v>0</v>
      </c>
      <c r="S36" s="414">
        <f t="shared" si="7"/>
        <v>2021</v>
      </c>
      <c r="T36" s="449"/>
      <c r="U36" s="406">
        <v>0</v>
      </c>
      <c r="V36" s="452">
        <f t="shared" si="8"/>
        <v>0</v>
      </c>
      <c r="W36" s="449"/>
      <c r="X36" s="406">
        <v>0</v>
      </c>
      <c r="Y36" s="452">
        <f t="shared" si="9"/>
        <v>0</v>
      </c>
      <c r="Z36" s="449"/>
      <c r="AA36" s="406">
        <v>0</v>
      </c>
      <c r="AB36" s="452">
        <f t="shared" si="10"/>
        <v>0</v>
      </c>
      <c r="AC36" s="449"/>
      <c r="AD36" s="406">
        <v>0</v>
      </c>
      <c r="AE36" s="452">
        <f t="shared" si="11"/>
        <v>0</v>
      </c>
      <c r="AF36" s="449"/>
      <c r="AG36" s="406">
        <v>0</v>
      </c>
      <c r="AH36" s="452">
        <f t="shared" si="12"/>
        <v>0</v>
      </c>
      <c r="AI36" s="414">
        <f t="shared" si="13"/>
        <v>2021</v>
      </c>
      <c r="AJ36" s="449"/>
      <c r="AK36" s="406">
        <v>0</v>
      </c>
      <c r="AL36" s="452">
        <f t="shared" si="14"/>
        <v>0</v>
      </c>
      <c r="AM36" s="449"/>
      <c r="AN36" s="406">
        <v>0</v>
      </c>
      <c r="AO36" s="452">
        <f t="shared" si="15"/>
        <v>0</v>
      </c>
      <c r="AP36" s="449"/>
      <c r="AQ36" s="406">
        <v>0</v>
      </c>
      <c r="AR36" s="452">
        <f t="shared" si="16"/>
        <v>0</v>
      </c>
      <c r="AS36" s="449"/>
      <c r="AT36" s="406">
        <v>0</v>
      </c>
      <c r="AU36" s="452">
        <f t="shared" si="17"/>
        <v>0</v>
      </c>
      <c r="AV36" s="449"/>
      <c r="AW36" s="406">
        <v>0</v>
      </c>
      <c r="AX36" s="452">
        <f t="shared" si="18"/>
        <v>0</v>
      </c>
      <c r="AY36" s="414">
        <f t="shared" si="19"/>
        <v>2021</v>
      </c>
      <c r="AZ36" s="449"/>
      <c r="BA36" s="406">
        <v>0</v>
      </c>
      <c r="BB36" s="452">
        <f t="shared" si="20"/>
        <v>0</v>
      </c>
      <c r="BC36" s="449"/>
      <c r="BD36" s="406">
        <v>0</v>
      </c>
      <c r="BE36" s="452">
        <f t="shared" si="21"/>
        <v>0</v>
      </c>
      <c r="BF36" s="449"/>
      <c r="BG36" s="406">
        <v>0</v>
      </c>
      <c r="BH36" s="452">
        <f t="shared" si="22"/>
        <v>0</v>
      </c>
      <c r="BI36" s="449"/>
      <c r="BJ36" s="406">
        <v>0</v>
      </c>
      <c r="BK36" s="452">
        <f t="shared" si="23"/>
        <v>0</v>
      </c>
      <c r="BL36" s="449"/>
      <c r="BM36" s="406">
        <v>0</v>
      </c>
      <c r="BN36" s="452">
        <f t="shared" si="24"/>
        <v>0</v>
      </c>
    </row>
    <row r="37" spans="1:66" ht="12.75">
      <c r="A37" s="391">
        <f t="shared" si="2"/>
        <v>28</v>
      </c>
      <c r="B37" s="400">
        <f t="shared" si="25"/>
        <v>2022</v>
      </c>
      <c r="C37" s="415">
        <f t="shared" si="26"/>
        <v>0</v>
      </c>
      <c r="D37" s="415">
        <f t="shared" si="27"/>
        <v>0</v>
      </c>
      <c r="E37" s="415">
        <f t="shared" si="28"/>
        <v>0</v>
      </c>
      <c r="F37" s="414">
        <f t="shared" si="1"/>
        <v>2022</v>
      </c>
      <c r="G37" s="449"/>
      <c r="H37" s="406">
        <v>0</v>
      </c>
      <c r="I37" s="452">
        <f t="shared" si="3"/>
        <v>0</v>
      </c>
      <c r="J37" s="449"/>
      <c r="K37" s="406">
        <v>0</v>
      </c>
      <c r="L37" s="452">
        <f t="shared" si="4"/>
        <v>0</v>
      </c>
      <c r="M37" s="449"/>
      <c r="N37" s="406">
        <v>0</v>
      </c>
      <c r="O37" s="452">
        <f t="shared" si="5"/>
        <v>0</v>
      </c>
      <c r="P37" s="449"/>
      <c r="Q37" s="406">
        <v>0</v>
      </c>
      <c r="R37" s="452">
        <f t="shared" si="6"/>
        <v>0</v>
      </c>
      <c r="S37" s="414">
        <f t="shared" si="7"/>
        <v>2022</v>
      </c>
      <c r="T37" s="449"/>
      <c r="U37" s="406">
        <v>0</v>
      </c>
      <c r="V37" s="452">
        <f t="shared" si="8"/>
        <v>0</v>
      </c>
      <c r="W37" s="449"/>
      <c r="X37" s="406">
        <v>0</v>
      </c>
      <c r="Y37" s="452">
        <f t="shared" si="9"/>
        <v>0</v>
      </c>
      <c r="Z37" s="449"/>
      <c r="AA37" s="406">
        <v>0</v>
      </c>
      <c r="AB37" s="452">
        <f t="shared" si="10"/>
        <v>0</v>
      </c>
      <c r="AC37" s="449"/>
      <c r="AD37" s="406">
        <v>0</v>
      </c>
      <c r="AE37" s="452">
        <f t="shared" si="11"/>
        <v>0</v>
      </c>
      <c r="AF37" s="449"/>
      <c r="AG37" s="406">
        <v>0</v>
      </c>
      <c r="AH37" s="452">
        <f t="shared" si="12"/>
        <v>0</v>
      </c>
      <c r="AI37" s="414">
        <f t="shared" si="13"/>
        <v>2022</v>
      </c>
      <c r="AJ37" s="449"/>
      <c r="AK37" s="406">
        <v>0</v>
      </c>
      <c r="AL37" s="452">
        <f t="shared" si="14"/>
        <v>0</v>
      </c>
      <c r="AM37" s="449"/>
      <c r="AN37" s="406">
        <v>0</v>
      </c>
      <c r="AO37" s="452">
        <f t="shared" si="15"/>
        <v>0</v>
      </c>
      <c r="AP37" s="449"/>
      <c r="AQ37" s="406">
        <v>0</v>
      </c>
      <c r="AR37" s="452">
        <f t="shared" si="16"/>
        <v>0</v>
      </c>
      <c r="AS37" s="449"/>
      <c r="AT37" s="406">
        <v>0</v>
      </c>
      <c r="AU37" s="452">
        <f t="shared" si="17"/>
        <v>0</v>
      </c>
      <c r="AV37" s="449"/>
      <c r="AW37" s="406">
        <v>0</v>
      </c>
      <c r="AX37" s="452">
        <f t="shared" si="18"/>
        <v>0</v>
      </c>
      <c r="AY37" s="414">
        <f t="shared" si="19"/>
        <v>2022</v>
      </c>
      <c r="AZ37" s="449"/>
      <c r="BA37" s="406">
        <v>0</v>
      </c>
      <c r="BB37" s="452">
        <f t="shared" si="20"/>
        <v>0</v>
      </c>
      <c r="BC37" s="449"/>
      <c r="BD37" s="406">
        <v>0</v>
      </c>
      <c r="BE37" s="452">
        <f t="shared" si="21"/>
        <v>0</v>
      </c>
      <c r="BF37" s="449"/>
      <c r="BG37" s="406">
        <v>0</v>
      </c>
      <c r="BH37" s="452">
        <f t="shared" si="22"/>
        <v>0</v>
      </c>
      <c r="BI37" s="449"/>
      <c r="BJ37" s="406">
        <v>0</v>
      </c>
      <c r="BK37" s="452">
        <f t="shared" si="23"/>
        <v>0</v>
      </c>
      <c r="BL37" s="449"/>
      <c r="BM37" s="406">
        <v>0</v>
      </c>
      <c r="BN37" s="452">
        <f t="shared" si="24"/>
        <v>0</v>
      </c>
    </row>
    <row r="38" spans="1:66" ht="12.75">
      <c r="A38" s="391">
        <f t="shared" si="2"/>
        <v>29</v>
      </c>
      <c r="B38" s="400">
        <f t="shared" si="25"/>
        <v>2023</v>
      </c>
      <c r="C38" s="415">
        <f t="shared" si="26"/>
        <v>0</v>
      </c>
      <c r="D38" s="415">
        <f t="shared" si="27"/>
        <v>0</v>
      </c>
      <c r="E38" s="415">
        <f t="shared" si="28"/>
        <v>0</v>
      </c>
      <c r="F38" s="414">
        <f t="shared" si="1"/>
        <v>2023</v>
      </c>
      <c r="G38" s="449"/>
      <c r="H38" s="406">
        <v>0</v>
      </c>
      <c r="I38" s="452">
        <f t="shared" si="3"/>
        <v>0</v>
      </c>
      <c r="J38" s="449"/>
      <c r="K38" s="406">
        <v>0</v>
      </c>
      <c r="L38" s="452">
        <f t="shared" si="4"/>
        <v>0</v>
      </c>
      <c r="M38" s="449"/>
      <c r="N38" s="406">
        <v>0</v>
      </c>
      <c r="O38" s="452">
        <f t="shared" si="5"/>
        <v>0</v>
      </c>
      <c r="P38" s="449"/>
      <c r="Q38" s="406">
        <v>0</v>
      </c>
      <c r="R38" s="452">
        <f t="shared" si="6"/>
        <v>0</v>
      </c>
      <c r="S38" s="414">
        <f t="shared" si="7"/>
        <v>2023</v>
      </c>
      <c r="T38" s="449"/>
      <c r="U38" s="406">
        <v>0</v>
      </c>
      <c r="V38" s="452">
        <f t="shared" si="8"/>
        <v>0</v>
      </c>
      <c r="W38" s="449"/>
      <c r="X38" s="406">
        <v>0</v>
      </c>
      <c r="Y38" s="452">
        <f t="shared" si="9"/>
        <v>0</v>
      </c>
      <c r="Z38" s="449"/>
      <c r="AA38" s="406">
        <v>0</v>
      </c>
      <c r="AB38" s="452">
        <f t="shared" si="10"/>
        <v>0</v>
      </c>
      <c r="AC38" s="449"/>
      <c r="AD38" s="406">
        <v>0</v>
      </c>
      <c r="AE38" s="452">
        <f t="shared" si="11"/>
        <v>0</v>
      </c>
      <c r="AF38" s="449"/>
      <c r="AG38" s="406">
        <v>0</v>
      </c>
      <c r="AH38" s="452">
        <f t="shared" si="12"/>
        <v>0</v>
      </c>
      <c r="AI38" s="414">
        <f t="shared" si="13"/>
        <v>2023</v>
      </c>
      <c r="AJ38" s="449"/>
      <c r="AK38" s="406">
        <v>0</v>
      </c>
      <c r="AL38" s="452">
        <f t="shared" si="14"/>
        <v>0</v>
      </c>
      <c r="AM38" s="449"/>
      <c r="AN38" s="406">
        <v>0</v>
      </c>
      <c r="AO38" s="452">
        <f t="shared" si="15"/>
        <v>0</v>
      </c>
      <c r="AP38" s="449"/>
      <c r="AQ38" s="406">
        <v>0</v>
      </c>
      <c r="AR38" s="452">
        <f t="shared" si="16"/>
        <v>0</v>
      </c>
      <c r="AS38" s="449"/>
      <c r="AT38" s="406">
        <v>0</v>
      </c>
      <c r="AU38" s="452">
        <f t="shared" si="17"/>
        <v>0</v>
      </c>
      <c r="AV38" s="449"/>
      <c r="AW38" s="406">
        <v>0</v>
      </c>
      <c r="AX38" s="452">
        <f t="shared" si="18"/>
        <v>0</v>
      </c>
      <c r="AY38" s="414">
        <f t="shared" si="19"/>
        <v>2023</v>
      </c>
      <c r="AZ38" s="449"/>
      <c r="BA38" s="406">
        <v>0</v>
      </c>
      <c r="BB38" s="452">
        <f t="shared" si="20"/>
        <v>0</v>
      </c>
      <c r="BC38" s="449"/>
      <c r="BD38" s="406">
        <v>0</v>
      </c>
      <c r="BE38" s="452">
        <f t="shared" si="21"/>
        <v>0</v>
      </c>
      <c r="BF38" s="449"/>
      <c r="BG38" s="406">
        <v>0</v>
      </c>
      <c r="BH38" s="452">
        <f t="shared" si="22"/>
        <v>0</v>
      </c>
      <c r="BI38" s="449"/>
      <c r="BJ38" s="406">
        <v>0</v>
      </c>
      <c r="BK38" s="452">
        <f t="shared" si="23"/>
        <v>0</v>
      </c>
      <c r="BL38" s="449"/>
      <c r="BM38" s="406">
        <v>0</v>
      </c>
      <c r="BN38" s="452">
        <f t="shared" si="24"/>
        <v>0</v>
      </c>
    </row>
    <row r="39" spans="1:66" ht="12.75">
      <c r="A39" s="391">
        <f t="shared" si="2"/>
        <v>30</v>
      </c>
      <c r="B39" s="400">
        <f t="shared" si="25"/>
        <v>2024</v>
      </c>
      <c r="C39" s="415">
        <f t="shared" si="26"/>
        <v>0</v>
      </c>
      <c r="D39" s="415">
        <f t="shared" si="27"/>
        <v>0</v>
      </c>
      <c r="E39" s="415">
        <f t="shared" si="28"/>
        <v>0</v>
      </c>
      <c r="F39" s="414">
        <f t="shared" si="1"/>
        <v>2024</v>
      </c>
      <c r="G39" s="449"/>
      <c r="H39" s="406">
        <v>0</v>
      </c>
      <c r="I39" s="452">
        <f t="shared" si="3"/>
        <v>0</v>
      </c>
      <c r="J39" s="449"/>
      <c r="K39" s="406">
        <v>0</v>
      </c>
      <c r="L39" s="452">
        <f t="shared" si="4"/>
        <v>0</v>
      </c>
      <c r="M39" s="449"/>
      <c r="N39" s="406">
        <v>0</v>
      </c>
      <c r="O39" s="452">
        <f t="shared" si="5"/>
        <v>0</v>
      </c>
      <c r="P39" s="449"/>
      <c r="Q39" s="406">
        <v>0</v>
      </c>
      <c r="R39" s="452">
        <f t="shared" si="6"/>
        <v>0</v>
      </c>
      <c r="S39" s="414">
        <f t="shared" si="7"/>
        <v>2024</v>
      </c>
      <c r="T39" s="449"/>
      <c r="U39" s="406">
        <v>0</v>
      </c>
      <c r="V39" s="452">
        <f t="shared" si="8"/>
        <v>0</v>
      </c>
      <c r="W39" s="449"/>
      <c r="X39" s="406">
        <v>0</v>
      </c>
      <c r="Y39" s="452">
        <f t="shared" si="9"/>
        <v>0</v>
      </c>
      <c r="Z39" s="449"/>
      <c r="AA39" s="406">
        <v>0</v>
      </c>
      <c r="AB39" s="452">
        <f t="shared" si="10"/>
        <v>0</v>
      </c>
      <c r="AC39" s="449"/>
      <c r="AD39" s="406">
        <v>0</v>
      </c>
      <c r="AE39" s="452">
        <f t="shared" si="11"/>
        <v>0</v>
      </c>
      <c r="AF39" s="449"/>
      <c r="AG39" s="406">
        <v>0</v>
      </c>
      <c r="AH39" s="452">
        <f t="shared" si="12"/>
        <v>0</v>
      </c>
      <c r="AI39" s="414">
        <f t="shared" si="13"/>
        <v>2024</v>
      </c>
      <c r="AJ39" s="449"/>
      <c r="AK39" s="406">
        <v>0</v>
      </c>
      <c r="AL39" s="452">
        <f t="shared" si="14"/>
        <v>0</v>
      </c>
      <c r="AM39" s="449"/>
      <c r="AN39" s="406">
        <v>0</v>
      </c>
      <c r="AO39" s="452">
        <f t="shared" si="15"/>
        <v>0</v>
      </c>
      <c r="AP39" s="449"/>
      <c r="AQ39" s="406">
        <v>0</v>
      </c>
      <c r="AR39" s="452">
        <f t="shared" si="16"/>
        <v>0</v>
      </c>
      <c r="AS39" s="449"/>
      <c r="AT39" s="406">
        <v>0</v>
      </c>
      <c r="AU39" s="452">
        <f t="shared" si="17"/>
        <v>0</v>
      </c>
      <c r="AV39" s="449"/>
      <c r="AW39" s="406">
        <v>0</v>
      </c>
      <c r="AX39" s="452">
        <f t="shared" si="18"/>
        <v>0</v>
      </c>
      <c r="AY39" s="414">
        <f t="shared" si="19"/>
        <v>2024</v>
      </c>
      <c r="AZ39" s="449"/>
      <c r="BA39" s="406">
        <v>0</v>
      </c>
      <c r="BB39" s="452">
        <f t="shared" si="20"/>
        <v>0</v>
      </c>
      <c r="BC39" s="449"/>
      <c r="BD39" s="406">
        <v>0</v>
      </c>
      <c r="BE39" s="452">
        <f t="shared" si="21"/>
        <v>0</v>
      </c>
      <c r="BF39" s="449"/>
      <c r="BG39" s="406">
        <v>0</v>
      </c>
      <c r="BH39" s="452">
        <f t="shared" si="22"/>
        <v>0</v>
      </c>
      <c r="BI39" s="449"/>
      <c r="BJ39" s="406">
        <v>0</v>
      </c>
      <c r="BK39" s="452">
        <f t="shared" si="23"/>
        <v>0</v>
      </c>
      <c r="BL39" s="449"/>
      <c r="BM39" s="406">
        <v>0</v>
      </c>
      <c r="BN39" s="452">
        <f t="shared" si="24"/>
        <v>0</v>
      </c>
    </row>
    <row r="40" spans="1:66" ht="12.75">
      <c r="A40" s="391">
        <f t="shared" si="2"/>
        <v>31</v>
      </c>
      <c r="B40" s="400">
        <f t="shared" si="25"/>
        <v>2025</v>
      </c>
      <c r="C40" s="415">
        <f t="shared" si="26"/>
        <v>0</v>
      </c>
      <c r="D40" s="415">
        <f t="shared" si="27"/>
        <v>0</v>
      </c>
      <c r="E40" s="415">
        <f t="shared" si="28"/>
        <v>0</v>
      </c>
      <c r="F40" s="414">
        <f t="shared" si="1"/>
        <v>2025</v>
      </c>
      <c r="G40" s="449"/>
      <c r="H40" s="406">
        <v>0</v>
      </c>
      <c r="I40" s="452">
        <f t="shared" si="3"/>
        <v>0</v>
      </c>
      <c r="J40" s="449"/>
      <c r="K40" s="406">
        <v>0</v>
      </c>
      <c r="L40" s="452">
        <f t="shared" si="4"/>
        <v>0</v>
      </c>
      <c r="M40" s="449"/>
      <c r="N40" s="406">
        <v>0</v>
      </c>
      <c r="O40" s="452">
        <f t="shared" si="5"/>
        <v>0</v>
      </c>
      <c r="P40" s="449"/>
      <c r="Q40" s="406">
        <v>0</v>
      </c>
      <c r="R40" s="452">
        <f t="shared" si="6"/>
        <v>0</v>
      </c>
      <c r="S40" s="414">
        <f t="shared" si="7"/>
        <v>2025</v>
      </c>
      <c r="T40" s="449"/>
      <c r="U40" s="406">
        <v>0</v>
      </c>
      <c r="V40" s="452">
        <f t="shared" si="8"/>
        <v>0</v>
      </c>
      <c r="W40" s="449"/>
      <c r="X40" s="406">
        <v>0</v>
      </c>
      <c r="Y40" s="452">
        <f t="shared" si="9"/>
        <v>0</v>
      </c>
      <c r="Z40" s="449"/>
      <c r="AA40" s="406">
        <v>0</v>
      </c>
      <c r="AB40" s="452">
        <f t="shared" si="10"/>
        <v>0</v>
      </c>
      <c r="AC40" s="449"/>
      <c r="AD40" s="406">
        <v>0</v>
      </c>
      <c r="AE40" s="452">
        <f t="shared" si="11"/>
        <v>0</v>
      </c>
      <c r="AF40" s="449"/>
      <c r="AG40" s="406">
        <v>0</v>
      </c>
      <c r="AH40" s="452">
        <f t="shared" si="12"/>
        <v>0</v>
      </c>
      <c r="AI40" s="414">
        <f t="shared" si="13"/>
        <v>2025</v>
      </c>
      <c r="AJ40" s="449"/>
      <c r="AK40" s="406">
        <v>0</v>
      </c>
      <c r="AL40" s="452">
        <f t="shared" si="14"/>
        <v>0</v>
      </c>
      <c r="AM40" s="449"/>
      <c r="AN40" s="406">
        <v>0</v>
      </c>
      <c r="AO40" s="452">
        <f t="shared" si="15"/>
        <v>0</v>
      </c>
      <c r="AP40" s="449"/>
      <c r="AQ40" s="406">
        <v>0</v>
      </c>
      <c r="AR40" s="452">
        <f t="shared" si="16"/>
        <v>0</v>
      </c>
      <c r="AS40" s="449"/>
      <c r="AT40" s="406">
        <v>0</v>
      </c>
      <c r="AU40" s="452">
        <f t="shared" si="17"/>
        <v>0</v>
      </c>
      <c r="AV40" s="449"/>
      <c r="AW40" s="406">
        <v>0</v>
      </c>
      <c r="AX40" s="452">
        <f t="shared" si="18"/>
        <v>0</v>
      </c>
      <c r="AY40" s="414">
        <f t="shared" si="19"/>
        <v>2025</v>
      </c>
      <c r="AZ40" s="449"/>
      <c r="BA40" s="406">
        <v>0</v>
      </c>
      <c r="BB40" s="452">
        <f t="shared" si="20"/>
        <v>0</v>
      </c>
      <c r="BC40" s="449"/>
      <c r="BD40" s="406">
        <v>0</v>
      </c>
      <c r="BE40" s="452">
        <f t="shared" si="21"/>
        <v>0</v>
      </c>
      <c r="BF40" s="449"/>
      <c r="BG40" s="406">
        <v>0</v>
      </c>
      <c r="BH40" s="452">
        <f t="shared" si="22"/>
        <v>0</v>
      </c>
      <c r="BI40" s="449"/>
      <c r="BJ40" s="406">
        <v>0</v>
      </c>
      <c r="BK40" s="452">
        <f t="shared" si="23"/>
        <v>0</v>
      </c>
      <c r="BL40" s="449"/>
      <c r="BM40" s="406">
        <v>0</v>
      </c>
      <c r="BN40" s="452">
        <f t="shared" si="24"/>
        <v>0</v>
      </c>
    </row>
    <row r="41" spans="1:66" ht="12.75">
      <c r="A41" s="391">
        <f t="shared" si="2"/>
        <v>32</v>
      </c>
      <c r="B41" s="400">
        <f t="shared" si="25"/>
        <v>2026</v>
      </c>
      <c r="C41" s="415">
        <f t="shared" si="26"/>
        <v>0</v>
      </c>
      <c r="D41" s="415">
        <f t="shared" si="27"/>
        <v>0</v>
      </c>
      <c r="E41" s="415">
        <f t="shared" si="28"/>
        <v>0</v>
      </c>
      <c r="F41" s="414">
        <f t="shared" si="1"/>
        <v>2026</v>
      </c>
      <c r="G41" s="449"/>
      <c r="H41" s="406">
        <v>0</v>
      </c>
      <c r="I41" s="452">
        <f t="shared" si="3"/>
        <v>0</v>
      </c>
      <c r="J41" s="449"/>
      <c r="K41" s="406">
        <v>0</v>
      </c>
      <c r="L41" s="452">
        <f t="shared" si="4"/>
        <v>0</v>
      </c>
      <c r="M41" s="449"/>
      <c r="N41" s="406">
        <v>0</v>
      </c>
      <c r="O41" s="452">
        <f t="shared" si="5"/>
        <v>0</v>
      </c>
      <c r="P41" s="449"/>
      <c r="Q41" s="406">
        <v>0</v>
      </c>
      <c r="R41" s="452">
        <f t="shared" si="6"/>
        <v>0</v>
      </c>
      <c r="S41" s="414">
        <f t="shared" si="7"/>
        <v>2026</v>
      </c>
      <c r="T41" s="449"/>
      <c r="U41" s="406">
        <v>0</v>
      </c>
      <c r="V41" s="452">
        <f t="shared" si="8"/>
        <v>0</v>
      </c>
      <c r="W41" s="449"/>
      <c r="X41" s="406">
        <v>0</v>
      </c>
      <c r="Y41" s="452">
        <f t="shared" si="9"/>
        <v>0</v>
      </c>
      <c r="Z41" s="449"/>
      <c r="AA41" s="406">
        <v>0</v>
      </c>
      <c r="AB41" s="452">
        <f t="shared" si="10"/>
        <v>0</v>
      </c>
      <c r="AC41" s="449"/>
      <c r="AD41" s="406">
        <v>0</v>
      </c>
      <c r="AE41" s="452">
        <f t="shared" si="11"/>
        <v>0</v>
      </c>
      <c r="AF41" s="449"/>
      <c r="AG41" s="406">
        <v>0</v>
      </c>
      <c r="AH41" s="452">
        <f t="shared" si="12"/>
        <v>0</v>
      </c>
      <c r="AI41" s="414">
        <f t="shared" si="13"/>
        <v>2026</v>
      </c>
      <c r="AJ41" s="449"/>
      <c r="AK41" s="406">
        <v>0</v>
      </c>
      <c r="AL41" s="452">
        <f t="shared" si="14"/>
        <v>0</v>
      </c>
      <c r="AM41" s="449"/>
      <c r="AN41" s="406">
        <v>0</v>
      </c>
      <c r="AO41" s="452">
        <f t="shared" si="15"/>
        <v>0</v>
      </c>
      <c r="AP41" s="449"/>
      <c r="AQ41" s="406">
        <v>0</v>
      </c>
      <c r="AR41" s="452">
        <f t="shared" si="16"/>
        <v>0</v>
      </c>
      <c r="AS41" s="449"/>
      <c r="AT41" s="406">
        <v>0</v>
      </c>
      <c r="AU41" s="452">
        <f t="shared" si="17"/>
        <v>0</v>
      </c>
      <c r="AV41" s="449"/>
      <c r="AW41" s="406">
        <v>0</v>
      </c>
      <c r="AX41" s="452">
        <f t="shared" si="18"/>
        <v>0</v>
      </c>
      <c r="AY41" s="414">
        <f t="shared" si="19"/>
        <v>2026</v>
      </c>
      <c r="AZ41" s="449"/>
      <c r="BA41" s="406">
        <v>0</v>
      </c>
      <c r="BB41" s="452">
        <f t="shared" si="20"/>
        <v>0</v>
      </c>
      <c r="BC41" s="449"/>
      <c r="BD41" s="406">
        <v>0</v>
      </c>
      <c r="BE41" s="452">
        <f t="shared" si="21"/>
        <v>0</v>
      </c>
      <c r="BF41" s="449"/>
      <c r="BG41" s="406">
        <v>0</v>
      </c>
      <c r="BH41" s="452">
        <f t="shared" si="22"/>
        <v>0</v>
      </c>
      <c r="BI41" s="449"/>
      <c r="BJ41" s="406">
        <v>0</v>
      </c>
      <c r="BK41" s="452">
        <f t="shared" si="23"/>
        <v>0</v>
      </c>
      <c r="BL41" s="449"/>
      <c r="BM41" s="406">
        <v>0</v>
      </c>
      <c r="BN41" s="452">
        <f t="shared" si="24"/>
        <v>0</v>
      </c>
    </row>
    <row r="42" spans="1:66" ht="12.75">
      <c r="A42" s="391">
        <f t="shared" si="2"/>
        <v>33</v>
      </c>
      <c r="B42" s="400">
        <f t="shared" si="25"/>
        <v>2027</v>
      </c>
      <c r="C42" s="415">
        <f t="shared" si="26"/>
        <v>0</v>
      </c>
      <c r="D42" s="415">
        <f t="shared" si="27"/>
        <v>0</v>
      </c>
      <c r="E42" s="415">
        <f t="shared" si="28"/>
        <v>0</v>
      </c>
      <c r="F42" s="414">
        <f t="shared" si="1"/>
        <v>2027</v>
      </c>
      <c r="G42" s="449"/>
      <c r="H42" s="406">
        <v>0</v>
      </c>
      <c r="I42" s="452">
        <f t="shared" si="3"/>
        <v>0</v>
      </c>
      <c r="J42" s="449"/>
      <c r="K42" s="406">
        <v>0</v>
      </c>
      <c r="L42" s="452">
        <f t="shared" si="4"/>
        <v>0</v>
      </c>
      <c r="M42" s="449"/>
      <c r="N42" s="406">
        <v>0</v>
      </c>
      <c r="O42" s="452">
        <f t="shared" si="5"/>
        <v>0</v>
      </c>
      <c r="P42" s="449"/>
      <c r="Q42" s="406">
        <v>0</v>
      </c>
      <c r="R42" s="452">
        <f t="shared" si="6"/>
        <v>0</v>
      </c>
      <c r="S42" s="414">
        <f t="shared" si="7"/>
        <v>2027</v>
      </c>
      <c r="T42" s="449"/>
      <c r="U42" s="406">
        <v>0</v>
      </c>
      <c r="V42" s="452">
        <f t="shared" si="8"/>
        <v>0</v>
      </c>
      <c r="W42" s="449"/>
      <c r="X42" s="406">
        <v>0</v>
      </c>
      <c r="Y42" s="452">
        <f t="shared" si="9"/>
        <v>0</v>
      </c>
      <c r="Z42" s="449"/>
      <c r="AA42" s="406">
        <v>0</v>
      </c>
      <c r="AB42" s="452">
        <f t="shared" si="10"/>
        <v>0</v>
      </c>
      <c r="AC42" s="449"/>
      <c r="AD42" s="406">
        <v>0</v>
      </c>
      <c r="AE42" s="452">
        <f t="shared" si="11"/>
        <v>0</v>
      </c>
      <c r="AF42" s="449"/>
      <c r="AG42" s="406">
        <v>0</v>
      </c>
      <c r="AH42" s="452">
        <f t="shared" si="12"/>
        <v>0</v>
      </c>
      <c r="AI42" s="414">
        <f t="shared" si="13"/>
        <v>2027</v>
      </c>
      <c r="AJ42" s="449"/>
      <c r="AK42" s="406">
        <v>0</v>
      </c>
      <c r="AL42" s="452">
        <f t="shared" si="14"/>
        <v>0</v>
      </c>
      <c r="AM42" s="449"/>
      <c r="AN42" s="406">
        <v>0</v>
      </c>
      <c r="AO42" s="452">
        <f t="shared" si="15"/>
        <v>0</v>
      </c>
      <c r="AP42" s="449"/>
      <c r="AQ42" s="406">
        <v>0</v>
      </c>
      <c r="AR42" s="452">
        <f t="shared" si="16"/>
        <v>0</v>
      </c>
      <c r="AS42" s="449"/>
      <c r="AT42" s="406">
        <v>0</v>
      </c>
      <c r="AU42" s="452">
        <f t="shared" si="17"/>
        <v>0</v>
      </c>
      <c r="AV42" s="449"/>
      <c r="AW42" s="406">
        <v>0</v>
      </c>
      <c r="AX42" s="452">
        <f t="shared" si="18"/>
        <v>0</v>
      </c>
      <c r="AY42" s="414">
        <f t="shared" si="19"/>
        <v>2027</v>
      </c>
      <c r="AZ42" s="449"/>
      <c r="BA42" s="406">
        <v>0</v>
      </c>
      <c r="BB42" s="452">
        <f t="shared" si="20"/>
        <v>0</v>
      </c>
      <c r="BC42" s="449"/>
      <c r="BD42" s="406">
        <v>0</v>
      </c>
      <c r="BE42" s="452">
        <f t="shared" si="21"/>
        <v>0</v>
      </c>
      <c r="BF42" s="449"/>
      <c r="BG42" s="406">
        <v>0</v>
      </c>
      <c r="BH42" s="452">
        <f t="shared" si="22"/>
        <v>0</v>
      </c>
      <c r="BI42" s="449"/>
      <c r="BJ42" s="406">
        <v>0</v>
      </c>
      <c r="BK42" s="452">
        <f t="shared" si="23"/>
        <v>0</v>
      </c>
      <c r="BL42" s="449"/>
      <c r="BM42" s="406">
        <v>0</v>
      </c>
      <c r="BN42" s="452">
        <f t="shared" si="24"/>
        <v>0</v>
      </c>
    </row>
    <row r="43" spans="1:66" ht="12.75">
      <c r="A43" s="391">
        <f t="shared" si="2"/>
        <v>34</v>
      </c>
      <c r="B43" s="400">
        <f t="shared" si="25"/>
        <v>2028</v>
      </c>
      <c r="C43" s="415">
        <f t="shared" si="26"/>
        <v>0</v>
      </c>
      <c r="D43" s="415">
        <f t="shared" si="27"/>
        <v>0</v>
      </c>
      <c r="E43" s="415">
        <f t="shared" si="28"/>
        <v>0</v>
      </c>
      <c r="F43" s="414">
        <f t="shared" si="1"/>
        <v>2028</v>
      </c>
      <c r="G43" s="449"/>
      <c r="H43" s="406">
        <v>0</v>
      </c>
      <c r="I43" s="452">
        <f t="shared" si="3"/>
        <v>0</v>
      </c>
      <c r="J43" s="449"/>
      <c r="K43" s="406">
        <v>0</v>
      </c>
      <c r="L43" s="452">
        <f t="shared" si="4"/>
        <v>0</v>
      </c>
      <c r="M43" s="449"/>
      <c r="N43" s="406">
        <v>0</v>
      </c>
      <c r="O43" s="452">
        <f t="shared" si="5"/>
        <v>0</v>
      </c>
      <c r="P43" s="449"/>
      <c r="Q43" s="406">
        <v>0</v>
      </c>
      <c r="R43" s="452">
        <f t="shared" si="6"/>
        <v>0</v>
      </c>
      <c r="S43" s="414">
        <f t="shared" si="7"/>
        <v>2028</v>
      </c>
      <c r="T43" s="449"/>
      <c r="U43" s="406">
        <v>0</v>
      </c>
      <c r="V43" s="452">
        <f t="shared" si="8"/>
        <v>0</v>
      </c>
      <c r="W43" s="449"/>
      <c r="X43" s="406">
        <v>0</v>
      </c>
      <c r="Y43" s="452">
        <f t="shared" si="9"/>
        <v>0</v>
      </c>
      <c r="Z43" s="449"/>
      <c r="AA43" s="406">
        <v>0</v>
      </c>
      <c r="AB43" s="452">
        <f t="shared" si="10"/>
        <v>0</v>
      </c>
      <c r="AC43" s="449"/>
      <c r="AD43" s="406">
        <v>0</v>
      </c>
      <c r="AE43" s="452">
        <f t="shared" si="11"/>
        <v>0</v>
      </c>
      <c r="AF43" s="449"/>
      <c r="AG43" s="406">
        <v>0</v>
      </c>
      <c r="AH43" s="452">
        <f t="shared" si="12"/>
        <v>0</v>
      </c>
      <c r="AI43" s="414">
        <f t="shared" si="13"/>
        <v>2028</v>
      </c>
      <c r="AJ43" s="449"/>
      <c r="AK43" s="406">
        <v>0</v>
      </c>
      <c r="AL43" s="452">
        <f t="shared" si="14"/>
        <v>0</v>
      </c>
      <c r="AM43" s="449"/>
      <c r="AN43" s="406">
        <v>0</v>
      </c>
      <c r="AO43" s="452">
        <f t="shared" si="15"/>
        <v>0</v>
      </c>
      <c r="AP43" s="449"/>
      <c r="AQ43" s="406">
        <v>0</v>
      </c>
      <c r="AR43" s="452">
        <f t="shared" si="16"/>
        <v>0</v>
      </c>
      <c r="AS43" s="449"/>
      <c r="AT43" s="406">
        <v>0</v>
      </c>
      <c r="AU43" s="452">
        <f t="shared" si="17"/>
        <v>0</v>
      </c>
      <c r="AV43" s="449"/>
      <c r="AW43" s="406">
        <v>0</v>
      </c>
      <c r="AX43" s="452">
        <f t="shared" si="18"/>
        <v>0</v>
      </c>
      <c r="AY43" s="414">
        <f t="shared" si="19"/>
        <v>2028</v>
      </c>
      <c r="AZ43" s="449"/>
      <c r="BA43" s="406">
        <v>0</v>
      </c>
      <c r="BB43" s="452">
        <f t="shared" si="20"/>
        <v>0</v>
      </c>
      <c r="BC43" s="449"/>
      <c r="BD43" s="406">
        <v>0</v>
      </c>
      <c r="BE43" s="452">
        <f t="shared" si="21"/>
        <v>0</v>
      </c>
      <c r="BF43" s="449"/>
      <c r="BG43" s="406">
        <v>0</v>
      </c>
      <c r="BH43" s="452">
        <f t="shared" si="22"/>
        <v>0</v>
      </c>
      <c r="BI43" s="449"/>
      <c r="BJ43" s="406">
        <v>0</v>
      </c>
      <c r="BK43" s="452">
        <f t="shared" si="23"/>
        <v>0</v>
      </c>
      <c r="BL43" s="449"/>
      <c r="BM43" s="406">
        <v>0</v>
      </c>
      <c r="BN43" s="452">
        <f t="shared" si="24"/>
        <v>0</v>
      </c>
    </row>
    <row r="44" spans="1:66" ht="12.75">
      <c r="A44" s="391">
        <f t="shared" si="2"/>
        <v>35</v>
      </c>
      <c r="B44" s="400">
        <f t="shared" si="25"/>
        <v>2029</v>
      </c>
      <c r="C44" s="415">
        <f t="shared" si="26"/>
        <v>0</v>
      </c>
      <c r="D44" s="415">
        <f t="shared" si="27"/>
        <v>0</v>
      </c>
      <c r="E44" s="415">
        <f t="shared" si="28"/>
        <v>0</v>
      </c>
      <c r="F44" s="414">
        <f t="shared" si="1"/>
        <v>2029</v>
      </c>
      <c r="G44" s="449"/>
      <c r="H44" s="406">
        <v>0</v>
      </c>
      <c r="I44" s="452">
        <f t="shared" si="3"/>
        <v>0</v>
      </c>
      <c r="J44" s="449"/>
      <c r="K44" s="406">
        <v>0</v>
      </c>
      <c r="L44" s="452">
        <f t="shared" si="4"/>
        <v>0</v>
      </c>
      <c r="M44" s="449"/>
      <c r="N44" s="406">
        <v>0</v>
      </c>
      <c r="O44" s="452">
        <f t="shared" si="5"/>
        <v>0</v>
      </c>
      <c r="P44" s="449"/>
      <c r="Q44" s="406">
        <v>0</v>
      </c>
      <c r="R44" s="452">
        <f t="shared" si="6"/>
        <v>0</v>
      </c>
      <c r="S44" s="414">
        <f t="shared" si="7"/>
        <v>2029</v>
      </c>
      <c r="T44" s="449"/>
      <c r="U44" s="406">
        <v>0</v>
      </c>
      <c r="V44" s="452">
        <f t="shared" si="8"/>
        <v>0</v>
      </c>
      <c r="W44" s="449"/>
      <c r="X44" s="406">
        <v>0</v>
      </c>
      <c r="Y44" s="452">
        <f t="shared" si="9"/>
        <v>0</v>
      </c>
      <c r="Z44" s="449"/>
      <c r="AA44" s="406">
        <v>0</v>
      </c>
      <c r="AB44" s="452">
        <f t="shared" si="10"/>
        <v>0</v>
      </c>
      <c r="AC44" s="449"/>
      <c r="AD44" s="406">
        <v>0</v>
      </c>
      <c r="AE44" s="452">
        <f t="shared" si="11"/>
        <v>0</v>
      </c>
      <c r="AF44" s="449"/>
      <c r="AG44" s="406">
        <v>0</v>
      </c>
      <c r="AH44" s="452">
        <f t="shared" si="12"/>
        <v>0</v>
      </c>
      <c r="AI44" s="414">
        <f t="shared" si="13"/>
        <v>2029</v>
      </c>
      <c r="AJ44" s="449"/>
      <c r="AK44" s="406">
        <v>0</v>
      </c>
      <c r="AL44" s="452">
        <f t="shared" si="14"/>
        <v>0</v>
      </c>
      <c r="AM44" s="449"/>
      <c r="AN44" s="406">
        <v>0</v>
      </c>
      <c r="AO44" s="452">
        <f t="shared" si="15"/>
        <v>0</v>
      </c>
      <c r="AP44" s="449"/>
      <c r="AQ44" s="406">
        <v>0</v>
      </c>
      <c r="AR44" s="452">
        <f t="shared" si="16"/>
        <v>0</v>
      </c>
      <c r="AS44" s="449"/>
      <c r="AT44" s="406">
        <v>0</v>
      </c>
      <c r="AU44" s="452">
        <f t="shared" si="17"/>
        <v>0</v>
      </c>
      <c r="AV44" s="449"/>
      <c r="AW44" s="406">
        <v>0</v>
      </c>
      <c r="AX44" s="452">
        <f t="shared" si="18"/>
        <v>0</v>
      </c>
      <c r="AY44" s="414">
        <f t="shared" si="19"/>
        <v>2029</v>
      </c>
      <c r="AZ44" s="449"/>
      <c r="BA44" s="406">
        <v>0</v>
      </c>
      <c r="BB44" s="452">
        <f t="shared" si="20"/>
        <v>0</v>
      </c>
      <c r="BC44" s="449"/>
      <c r="BD44" s="406">
        <v>0</v>
      </c>
      <c r="BE44" s="452">
        <f t="shared" si="21"/>
        <v>0</v>
      </c>
      <c r="BF44" s="449"/>
      <c r="BG44" s="406">
        <v>0</v>
      </c>
      <c r="BH44" s="452">
        <f t="shared" si="22"/>
        <v>0</v>
      </c>
      <c r="BI44" s="449"/>
      <c r="BJ44" s="406">
        <v>0</v>
      </c>
      <c r="BK44" s="452">
        <f t="shared" si="23"/>
        <v>0</v>
      </c>
      <c r="BL44" s="449"/>
      <c r="BM44" s="406">
        <v>0</v>
      </c>
      <c r="BN44" s="452">
        <f t="shared" si="24"/>
        <v>0</v>
      </c>
    </row>
    <row r="45" spans="1:66" ht="12.75">
      <c r="A45" s="391">
        <f t="shared" si="2"/>
        <v>36</v>
      </c>
      <c r="B45" s="400">
        <f t="shared" si="25"/>
        <v>2030</v>
      </c>
      <c r="C45" s="415">
        <f t="shared" si="26"/>
        <v>0</v>
      </c>
      <c r="D45" s="415">
        <f t="shared" si="27"/>
        <v>0</v>
      </c>
      <c r="E45" s="415">
        <f t="shared" si="28"/>
        <v>0</v>
      </c>
      <c r="F45" s="414">
        <f t="shared" si="1"/>
        <v>2030</v>
      </c>
      <c r="G45" s="449"/>
      <c r="H45" s="406">
        <v>0</v>
      </c>
      <c r="I45" s="452">
        <f t="shared" si="3"/>
        <v>0</v>
      </c>
      <c r="J45" s="449"/>
      <c r="K45" s="406">
        <v>0</v>
      </c>
      <c r="L45" s="452">
        <f t="shared" si="4"/>
        <v>0</v>
      </c>
      <c r="M45" s="449"/>
      <c r="N45" s="406">
        <v>0</v>
      </c>
      <c r="O45" s="452">
        <f t="shared" si="5"/>
        <v>0</v>
      </c>
      <c r="P45" s="449"/>
      <c r="Q45" s="406">
        <v>0</v>
      </c>
      <c r="R45" s="452">
        <f t="shared" si="6"/>
        <v>0</v>
      </c>
      <c r="S45" s="414">
        <f t="shared" si="7"/>
        <v>2030</v>
      </c>
      <c r="T45" s="449"/>
      <c r="U45" s="406">
        <v>0</v>
      </c>
      <c r="V45" s="452">
        <f t="shared" si="8"/>
        <v>0</v>
      </c>
      <c r="W45" s="449"/>
      <c r="X45" s="406">
        <v>0</v>
      </c>
      <c r="Y45" s="452">
        <f t="shared" si="9"/>
        <v>0</v>
      </c>
      <c r="Z45" s="449"/>
      <c r="AA45" s="406">
        <v>0</v>
      </c>
      <c r="AB45" s="452">
        <f t="shared" si="10"/>
        <v>0</v>
      </c>
      <c r="AC45" s="449"/>
      <c r="AD45" s="406">
        <v>0</v>
      </c>
      <c r="AE45" s="452">
        <f t="shared" si="11"/>
        <v>0</v>
      </c>
      <c r="AF45" s="449"/>
      <c r="AG45" s="406">
        <v>0</v>
      </c>
      <c r="AH45" s="452">
        <f t="shared" si="12"/>
        <v>0</v>
      </c>
      <c r="AI45" s="414">
        <f t="shared" si="13"/>
        <v>2030</v>
      </c>
      <c r="AJ45" s="449"/>
      <c r="AK45" s="406">
        <v>0</v>
      </c>
      <c r="AL45" s="452">
        <f t="shared" si="14"/>
        <v>0</v>
      </c>
      <c r="AM45" s="449"/>
      <c r="AN45" s="406">
        <v>0</v>
      </c>
      <c r="AO45" s="452">
        <f t="shared" si="15"/>
        <v>0</v>
      </c>
      <c r="AP45" s="449"/>
      <c r="AQ45" s="406">
        <v>0</v>
      </c>
      <c r="AR45" s="452">
        <f t="shared" si="16"/>
        <v>0</v>
      </c>
      <c r="AS45" s="449"/>
      <c r="AT45" s="406">
        <v>0</v>
      </c>
      <c r="AU45" s="452">
        <f t="shared" si="17"/>
        <v>0</v>
      </c>
      <c r="AV45" s="449"/>
      <c r="AW45" s="406">
        <v>0</v>
      </c>
      <c r="AX45" s="452">
        <f t="shared" si="18"/>
        <v>0</v>
      </c>
      <c r="AY45" s="414">
        <f t="shared" si="19"/>
        <v>2030</v>
      </c>
      <c r="AZ45" s="449"/>
      <c r="BA45" s="406">
        <v>0</v>
      </c>
      <c r="BB45" s="452">
        <f t="shared" si="20"/>
        <v>0</v>
      </c>
      <c r="BC45" s="449"/>
      <c r="BD45" s="406">
        <v>0</v>
      </c>
      <c r="BE45" s="452">
        <f t="shared" si="21"/>
        <v>0</v>
      </c>
      <c r="BF45" s="449"/>
      <c r="BG45" s="406">
        <v>0</v>
      </c>
      <c r="BH45" s="452">
        <f t="shared" si="22"/>
        <v>0</v>
      </c>
      <c r="BI45" s="449"/>
      <c r="BJ45" s="406">
        <v>0</v>
      </c>
      <c r="BK45" s="452">
        <f t="shared" si="23"/>
        <v>0</v>
      </c>
      <c r="BL45" s="449"/>
      <c r="BM45" s="406">
        <v>0</v>
      </c>
      <c r="BN45" s="452">
        <f t="shared" si="24"/>
        <v>0</v>
      </c>
    </row>
    <row r="46" spans="2:66" ht="12.75">
      <c r="B46" s="400"/>
      <c r="F46" s="414"/>
      <c r="G46" s="396"/>
      <c r="H46" s="397"/>
      <c r="I46" s="453"/>
      <c r="J46" s="396"/>
      <c r="K46" s="397"/>
      <c r="L46" s="453"/>
      <c r="M46" s="396"/>
      <c r="N46" s="397"/>
      <c r="O46" s="453"/>
      <c r="P46" s="396"/>
      <c r="Q46" s="397"/>
      <c r="R46" s="453" t="s">
        <v>999</v>
      </c>
      <c r="S46" s="414"/>
      <c r="T46" s="396"/>
      <c r="U46" s="397"/>
      <c r="V46" s="453"/>
      <c r="W46" s="396"/>
      <c r="X46" s="397"/>
      <c r="Y46" s="453"/>
      <c r="Z46" s="396"/>
      <c r="AA46" s="397"/>
      <c r="AB46" s="453"/>
      <c r="AC46" s="396"/>
      <c r="AD46" s="397"/>
      <c r="AE46" s="453"/>
      <c r="AF46" s="396"/>
      <c r="AG46" s="397"/>
      <c r="AH46" s="453"/>
      <c r="AI46" s="414"/>
      <c r="AJ46" s="396"/>
      <c r="AK46" s="397"/>
      <c r="AL46" s="453"/>
      <c r="AM46" s="396"/>
      <c r="AN46" s="397"/>
      <c r="AO46" s="453"/>
      <c r="AP46" s="396"/>
      <c r="AQ46" s="397"/>
      <c r="AR46" s="453"/>
      <c r="AS46" s="396"/>
      <c r="AT46" s="397"/>
      <c r="AU46" s="453"/>
      <c r="AV46" s="396"/>
      <c r="AW46" s="397"/>
      <c r="AX46" s="453"/>
      <c r="AY46" s="414"/>
      <c r="AZ46" s="396"/>
      <c r="BA46" s="397"/>
      <c r="BB46" s="453"/>
      <c r="BC46" s="396"/>
      <c r="BD46" s="397"/>
      <c r="BE46" s="453"/>
      <c r="BF46" s="396"/>
      <c r="BG46" s="397"/>
      <c r="BH46" s="453"/>
      <c r="BI46" s="396"/>
      <c r="BJ46" s="397"/>
      <c r="BK46" s="453"/>
      <c r="BL46" s="396"/>
      <c r="BM46" s="397"/>
      <c r="BN46" s="453"/>
    </row>
    <row r="47" spans="6:9" ht="12.75">
      <c r="F47" s="390"/>
      <c r="G47" s="391"/>
      <c r="H47" s="391"/>
      <c r="I47" s="391"/>
    </row>
    <row r="48" spans="6:9" ht="12.75">
      <c r="F48" s="390"/>
      <c r="G48" s="391"/>
      <c r="H48" s="391"/>
      <c r="I48" s="391"/>
    </row>
    <row r="49" spans="6:9" ht="12.75">
      <c r="F49" s="390"/>
      <c r="G49" s="391"/>
      <c r="H49" s="391"/>
      <c r="I49" s="391"/>
    </row>
    <row r="50" spans="3:9" ht="15">
      <c r="C50" s="29"/>
      <c r="F50" s="390"/>
      <c r="G50" s="391"/>
      <c r="H50" s="391"/>
      <c r="I50" s="391"/>
    </row>
    <row r="51" spans="6:9" ht="12.75">
      <c r="F51" s="390"/>
      <c r="G51" s="391"/>
      <c r="H51" s="391"/>
      <c r="I51" s="391"/>
    </row>
    <row r="52" spans="2:9" ht="15">
      <c r="B52" s="382" t="s">
        <v>1562</v>
      </c>
      <c r="C52" s="448" t="s">
        <v>275</v>
      </c>
      <c r="F52" s="390"/>
      <c r="G52" s="391"/>
      <c r="H52" s="391"/>
      <c r="I52" s="391"/>
    </row>
    <row r="53" spans="3:9" ht="12.75">
      <c r="C53" s="389" t="s">
        <v>1230</v>
      </c>
      <c r="F53" s="390"/>
      <c r="G53" s="391"/>
      <c r="H53" s="391"/>
      <c r="I53" s="391"/>
    </row>
    <row r="54" spans="3:9" ht="12.75">
      <c r="C54" s="448" t="s">
        <v>1736</v>
      </c>
      <c r="F54" s="390"/>
      <c r="G54" s="391"/>
      <c r="H54" s="391"/>
      <c r="I54" s="391"/>
    </row>
    <row r="55" spans="3:9" ht="12.75">
      <c r="C55" s="448" t="s">
        <v>1735</v>
      </c>
      <c r="F55" s="390"/>
      <c r="G55" s="391"/>
      <c r="H55" s="391"/>
      <c r="I55" s="391"/>
    </row>
    <row r="56" spans="6:9" ht="12.75">
      <c r="F56" s="390"/>
      <c r="G56" s="391"/>
      <c r="H56" s="391"/>
      <c r="I56" s="391"/>
    </row>
    <row r="57" spans="6:9" ht="12.75">
      <c r="F57" s="390"/>
      <c r="G57" s="391"/>
      <c r="H57" s="391"/>
      <c r="I57" s="391"/>
    </row>
    <row r="58" spans="6:9" ht="12.75">
      <c r="F58" s="390"/>
      <c r="G58" s="391"/>
      <c r="H58" s="391"/>
      <c r="I58" s="391"/>
    </row>
    <row r="59" spans="6:9" ht="12.75">
      <c r="F59" s="390"/>
      <c r="G59" s="391"/>
      <c r="H59" s="391"/>
      <c r="I59" s="391"/>
    </row>
    <row r="60" spans="6:9" ht="12.75">
      <c r="F60" s="390"/>
      <c r="G60" s="391"/>
      <c r="H60" s="391"/>
      <c r="I60" s="391"/>
    </row>
    <row r="61" spans="6:9" ht="12.75">
      <c r="F61" s="390"/>
      <c r="G61" s="391"/>
      <c r="H61" s="391"/>
      <c r="I61" s="391"/>
    </row>
  </sheetData>
  <sheetProtection/>
  <mergeCells count="5">
    <mergeCell ref="BJ13:BK13"/>
    <mergeCell ref="C17:E17"/>
    <mergeCell ref="AT13:AU13"/>
    <mergeCell ref="AQ13:AR13"/>
    <mergeCell ref="BG13:BH13"/>
  </mergeCells>
  <printOptions/>
  <pageMargins left="0.49" right="0.46" top="1" bottom="1" header="0.5" footer="0.5"/>
  <pageSetup fitToHeight="99" horizontalDpi="600" verticalDpi="600" orientation="landscape" scale="43" r:id="rId1"/>
  <headerFooter alignWithMargins="0">
    <oddFooter>&amp;L&amp;D&amp;R&amp;F</oddFooter>
  </headerFooter>
  <colBreaks count="3" manualBreakCount="3">
    <brk id="18" max="65535" man="1"/>
    <brk id="34" max="56" man="1"/>
    <brk id="50" max="46" man="1"/>
  </colBreaks>
</worksheet>
</file>

<file path=xl/worksheets/sheet13.xml><?xml version="1.0" encoding="utf-8"?>
<worksheet xmlns="http://schemas.openxmlformats.org/spreadsheetml/2006/main" xmlns:r="http://schemas.openxmlformats.org/officeDocument/2006/relationships">
  <sheetPr>
    <tabColor indexed="22"/>
    <pageSetUpPr fitToPage="1"/>
  </sheetPr>
  <dimension ref="A1:IV41"/>
  <sheetViews>
    <sheetView zoomScale="75" zoomScaleNormal="75" zoomScalePageLayoutView="0" workbookViewId="0" topLeftCell="A1">
      <selection activeCell="A1" sqref="A1"/>
    </sheetView>
  </sheetViews>
  <sheetFormatPr defaultColWidth="8.88671875" defaultRowHeight="15"/>
  <cols>
    <col min="1" max="1" width="4.4453125" style="828" customWidth="1"/>
    <col min="2" max="2" width="23.3359375" style="828" customWidth="1"/>
    <col min="3" max="3" width="3.88671875" style="828" customWidth="1"/>
    <col min="4" max="4" width="15.99609375" style="828" customWidth="1"/>
    <col min="5" max="5" width="2.4453125" style="828" customWidth="1"/>
    <col min="6" max="6" width="14.99609375" style="828" customWidth="1"/>
    <col min="7" max="7" width="1.99609375" style="828" customWidth="1"/>
    <col min="8" max="8" width="14.77734375" style="828" bestFit="1" customWidth="1"/>
    <col min="9" max="9" width="17.88671875" style="828" customWidth="1"/>
    <col min="10" max="12" width="14.77734375" style="828" bestFit="1" customWidth="1"/>
    <col min="13" max="13" width="14.10546875" style="828" customWidth="1"/>
    <col min="14" max="14" width="3.6640625" style="828" customWidth="1"/>
    <col min="15" max="15" width="6.88671875" style="828" customWidth="1"/>
    <col min="16" max="16384" width="8.88671875" style="828" customWidth="1"/>
  </cols>
  <sheetData>
    <row r="1" spans="2:12" s="220" customFormat="1" ht="20.25">
      <c r="B1" s="295" t="s">
        <v>1640</v>
      </c>
      <c r="C1" s="296"/>
      <c r="D1" s="296"/>
      <c r="E1" s="296"/>
      <c r="F1" s="296"/>
      <c r="G1" s="296"/>
      <c r="H1" s="296"/>
      <c r="I1" s="296"/>
      <c r="J1" s="296"/>
      <c r="K1" s="296"/>
      <c r="L1" s="297" t="s">
        <v>18</v>
      </c>
    </row>
    <row r="2" spans="1:15" ht="20.25">
      <c r="A2" s="220"/>
      <c r="B2" s="298" t="s">
        <v>1603</v>
      </c>
      <c r="C2" s="299"/>
      <c r="D2" s="299"/>
      <c r="E2" s="299"/>
      <c r="F2" s="299"/>
      <c r="G2" s="299"/>
      <c r="H2" s="300"/>
      <c r="I2" s="299"/>
      <c r="J2" s="296"/>
      <c r="K2" s="296"/>
      <c r="L2" s="296"/>
      <c r="M2" s="220"/>
      <c r="N2" s="296"/>
      <c r="O2" s="301"/>
    </row>
    <row r="3" spans="1:256" s="220" customFormat="1" ht="15">
      <c r="A3" s="828"/>
      <c r="B3" s="825" t="str">
        <f>+'Actual Net Rev Req'!$C$4</f>
        <v>For the 12 months ended - December 31, 2008</v>
      </c>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2:256" s="220" customFormat="1" ht="27" customHeight="1">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2:256" s="220" customFormat="1" ht="27" customHeight="1">
      <c r="B5" s="302"/>
      <c r="C5" s="302"/>
      <c r="D5" s="302"/>
      <c r="E5" s="302"/>
      <c r="F5" s="303" t="s">
        <v>1697</v>
      </c>
      <c r="G5" s="302"/>
      <c r="H5" s="303" t="s">
        <v>1698</v>
      </c>
      <c r="I5" s="303" t="s">
        <v>1699</v>
      </c>
      <c r="J5" s="303" t="s">
        <v>1700</v>
      </c>
      <c r="K5" s="303" t="s">
        <v>1701</v>
      </c>
      <c r="L5" s="303" t="s">
        <v>1702</v>
      </c>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spans="1:15" ht="27" customHeight="1" thickBot="1">
      <c r="A6" s="220"/>
      <c r="B6" s="304"/>
      <c r="C6" s="305"/>
      <c r="D6" s="305"/>
      <c r="E6" s="305"/>
      <c r="F6" s="306" t="s">
        <v>28</v>
      </c>
      <c r="G6" s="307"/>
      <c r="H6" s="1451" t="s">
        <v>29</v>
      </c>
      <c r="I6" s="1452"/>
      <c r="J6" s="1452"/>
      <c r="K6" s="1452"/>
      <c r="L6" s="1453"/>
      <c r="M6" s="308"/>
      <c r="N6" s="296"/>
      <c r="O6" s="301"/>
    </row>
    <row r="7" spans="2:15" ht="20.25" customHeight="1">
      <c r="B7" s="829"/>
      <c r="F7" s="830"/>
      <c r="G7" s="831"/>
      <c r="H7" s="832"/>
      <c r="I7" s="309" t="s">
        <v>1362</v>
      </c>
      <c r="J7" s="309" t="s">
        <v>1362</v>
      </c>
      <c r="K7" s="309"/>
      <c r="L7" s="310"/>
      <c r="O7" s="311"/>
    </row>
    <row r="8" spans="2:15" ht="20.25" customHeight="1">
      <c r="B8" s="312"/>
      <c r="C8" s="816"/>
      <c r="D8" s="313"/>
      <c r="E8" s="313"/>
      <c r="F8" s="314"/>
      <c r="G8" s="315"/>
      <c r="H8" s="316"/>
      <c r="I8" s="309" t="s">
        <v>1106</v>
      </c>
      <c r="J8" s="309" t="s">
        <v>1363</v>
      </c>
      <c r="K8" s="309" t="s">
        <v>1361</v>
      </c>
      <c r="L8" s="317" t="s">
        <v>1106</v>
      </c>
      <c r="O8" s="311"/>
    </row>
    <row r="9" spans="2:14" ht="26.25">
      <c r="B9" s="318" t="s">
        <v>1703</v>
      </c>
      <c r="C9" s="833"/>
      <c r="D9" s="319" t="s">
        <v>1704</v>
      </c>
      <c r="E9" s="319"/>
      <c r="F9" s="320" t="s">
        <v>1705</v>
      </c>
      <c r="G9" s="834"/>
      <c r="H9" s="321" t="s">
        <v>1705</v>
      </c>
      <c r="I9" s="1311" t="s">
        <v>368</v>
      </c>
      <c r="J9" s="322" t="s">
        <v>813</v>
      </c>
      <c r="K9" s="323" t="s">
        <v>1122</v>
      </c>
      <c r="L9" s="324" t="s">
        <v>814</v>
      </c>
      <c r="N9" s="835"/>
    </row>
    <row r="10" spans="2:14" ht="20.25" customHeight="1">
      <c r="B10" s="836"/>
      <c r="C10" s="816"/>
      <c r="D10" s="837"/>
      <c r="E10" s="837"/>
      <c r="F10" s="838"/>
      <c r="G10" s="837"/>
      <c r="H10" s="839"/>
      <c r="I10" s="840"/>
      <c r="J10" s="840"/>
      <c r="K10" s="841"/>
      <c r="L10" s="842"/>
      <c r="M10" s="843"/>
      <c r="N10" s="835"/>
    </row>
    <row r="11" spans="1:14" ht="20.25" customHeight="1">
      <c r="A11" s="599">
        <v>1</v>
      </c>
      <c r="B11" s="836" t="s">
        <v>1360</v>
      </c>
      <c r="C11" s="816"/>
      <c r="D11" s="844" t="s">
        <v>1310</v>
      </c>
      <c r="E11" s="844"/>
      <c r="F11" s="845">
        <v>31056550</v>
      </c>
      <c r="G11" s="834"/>
      <c r="H11" s="845">
        <v>17857481</v>
      </c>
      <c r="I11" s="845">
        <v>7220991</v>
      </c>
      <c r="J11" s="846">
        <f>0.47*I11</f>
        <v>3393865.77</v>
      </c>
      <c r="K11" s="845">
        <f>7752483+4051002</f>
        <v>11803485</v>
      </c>
      <c r="L11" s="846">
        <f>+H11+J11+K11</f>
        <v>33054831.77</v>
      </c>
      <c r="M11" s="819"/>
      <c r="N11" s="835"/>
    </row>
    <row r="12" spans="1:14" ht="20.25" customHeight="1">
      <c r="A12" s="599">
        <v>2</v>
      </c>
      <c r="B12" s="836" t="s">
        <v>1151</v>
      </c>
      <c r="C12" s="816"/>
      <c r="D12" s="844" t="s">
        <v>621</v>
      </c>
      <c r="E12" s="844"/>
      <c r="F12" s="847">
        <v>3058725</v>
      </c>
      <c r="G12" s="834"/>
      <c r="H12" s="848">
        <v>2886775</v>
      </c>
      <c r="I12" s="849"/>
      <c r="J12" s="850"/>
      <c r="K12" s="851"/>
      <c r="L12" s="774">
        <f>SUM(H12:H12)</f>
        <v>2886775</v>
      </c>
      <c r="M12" s="852"/>
      <c r="N12" s="835"/>
    </row>
    <row r="13" spans="1:14" ht="20.25" customHeight="1">
      <c r="A13" s="599">
        <v>3</v>
      </c>
      <c r="B13" s="836" t="s">
        <v>807</v>
      </c>
      <c r="C13" s="816"/>
      <c r="D13" s="844" t="s">
        <v>622</v>
      </c>
      <c r="E13" s="844"/>
      <c r="F13" s="847">
        <v>14460558</v>
      </c>
      <c r="G13" s="834"/>
      <c r="H13" s="848">
        <v>11798801</v>
      </c>
      <c r="I13" s="849"/>
      <c r="J13" s="850"/>
      <c r="K13" s="853"/>
      <c r="L13" s="774">
        <f>SUM(H13:H13)</f>
        <v>11798801</v>
      </c>
      <c r="M13" s="222"/>
      <c r="N13" s="835"/>
    </row>
    <row r="14" spans="1:12" ht="20.25" customHeight="1">
      <c r="A14" s="599">
        <v>4</v>
      </c>
      <c r="B14" s="836" t="s">
        <v>1359</v>
      </c>
      <c r="C14" s="816"/>
      <c r="D14" s="844" t="s">
        <v>623</v>
      </c>
      <c r="E14" s="844"/>
      <c r="F14" s="847">
        <f>6886435+1322018</f>
        <v>8208453</v>
      </c>
      <c r="G14" s="834"/>
      <c r="H14" s="847">
        <f>4849488+1245502+1023</f>
        <v>6096013</v>
      </c>
      <c r="I14" s="854"/>
      <c r="J14" s="855"/>
      <c r="K14" s="855"/>
      <c r="L14" s="774">
        <f>SUM(H14:H14)</f>
        <v>6096013</v>
      </c>
    </row>
    <row r="15" spans="1:12" ht="10.5" customHeight="1">
      <c r="A15" s="599"/>
      <c r="B15" s="836"/>
      <c r="C15" s="816"/>
      <c r="D15" s="844"/>
      <c r="E15" s="844"/>
      <c r="F15" s="856"/>
      <c r="G15" s="850"/>
      <c r="H15" s="857"/>
      <c r="I15" s="858"/>
      <c r="J15" s="850"/>
      <c r="K15" s="853"/>
      <c r="L15" s="859"/>
    </row>
    <row r="16" spans="1:12" ht="15">
      <c r="A16" s="599">
        <v>5</v>
      </c>
      <c r="B16" s="836" t="s">
        <v>1106</v>
      </c>
      <c r="C16" s="816"/>
      <c r="D16" s="860"/>
      <c r="E16" s="860"/>
      <c r="F16" s="846">
        <f>SUM(F11:F14)</f>
        <v>56784286</v>
      </c>
      <c r="G16" s="834"/>
      <c r="H16" s="325" t="s">
        <v>815</v>
      </c>
      <c r="I16" s="861"/>
      <c r="J16" s="834"/>
      <c r="K16" s="862"/>
      <c r="L16" s="846">
        <f>SUM(L11:L14)</f>
        <v>53836420.769999996</v>
      </c>
    </row>
    <row r="17" spans="2:12" ht="15">
      <c r="B17" s="836"/>
      <c r="C17" s="816"/>
      <c r="D17" s="860"/>
      <c r="E17" s="860"/>
      <c r="F17" s="863"/>
      <c r="G17" s="834"/>
      <c r="H17" s="326" t="s">
        <v>821</v>
      </c>
      <c r="I17" s="861"/>
      <c r="J17" s="834"/>
      <c r="K17" s="834"/>
      <c r="L17" s="862"/>
    </row>
    <row r="18" spans="2:12" ht="15">
      <c r="B18" s="864"/>
      <c r="C18" s="865"/>
      <c r="D18" s="865"/>
      <c r="E18" s="865"/>
      <c r="F18" s="866"/>
      <c r="G18" s="865"/>
      <c r="H18" s="327" t="s">
        <v>822</v>
      </c>
      <c r="I18" s="865"/>
      <c r="J18" s="865"/>
      <c r="K18" s="865"/>
      <c r="L18" s="867"/>
    </row>
    <row r="23" ht="15">
      <c r="C23" s="852"/>
    </row>
    <row r="24" ht="15">
      <c r="C24" s="852"/>
    </row>
    <row r="25" ht="15">
      <c r="C25" s="852"/>
    </row>
    <row r="26" ht="15">
      <c r="C26" s="852"/>
    </row>
    <row r="27" ht="15">
      <c r="C27" s="852"/>
    </row>
    <row r="28" ht="15">
      <c r="C28" s="852"/>
    </row>
    <row r="29" ht="15">
      <c r="C29" s="852"/>
    </row>
    <row r="30" ht="15">
      <c r="C30" s="852"/>
    </row>
    <row r="31" ht="15">
      <c r="C31" s="852"/>
    </row>
    <row r="32" ht="15">
      <c r="C32" s="852"/>
    </row>
    <row r="33" ht="15">
      <c r="C33" s="852"/>
    </row>
    <row r="34" ht="15">
      <c r="C34" s="852"/>
    </row>
    <row r="35" ht="15">
      <c r="C35" s="852"/>
    </row>
    <row r="36" ht="15">
      <c r="C36" s="852"/>
    </row>
    <row r="37" ht="15">
      <c r="C37" s="852"/>
    </row>
    <row r="38" ht="15">
      <c r="C38" s="852"/>
    </row>
    <row r="39" ht="15">
      <c r="C39" s="852"/>
    </row>
    <row r="40" ht="15">
      <c r="C40" s="852"/>
    </row>
    <row r="41" ht="15">
      <c r="C41" s="852"/>
    </row>
  </sheetData>
  <sheetProtection/>
  <mergeCells count="1">
    <mergeCell ref="H6:L6"/>
  </mergeCells>
  <printOptions horizontalCentered="1"/>
  <pageMargins left="0.5" right="0.5" top="0.71" bottom="0.72" header="0.5" footer="0.5"/>
  <pageSetup fitToHeight="1" fitToWidth="1" horizontalDpi="600" verticalDpi="600" orientation="landscape" scale="74" r:id="rId1"/>
  <headerFooter alignWithMargins="0">
    <oddFooter>&amp;L&amp;D&amp;R&amp;F</oddFooter>
  </headerFooter>
</worksheet>
</file>

<file path=xl/worksheets/sheet14.xml><?xml version="1.0" encoding="utf-8"?>
<worksheet xmlns="http://schemas.openxmlformats.org/spreadsheetml/2006/main" xmlns:r="http://schemas.openxmlformats.org/officeDocument/2006/relationships">
  <dimension ref="A1:S133"/>
  <sheetViews>
    <sheetView zoomScale="75" zoomScaleNormal="75" zoomScalePageLayoutView="0" workbookViewId="0" topLeftCell="A1">
      <selection activeCell="D9" sqref="D9"/>
    </sheetView>
  </sheetViews>
  <sheetFormatPr defaultColWidth="8.88671875" defaultRowHeight="15"/>
  <cols>
    <col min="1" max="1" width="3.10546875" style="389" customWidth="1"/>
    <col min="2" max="2" width="8.88671875" style="389" customWidth="1"/>
    <col min="3" max="3" width="15.6640625" style="389" bestFit="1" customWidth="1"/>
    <col min="4" max="4" width="13.4453125" style="389" bestFit="1" customWidth="1"/>
    <col min="5" max="5" width="13.4453125" style="389" customWidth="1"/>
    <col min="6" max="6" width="13.88671875" style="389" customWidth="1"/>
    <col min="7" max="7" width="8.88671875" style="389" customWidth="1"/>
    <col min="8" max="9" width="11.5546875" style="389" bestFit="1" customWidth="1"/>
    <col min="10" max="10" width="11.21484375" style="389" bestFit="1" customWidth="1"/>
    <col min="11" max="11" width="9.88671875" style="389" bestFit="1" customWidth="1"/>
    <col min="12" max="12" width="12.21484375" style="389" bestFit="1" customWidth="1"/>
    <col min="13" max="13" width="12.99609375" style="389" customWidth="1"/>
    <col min="14" max="14" width="10.77734375" style="389" customWidth="1"/>
    <col min="15" max="15" width="11.99609375" style="389" customWidth="1"/>
    <col min="16" max="16" width="12.21484375" style="389" bestFit="1" customWidth="1"/>
    <col min="17" max="17" width="11.10546875" style="389" customWidth="1"/>
    <col min="18" max="18" width="11.77734375" style="389" customWidth="1"/>
    <col min="19" max="19" width="11.4453125" style="389" customWidth="1"/>
    <col min="20" max="16384" width="8.88671875" style="389" customWidth="1"/>
  </cols>
  <sheetData>
    <row r="1" spans="1:19" ht="20.25">
      <c r="A1" s="295" t="s">
        <v>633</v>
      </c>
      <c r="B1" s="295"/>
      <c r="C1" s="295"/>
      <c r="D1" s="295"/>
      <c r="E1" s="295"/>
      <c r="S1" s="389" t="s">
        <v>237</v>
      </c>
    </row>
    <row r="2" spans="1:5" ht="18">
      <c r="A2" s="298" t="s">
        <v>1603</v>
      </c>
      <c r="B2" s="298"/>
      <c r="C2" s="298"/>
      <c r="D2" s="298"/>
      <c r="E2" s="298"/>
    </row>
    <row r="3" spans="1:5" ht="15">
      <c r="A3" s="383" t="str">
        <f>+'Actual Net Rev Req'!$C$4</f>
        <v>For the 12 months ended - December 31, 2008</v>
      </c>
      <c r="B3" s="383"/>
      <c r="C3" s="383"/>
      <c r="D3" s="383"/>
      <c r="E3" s="383"/>
    </row>
    <row r="6" ht="12.75">
      <c r="B6" s="436" t="s">
        <v>287</v>
      </c>
    </row>
    <row r="7" spans="1:19" ht="12.75">
      <c r="A7" s="390">
        <v>1</v>
      </c>
      <c r="H7" s="392" t="s">
        <v>625</v>
      </c>
      <c r="I7" s="410" t="s">
        <v>1556</v>
      </c>
      <c r="J7" s="410"/>
      <c r="K7" s="410" t="s">
        <v>1557</v>
      </c>
      <c r="L7" s="392" t="s">
        <v>625</v>
      </c>
      <c r="M7" s="410" t="s">
        <v>482</v>
      </c>
      <c r="N7" s="410"/>
      <c r="O7" s="410"/>
      <c r="P7" s="392" t="s">
        <v>625</v>
      </c>
      <c r="Q7" s="410" t="s">
        <v>483</v>
      </c>
      <c r="R7" s="410"/>
      <c r="S7" s="419"/>
    </row>
    <row r="8" spans="1:19" ht="12.75">
      <c r="A8" s="390">
        <f>A7+1</f>
        <v>2</v>
      </c>
      <c r="H8" s="408" t="s">
        <v>645</v>
      </c>
      <c r="I8" s="514" t="s">
        <v>881</v>
      </c>
      <c r="J8" s="409"/>
      <c r="K8" s="409"/>
      <c r="L8" s="408"/>
      <c r="M8" s="409"/>
      <c r="N8" s="409"/>
      <c r="O8" s="409"/>
      <c r="P8" s="408"/>
      <c r="Q8" s="409"/>
      <c r="R8" s="409"/>
      <c r="S8" s="420"/>
    </row>
    <row r="9" spans="1:19" ht="12.75">
      <c r="A9" s="390">
        <f aca="true" t="shared" si="0" ref="A9:A14">A8+1</f>
        <v>3</v>
      </c>
      <c r="H9" s="393" t="s">
        <v>626</v>
      </c>
      <c r="I9" s="399">
        <f>1/15</f>
        <v>0.06666666666666667</v>
      </c>
      <c r="J9" s="394" t="s">
        <v>245</v>
      </c>
      <c r="K9" s="394"/>
      <c r="L9" s="393" t="s">
        <v>626</v>
      </c>
      <c r="M9" s="399"/>
      <c r="N9" s="394" t="s">
        <v>245</v>
      </c>
      <c r="O9" s="394"/>
      <c r="P9" s="393" t="s">
        <v>626</v>
      </c>
      <c r="Q9" s="399"/>
      <c r="R9" s="394" t="s">
        <v>245</v>
      </c>
      <c r="S9" s="421"/>
    </row>
    <row r="10" spans="1:19" ht="12.75">
      <c r="A10" s="390">
        <f t="shared" si="0"/>
        <v>4</v>
      </c>
      <c r="H10" s="393" t="s">
        <v>627</v>
      </c>
      <c r="I10" s="399">
        <v>0.01</v>
      </c>
      <c r="J10" s="394"/>
      <c r="K10" s="394"/>
      <c r="L10" s="393" t="s">
        <v>627</v>
      </c>
      <c r="M10" s="399"/>
      <c r="N10" s="394"/>
      <c r="O10" s="394"/>
      <c r="P10" s="393" t="s">
        <v>627</v>
      </c>
      <c r="Q10" s="399"/>
      <c r="R10" s="394"/>
      <c r="S10" s="421"/>
    </row>
    <row r="11" spans="1:19" ht="12.75">
      <c r="A11" s="390">
        <f t="shared" si="0"/>
        <v>5</v>
      </c>
      <c r="H11" s="393" t="s">
        <v>629</v>
      </c>
      <c r="I11" s="395">
        <f>+I10*'Actual Gross Rev'!H236</f>
        <v>0.004807065046701703</v>
      </c>
      <c r="J11" s="394"/>
      <c r="K11" s="394"/>
      <c r="L11" s="393" t="s">
        <v>629</v>
      </c>
      <c r="M11" s="395">
        <f>+M10*'Actual Gross Rev'!$L$236</f>
        <v>0</v>
      </c>
      <c r="N11" s="394"/>
      <c r="O11" s="394"/>
      <c r="P11" s="393" t="s">
        <v>629</v>
      </c>
      <c r="Q11" s="395">
        <f>+Q10*'Actual Gross Rev'!$L$236</f>
        <v>0</v>
      </c>
      <c r="R11" s="394"/>
      <c r="S11" s="421"/>
    </row>
    <row r="12" spans="1:19" ht="12.75">
      <c r="A12" s="390">
        <f t="shared" si="0"/>
        <v>6</v>
      </c>
      <c r="H12" s="393" t="s">
        <v>630</v>
      </c>
      <c r="I12" s="406"/>
      <c r="J12" s="394"/>
      <c r="K12" s="394"/>
      <c r="L12" s="393" t="s">
        <v>630</v>
      </c>
      <c r="M12" s="406"/>
      <c r="N12" s="394"/>
      <c r="O12" s="394"/>
      <c r="P12" s="393" t="s">
        <v>630</v>
      </c>
      <c r="Q12" s="406"/>
      <c r="R12" s="394"/>
      <c r="S12" s="421"/>
    </row>
    <row r="13" spans="1:19" ht="12.75">
      <c r="A13" s="390">
        <f t="shared" si="0"/>
        <v>7</v>
      </c>
      <c r="C13" s="1450" t="s">
        <v>1106</v>
      </c>
      <c r="D13" s="1450"/>
      <c r="E13" s="1450"/>
      <c r="F13" s="1450"/>
      <c r="H13" s="393" t="s">
        <v>631</v>
      </c>
      <c r="I13" s="398">
        <v>0</v>
      </c>
      <c r="J13" s="394"/>
      <c r="K13" s="394"/>
      <c r="L13" s="393" t="s">
        <v>631</v>
      </c>
      <c r="M13" s="398"/>
      <c r="N13" s="394"/>
      <c r="O13" s="394"/>
      <c r="P13" s="393" t="s">
        <v>631</v>
      </c>
      <c r="Q13" s="398"/>
      <c r="R13" s="394"/>
      <c r="S13" s="421"/>
    </row>
    <row r="14" spans="1:19" ht="12.75">
      <c r="A14" s="390">
        <f t="shared" si="0"/>
        <v>8</v>
      </c>
      <c r="H14" s="393" t="s">
        <v>632</v>
      </c>
      <c r="I14" s="407">
        <v>2008</v>
      </c>
      <c r="J14" s="394"/>
      <c r="K14" s="394"/>
      <c r="L14" s="393" t="s">
        <v>632</v>
      </c>
      <c r="M14" s="407"/>
      <c r="N14" s="394"/>
      <c r="O14" s="394"/>
      <c r="P14" s="393" t="s">
        <v>632</v>
      </c>
      <c r="Q14" s="407"/>
      <c r="R14" s="394"/>
      <c r="S14" s="421"/>
    </row>
    <row r="15" spans="8:19" ht="12.75">
      <c r="H15" s="393"/>
      <c r="I15" s="394"/>
      <c r="J15" s="394"/>
      <c r="K15" s="394"/>
      <c r="L15" s="393"/>
      <c r="M15" s="394"/>
      <c r="N15" s="394"/>
      <c r="O15" s="394"/>
      <c r="P15" s="393"/>
      <c r="Q15" s="394"/>
      <c r="R15" s="394"/>
      <c r="S15" s="421"/>
    </row>
    <row r="16" spans="2:19" ht="12.75">
      <c r="B16" s="416" t="s">
        <v>845</v>
      </c>
      <c r="C16" s="385" t="s">
        <v>624</v>
      </c>
      <c r="D16" s="385" t="s">
        <v>1490</v>
      </c>
      <c r="E16" s="385" t="s">
        <v>1491</v>
      </c>
      <c r="F16" s="385" t="s">
        <v>634</v>
      </c>
      <c r="G16" s="416" t="s">
        <v>845</v>
      </c>
      <c r="H16" s="401" t="s">
        <v>624</v>
      </c>
      <c r="I16" s="402" t="s">
        <v>1490</v>
      </c>
      <c r="J16" s="402" t="s">
        <v>1491</v>
      </c>
      <c r="K16" s="402" t="s">
        <v>634</v>
      </c>
      <c r="L16" s="401" t="s">
        <v>624</v>
      </c>
      <c r="M16" s="402" t="s">
        <v>1490</v>
      </c>
      <c r="N16" s="402" t="s">
        <v>1491</v>
      </c>
      <c r="O16" s="402" t="s">
        <v>628</v>
      </c>
      <c r="P16" s="401" t="s">
        <v>624</v>
      </c>
      <c r="Q16" s="402" t="s">
        <v>1490</v>
      </c>
      <c r="R16" s="402" t="s">
        <v>1491</v>
      </c>
      <c r="S16" s="422" t="s">
        <v>628</v>
      </c>
    </row>
    <row r="17" spans="8:19" ht="12.75">
      <c r="H17" s="403"/>
      <c r="I17" s="404"/>
      <c r="J17" s="404"/>
      <c r="K17" s="404"/>
      <c r="L17" s="403"/>
      <c r="M17" s="404"/>
      <c r="N17" s="404"/>
      <c r="O17" s="404"/>
      <c r="P17" s="403"/>
      <c r="Q17" s="404"/>
      <c r="R17" s="404"/>
      <c r="S17" s="423"/>
    </row>
    <row r="18" spans="1:19" ht="12.75">
      <c r="A18" s="390">
        <f>A14+1</f>
        <v>9</v>
      </c>
      <c r="B18" s="400">
        <v>2007</v>
      </c>
      <c r="C18" s="415">
        <f aca="true" t="shared" si="1" ref="C18:D21">+H18+L18+P18</f>
        <v>0</v>
      </c>
      <c r="D18" s="415">
        <f>+I18+M18+Q18</f>
        <v>0</v>
      </c>
      <c r="E18" s="415">
        <f>+J18+N18+R18</f>
        <v>0</v>
      </c>
      <c r="F18" s="415">
        <f>+K18+O18+S18</f>
        <v>0</v>
      </c>
      <c r="G18" s="414">
        <f>+B18</f>
        <v>2007</v>
      </c>
      <c r="H18" s="449">
        <v>0</v>
      </c>
      <c r="I18" s="406">
        <v>0</v>
      </c>
      <c r="J18" s="405">
        <f>+H18-I18</f>
        <v>0</v>
      </c>
      <c r="K18" s="405">
        <f>ROUND(J18*I$11,2)</f>
        <v>0</v>
      </c>
      <c r="L18" s="449">
        <v>0</v>
      </c>
      <c r="M18" s="406">
        <f>MIN(M13+ROUND(L18*M$9,0),L18)</f>
        <v>0</v>
      </c>
      <c r="N18" s="405">
        <f>+L18-M18</f>
        <v>0</v>
      </c>
      <c r="O18" s="424">
        <f>ROUND(N18*M$11,2)</f>
        <v>0</v>
      </c>
      <c r="P18" s="449">
        <v>0</v>
      </c>
      <c r="Q18" s="406">
        <f>MIN(Q13+ROUND(P18*Q$9,0),P18)</f>
        <v>0</v>
      </c>
      <c r="R18" s="405">
        <f>+P18-Q18</f>
        <v>0</v>
      </c>
      <c r="S18" s="424">
        <f>ROUND(R18*Q$11,2)</f>
        <v>0</v>
      </c>
    </row>
    <row r="19" spans="1:19" ht="12.75">
      <c r="A19" s="390">
        <f aca="true" t="shared" si="2" ref="A19:A41">A18+1</f>
        <v>10</v>
      </c>
      <c r="B19" s="400">
        <v>2008</v>
      </c>
      <c r="C19" s="415">
        <f t="shared" si="1"/>
        <v>88584002</v>
      </c>
      <c r="D19" s="415">
        <f t="shared" si="1"/>
        <v>86882</v>
      </c>
      <c r="E19" s="415">
        <f aca="true" t="shared" si="3" ref="E19:F21">+J19+N19+R19</f>
        <v>88497120</v>
      </c>
      <c r="F19" s="415">
        <f t="shared" si="3"/>
        <v>425411.41</v>
      </c>
      <c r="G19" s="414">
        <f aca="true" t="shared" si="4" ref="G19:G41">+B19</f>
        <v>2008</v>
      </c>
      <c r="H19" s="449">
        <v>88584002</v>
      </c>
      <c r="I19" s="406">
        <v>86882</v>
      </c>
      <c r="J19" s="405">
        <f>+H19-I19</f>
        <v>88497120</v>
      </c>
      <c r="K19" s="405">
        <f>ROUND(J19*I$11,2)</f>
        <v>425411.41</v>
      </c>
      <c r="L19" s="449">
        <v>0</v>
      </c>
      <c r="M19" s="406">
        <f>MIN(M18+ROUND(L19*M$9,0),L19)</f>
        <v>0</v>
      </c>
      <c r="N19" s="405">
        <f>+L19-M19</f>
        <v>0</v>
      </c>
      <c r="O19" s="405">
        <f>ROUND(N19*M$11,2)</f>
        <v>0</v>
      </c>
      <c r="P19" s="449">
        <v>0</v>
      </c>
      <c r="Q19" s="406">
        <f>MIN(Q18+ROUND(P19*Q$9,0),P19)</f>
        <v>0</v>
      </c>
      <c r="R19" s="405">
        <f>+P19-Q19</f>
        <v>0</v>
      </c>
      <c r="S19" s="424">
        <f>ROUND(R19*Q$11,2)</f>
        <v>0</v>
      </c>
    </row>
    <row r="20" spans="1:19" ht="12.75">
      <c r="A20" s="390">
        <f t="shared" si="2"/>
        <v>11</v>
      </c>
      <c r="B20" s="400">
        <f>+B19+1</f>
        <v>2009</v>
      </c>
      <c r="C20" s="415">
        <f t="shared" si="1"/>
        <v>0</v>
      </c>
      <c r="D20" s="415">
        <f t="shared" si="1"/>
        <v>0</v>
      </c>
      <c r="E20" s="415">
        <f t="shared" si="3"/>
        <v>0</v>
      </c>
      <c r="F20" s="415">
        <f t="shared" si="3"/>
        <v>0</v>
      </c>
      <c r="G20" s="414">
        <f t="shared" si="4"/>
        <v>2009</v>
      </c>
      <c r="H20" s="449">
        <v>0</v>
      </c>
      <c r="I20" s="406">
        <f>MIN(I13+ROUND(H20*I$9,0),H20)</f>
        <v>0</v>
      </c>
      <c r="J20" s="405">
        <f>+H20-I20</f>
        <v>0</v>
      </c>
      <c r="K20" s="405">
        <f>ROUND(J20*I$11,2)</f>
        <v>0</v>
      </c>
      <c r="L20" s="449">
        <f>+L19</f>
        <v>0</v>
      </c>
      <c r="M20" s="406">
        <f>MIN(M13+ROUND(L20*M$9,0),L20)</f>
        <v>0</v>
      </c>
      <c r="N20" s="405">
        <f>+L20-M20</f>
        <v>0</v>
      </c>
      <c r="O20" s="405">
        <f>ROUND(N20*M$11,2)</f>
        <v>0</v>
      </c>
      <c r="P20" s="449">
        <f>+P19</f>
        <v>0</v>
      </c>
      <c r="Q20" s="406">
        <f>MIN(Q13+ROUND(P20*Q$9,0),P20)</f>
        <v>0</v>
      </c>
      <c r="R20" s="405">
        <f>+P20-Q20</f>
        <v>0</v>
      </c>
      <c r="S20" s="424">
        <f>ROUND(R20*Q$11,2)</f>
        <v>0</v>
      </c>
    </row>
    <row r="21" spans="1:19" ht="12.75">
      <c r="A21" s="390">
        <f t="shared" si="2"/>
        <v>12</v>
      </c>
      <c r="B21" s="400">
        <f aca="true" t="shared" si="5" ref="B21:B41">+B20+1</f>
        <v>2010</v>
      </c>
      <c r="C21" s="415">
        <f t="shared" si="1"/>
        <v>0</v>
      </c>
      <c r="D21" s="415">
        <f t="shared" si="1"/>
        <v>0</v>
      </c>
      <c r="E21" s="415">
        <f t="shared" si="3"/>
        <v>0</v>
      </c>
      <c r="F21" s="415">
        <f t="shared" si="3"/>
        <v>0</v>
      </c>
      <c r="G21" s="414">
        <f t="shared" si="4"/>
        <v>2010</v>
      </c>
      <c r="H21" s="449">
        <v>0</v>
      </c>
      <c r="I21" s="406">
        <f>MIN(I20+ROUND(H21*I$9,0),H21)</f>
        <v>0</v>
      </c>
      <c r="J21" s="405">
        <f>+H21-I21</f>
        <v>0</v>
      </c>
      <c r="K21" s="405">
        <f>ROUND(J21*I$11,2)</f>
        <v>0</v>
      </c>
      <c r="L21" s="449">
        <f>+L20</f>
        <v>0</v>
      </c>
      <c r="M21" s="406">
        <f>MIN(M20+ROUND(L21*M$9,0),L21)</f>
        <v>0</v>
      </c>
      <c r="N21" s="405">
        <f>+L21-M21</f>
        <v>0</v>
      </c>
      <c r="O21" s="424">
        <f>ROUND(N21*M$11,2)</f>
        <v>0</v>
      </c>
      <c r="P21" s="449">
        <f>+P20</f>
        <v>0</v>
      </c>
      <c r="Q21" s="406">
        <f>MIN(Q20+ROUND(P21*Q$9,0),P21)</f>
        <v>0</v>
      </c>
      <c r="R21" s="405">
        <f>+P21-Q21</f>
        <v>0</v>
      </c>
      <c r="S21" s="424">
        <f>ROUND(R21*Q$11,2)</f>
        <v>0</v>
      </c>
    </row>
    <row r="22" spans="1:19" ht="12.75">
      <c r="A22" s="390">
        <f t="shared" si="2"/>
        <v>13</v>
      </c>
      <c r="B22" s="400">
        <f t="shared" si="5"/>
        <v>2011</v>
      </c>
      <c r="G22" s="414">
        <f t="shared" si="4"/>
        <v>2011</v>
      </c>
      <c r="H22" s="449"/>
      <c r="I22" s="406"/>
      <c r="J22" s="405"/>
      <c r="K22" s="405"/>
      <c r="L22" s="449"/>
      <c r="M22" s="406"/>
      <c r="N22" s="405"/>
      <c r="O22" s="405"/>
      <c r="P22" s="449"/>
      <c r="Q22" s="406"/>
      <c r="R22" s="405"/>
      <c r="S22" s="424"/>
    </row>
    <row r="23" spans="1:19" ht="12.75">
      <c r="A23" s="390">
        <f t="shared" si="2"/>
        <v>14</v>
      </c>
      <c r="B23" s="400">
        <f t="shared" si="5"/>
        <v>2012</v>
      </c>
      <c r="G23" s="414">
        <f t="shared" si="4"/>
        <v>2012</v>
      </c>
      <c r="H23" s="449"/>
      <c r="I23" s="406"/>
      <c r="J23" s="405"/>
      <c r="K23" s="405"/>
      <c r="L23" s="449"/>
      <c r="M23" s="406"/>
      <c r="N23" s="405"/>
      <c r="O23" s="405"/>
      <c r="P23" s="449"/>
      <c r="Q23" s="406"/>
      <c r="R23" s="405"/>
      <c r="S23" s="424"/>
    </row>
    <row r="24" spans="1:19" ht="12.75">
      <c r="A24" s="390">
        <f t="shared" si="2"/>
        <v>15</v>
      </c>
      <c r="B24" s="400">
        <f t="shared" si="5"/>
        <v>2013</v>
      </c>
      <c r="G24" s="414">
        <f t="shared" si="4"/>
        <v>2013</v>
      </c>
      <c r="H24" s="449"/>
      <c r="I24" s="406"/>
      <c r="J24" s="405"/>
      <c r="K24" s="405"/>
      <c r="L24" s="449"/>
      <c r="M24" s="406"/>
      <c r="N24" s="405"/>
      <c r="O24" s="405"/>
      <c r="P24" s="449"/>
      <c r="Q24" s="406"/>
      <c r="R24" s="405"/>
      <c r="S24" s="424"/>
    </row>
    <row r="25" spans="1:19" ht="12.75">
      <c r="A25" s="390">
        <f t="shared" si="2"/>
        <v>16</v>
      </c>
      <c r="B25" s="400">
        <f t="shared" si="5"/>
        <v>2014</v>
      </c>
      <c r="G25" s="414">
        <f t="shared" si="4"/>
        <v>2014</v>
      </c>
      <c r="H25" s="449"/>
      <c r="I25" s="406"/>
      <c r="J25" s="405"/>
      <c r="K25" s="405"/>
      <c r="L25" s="449"/>
      <c r="M25" s="406"/>
      <c r="N25" s="405"/>
      <c r="O25" s="405"/>
      <c r="P25" s="449"/>
      <c r="Q25" s="406"/>
      <c r="R25" s="405"/>
      <c r="S25" s="424"/>
    </row>
    <row r="26" spans="1:19" ht="12.75">
      <c r="A26" s="390">
        <f t="shared" si="2"/>
        <v>17</v>
      </c>
      <c r="B26" s="400">
        <f t="shared" si="5"/>
        <v>2015</v>
      </c>
      <c r="G26" s="414">
        <f t="shared" si="4"/>
        <v>2015</v>
      </c>
      <c r="H26" s="449"/>
      <c r="I26" s="406"/>
      <c r="J26" s="405"/>
      <c r="K26" s="405"/>
      <c r="L26" s="449"/>
      <c r="M26" s="406"/>
      <c r="N26" s="405"/>
      <c r="O26" s="405"/>
      <c r="P26" s="449"/>
      <c r="Q26" s="406"/>
      <c r="R26" s="405"/>
      <c r="S26" s="424"/>
    </row>
    <row r="27" spans="1:19" ht="12.75">
      <c r="A27" s="390">
        <f t="shared" si="2"/>
        <v>18</v>
      </c>
      <c r="B27" s="400">
        <f t="shared" si="5"/>
        <v>2016</v>
      </c>
      <c r="G27" s="414">
        <f t="shared" si="4"/>
        <v>2016</v>
      </c>
      <c r="H27" s="449"/>
      <c r="I27" s="406"/>
      <c r="J27" s="405"/>
      <c r="K27" s="405"/>
      <c r="L27" s="449"/>
      <c r="M27" s="406"/>
      <c r="N27" s="405"/>
      <c r="O27" s="405"/>
      <c r="P27" s="449"/>
      <c r="Q27" s="406"/>
      <c r="R27" s="405"/>
      <c r="S27" s="424"/>
    </row>
    <row r="28" spans="1:19" ht="12.75">
      <c r="A28" s="390">
        <f t="shared" si="2"/>
        <v>19</v>
      </c>
      <c r="B28" s="400">
        <f t="shared" si="5"/>
        <v>2017</v>
      </c>
      <c r="G28" s="414">
        <f t="shared" si="4"/>
        <v>2017</v>
      </c>
      <c r="H28" s="449"/>
      <c r="I28" s="406"/>
      <c r="J28" s="405"/>
      <c r="K28" s="405"/>
      <c r="L28" s="449"/>
      <c r="M28" s="406"/>
      <c r="N28" s="405"/>
      <c r="O28" s="405"/>
      <c r="P28" s="449"/>
      <c r="Q28" s="406"/>
      <c r="R28" s="405"/>
      <c r="S28" s="424"/>
    </row>
    <row r="29" spans="1:19" ht="12.75">
      <c r="A29" s="390">
        <f t="shared" si="2"/>
        <v>20</v>
      </c>
      <c r="B29" s="400">
        <f t="shared" si="5"/>
        <v>2018</v>
      </c>
      <c r="G29" s="414">
        <f t="shared" si="4"/>
        <v>2018</v>
      </c>
      <c r="H29" s="449"/>
      <c r="I29" s="406"/>
      <c r="J29" s="405"/>
      <c r="K29" s="405"/>
      <c r="L29" s="449"/>
      <c r="M29" s="406"/>
      <c r="N29" s="405"/>
      <c r="O29" s="405"/>
      <c r="P29" s="449"/>
      <c r="Q29" s="406"/>
      <c r="R29" s="405"/>
      <c r="S29" s="424"/>
    </row>
    <row r="30" spans="1:19" ht="12.75">
      <c r="A30" s="390">
        <f t="shared" si="2"/>
        <v>21</v>
      </c>
      <c r="B30" s="400">
        <f t="shared" si="5"/>
        <v>2019</v>
      </c>
      <c r="G30" s="414">
        <f t="shared" si="4"/>
        <v>2019</v>
      </c>
      <c r="H30" s="449"/>
      <c r="I30" s="406"/>
      <c r="J30" s="405"/>
      <c r="K30" s="405"/>
      <c r="L30" s="449"/>
      <c r="M30" s="406"/>
      <c r="N30" s="405"/>
      <c r="O30" s="405"/>
      <c r="P30" s="449"/>
      <c r="Q30" s="406"/>
      <c r="R30" s="405"/>
      <c r="S30" s="424"/>
    </row>
    <row r="31" spans="1:19" ht="12.75">
      <c r="A31" s="390">
        <f t="shared" si="2"/>
        <v>22</v>
      </c>
      <c r="B31" s="400">
        <f t="shared" si="5"/>
        <v>2020</v>
      </c>
      <c r="G31" s="414">
        <f t="shared" si="4"/>
        <v>2020</v>
      </c>
      <c r="H31" s="449"/>
      <c r="I31" s="406"/>
      <c r="J31" s="405"/>
      <c r="K31" s="405"/>
      <c r="L31" s="449"/>
      <c r="M31" s="406"/>
      <c r="N31" s="405"/>
      <c r="O31" s="405"/>
      <c r="P31" s="449"/>
      <c r="Q31" s="406"/>
      <c r="R31" s="405"/>
      <c r="S31" s="424"/>
    </row>
    <row r="32" spans="1:19" ht="12.75">
      <c r="A32" s="390">
        <f t="shared" si="2"/>
        <v>23</v>
      </c>
      <c r="B32" s="400">
        <f t="shared" si="5"/>
        <v>2021</v>
      </c>
      <c r="G32" s="414">
        <f t="shared" si="4"/>
        <v>2021</v>
      </c>
      <c r="H32" s="449"/>
      <c r="I32" s="406"/>
      <c r="J32" s="405"/>
      <c r="K32" s="405"/>
      <c r="L32" s="449"/>
      <c r="M32" s="406"/>
      <c r="N32" s="405"/>
      <c r="O32" s="405"/>
      <c r="P32" s="449"/>
      <c r="Q32" s="406"/>
      <c r="R32" s="405"/>
      <c r="S32" s="424"/>
    </row>
    <row r="33" spans="1:19" ht="12.75">
      <c r="A33" s="390">
        <f t="shared" si="2"/>
        <v>24</v>
      </c>
      <c r="B33" s="400">
        <f t="shared" si="5"/>
        <v>2022</v>
      </c>
      <c r="G33" s="414">
        <f t="shared" si="4"/>
        <v>2022</v>
      </c>
      <c r="H33" s="449"/>
      <c r="I33" s="406"/>
      <c r="J33" s="405"/>
      <c r="K33" s="405"/>
      <c r="L33" s="449"/>
      <c r="M33" s="406"/>
      <c r="N33" s="405"/>
      <c r="O33" s="405"/>
      <c r="P33" s="449"/>
      <c r="Q33" s="406"/>
      <c r="R33" s="405"/>
      <c r="S33" s="424"/>
    </row>
    <row r="34" spans="1:19" ht="12.75">
      <c r="A34" s="390">
        <f t="shared" si="2"/>
        <v>25</v>
      </c>
      <c r="B34" s="400">
        <f t="shared" si="5"/>
        <v>2023</v>
      </c>
      <c r="G34" s="414">
        <f t="shared" si="4"/>
        <v>2023</v>
      </c>
      <c r="H34" s="449"/>
      <c r="I34" s="406"/>
      <c r="J34" s="405"/>
      <c r="K34" s="405"/>
      <c r="L34" s="449"/>
      <c r="M34" s="406"/>
      <c r="N34" s="405"/>
      <c r="O34" s="405"/>
      <c r="P34" s="449"/>
      <c r="Q34" s="406"/>
      <c r="R34" s="405"/>
      <c r="S34" s="424"/>
    </row>
    <row r="35" spans="1:19" ht="12.75">
      <c r="A35" s="390">
        <f t="shared" si="2"/>
        <v>26</v>
      </c>
      <c r="B35" s="400">
        <f t="shared" si="5"/>
        <v>2024</v>
      </c>
      <c r="G35" s="414">
        <f t="shared" si="4"/>
        <v>2024</v>
      </c>
      <c r="H35" s="449"/>
      <c r="I35" s="406"/>
      <c r="J35" s="405"/>
      <c r="K35" s="405"/>
      <c r="L35" s="449"/>
      <c r="M35" s="406"/>
      <c r="N35" s="405"/>
      <c r="O35" s="405"/>
      <c r="P35" s="449"/>
      <c r="Q35" s="406"/>
      <c r="R35" s="405"/>
      <c r="S35" s="424"/>
    </row>
    <row r="36" spans="1:19" ht="12.75">
      <c r="A36" s="390">
        <f t="shared" si="2"/>
        <v>27</v>
      </c>
      <c r="B36" s="400">
        <f t="shared" si="5"/>
        <v>2025</v>
      </c>
      <c r="G36" s="414">
        <f t="shared" si="4"/>
        <v>2025</v>
      </c>
      <c r="H36" s="449"/>
      <c r="I36" s="406"/>
      <c r="J36" s="405"/>
      <c r="K36" s="405"/>
      <c r="L36" s="449"/>
      <c r="M36" s="406"/>
      <c r="N36" s="405"/>
      <c r="O36" s="405"/>
      <c r="P36" s="449"/>
      <c r="Q36" s="406"/>
      <c r="R36" s="405"/>
      <c r="S36" s="424"/>
    </row>
    <row r="37" spans="1:19" ht="12.75">
      <c r="A37" s="390">
        <f t="shared" si="2"/>
        <v>28</v>
      </c>
      <c r="B37" s="400">
        <f t="shared" si="5"/>
        <v>2026</v>
      </c>
      <c r="G37" s="414">
        <f t="shared" si="4"/>
        <v>2026</v>
      </c>
      <c r="H37" s="449"/>
      <c r="I37" s="406"/>
      <c r="J37" s="405"/>
      <c r="K37" s="405"/>
      <c r="L37" s="449"/>
      <c r="M37" s="406"/>
      <c r="N37" s="405"/>
      <c r="O37" s="405"/>
      <c r="P37" s="449"/>
      <c r="Q37" s="406"/>
      <c r="R37" s="405"/>
      <c r="S37" s="424"/>
    </row>
    <row r="38" spans="1:19" ht="12.75">
      <c r="A38" s="390">
        <f t="shared" si="2"/>
        <v>29</v>
      </c>
      <c r="B38" s="400">
        <f t="shared" si="5"/>
        <v>2027</v>
      </c>
      <c r="G38" s="414">
        <f t="shared" si="4"/>
        <v>2027</v>
      </c>
      <c r="H38" s="449"/>
      <c r="I38" s="406"/>
      <c r="J38" s="405"/>
      <c r="K38" s="405"/>
      <c r="L38" s="449"/>
      <c r="M38" s="406"/>
      <c r="N38" s="405"/>
      <c r="O38" s="405"/>
      <c r="P38" s="449"/>
      <c r="Q38" s="406"/>
      <c r="R38" s="405"/>
      <c r="S38" s="424"/>
    </row>
    <row r="39" spans="1:19" ht="12.75">
      <c r="A39" s="390">
        <f t="shared" si="2"/>
        <v>30</v>
      </c>
      <c r="B39" s="400">
        <f t="shared" si="5"/>
        <v>2028</v>
      </c>
      <c r="G39" s="414">
        <f t="shared" si="4"/>
        <v>2028</v>
      </c>
      <c r="H39" s="449"/>
      <c r="I39" s="406"/>
      <c r="J39" s="405"/>
      <c r="K39" s="405"/>
      <c r="L39" s="449"/>
      <c r="M39" s="406"/>
      <c r="N39" s="405"/>
      <c r="O39" s="405"/>
      <c r="P39" s="449"/>
      <c r="Q39" s="406"/>
      <c r="R39" s="405"/>
      <c r="S39" s="424"/>
    </row>
    <row r="40" spans="1:19" ht="12.75">
      <c r="A40" s="390">
        <f t="shared" si="2"/>
        <v>31</v>
      </c>
      <c r="B40" s="400">
        <f t="shared" si="5"/>
        <v>2029</v>
      </c>
      <c r="G40" s="414">
        <f t="shared" si="4"/>
        <v>2029</v>
      </c>
      <c r="H40" s="449"/>
      <c r="I40" s="406"/>
      <c r="J40" s="405"/>
      <c r="K40" s="405"/>
      <c r="L40" s="449"/>
      <c r="M40" s="406"/>
      <c r="N40" s="405"/>
      <c r="O40" s="405"/>
      <c r="P40" s="449"/>
      <c r="Q40" s="406"/>
      <c r="R40" s="405"/>
      <c r="S40" s="424"/>
    </row>
    <row r="41" spans="1:19" ht="12.75">
      <c r="A41" s="390">
        <f t="shared" si="2"/>
        <v>32</v>
      </c>
      <c r="B41" s="400">
        <f t="shared" si="5"/>
        <v>2030</v>
      </c>
      <c r="G41" s="414">
        <f t="shared" si="4"/>
        <v>2030</v>
      </c>
      <c r="H41" s="449"/>
      <c r="I41" s="406"/>
      <c r="J41" s="405"/>
      <c r="K41" s="405"/>
      <c r="L41" s="449"/>
      <c r="M41" s="406"/>
      <c r="N41" s="405"/>
      <c r="O41" s="405"/>
      <c r="P41" s="449"/>
      <c r="Q41" s="406"/>
      <c r="R41" s="405"/>
      <c r="S41" s="424"/>
    </row>
    <row r="42" spans="2:19" ht="12.75">
      <c r="B42" s="414"/>
      <c r="G42" s="414"/>
      <c r="H42" s="396"/>
      <c r="I42" s="397"/>
      <c r="J42" s="397"/>
      <c r="K42" s="397"/>
      <c r="L42" s="411"/>
      <c r="M42" s="397"/>
      <c r="N42" s="413"/>
      <c r="O42" s="413"/>
      <c r="P42" s="411"/>
      <c r="Q42" s="397"/>
      <c r="R42" s="413"/>
      <c r="S42" s="425"/>
    </row>
    <row r="43" spans="2:19" ht="12.75">
      <c r="B43" s="414"/>
      <c r="G43" s="414"/>
      <c r="H43" s="430"/>
      <c r="I43" s="430"/>
      <c r="J43" s="430"/>
      <c r="K43" s="430"/>
      <c r="L43" s="617"/>
      <c r="M43" s="430"/>
      <c r="N43" s="405"/>
      <c r="O43" s="405"/>
      <c r="P43" s="617"/>
      <c r="Q43" s="430"/>
      <c r="R43" s="405"/>
      <c r="S43" s="405"/>
    </row>
    <row r="44" spans="2:19" ht="12.75">
      <c r="B44" s="389" t="s">
        <v>244</v>
      </c>
      <c r="G44" s="414"/>
      <c r="H44" s="430"/>
      <c r="I44" s="430"/>
      <c r="J44" s="430"/>
      <c r="K44" s="430"/>
      <c r="L44" s="617"/>
      <c r="M44" s="430"/>
      <c r="N44" s="405"/>
      <c r="O44" s="405"/>
      <c r="P44" s="617"/>
      <c r="Q44" s="430"/>
      <c r="R44" s="405"/>
      <c r="S44" s="405"/>
    </row>
    <row r="46" spans="2:11" ht="15">
      <c r="B46" s="29"/>
      <c r="G46" s="390"/>
      <c r="H46" s="391"/>
      <c r="I46" s="391"/>
      <c r="J46" s="391"/>
      <c r="K46" s="391"/>
    </row>
    <row r="47" spans="1:19" ht="20.25">
      <c r="A47" s="380" t="str">
        <f>+A$1</f>
        <v>Worksheet A-11 - Actual Incentive Plant</v>
      </c>
      <c r="G47" s="390"/>
      <c r="H47" s="391"/>
      <c r="I47" s="391"/>
      <c r="J47" s="391"/>
      <c r="K47" s="391"/>
      <c r="S47" s="389" t="s">
        <v>236</v>
      </c>
    </row>
    <row r="48" spans="1:11" ht="20.25">
      <c r="A48" s="380" t="str">
        <f>+A$2</f>
        <v>Westar Energy, Inc.</v>
      </c>
      <c r="G48" s="390"/>
      <c r="H48" s="391"/>
      <c r="I48" s="391"/>
      <c r="J48" s="391"/>
      <c r="K48" s="391"/>
    </row>
    <row r="49" spans="1:11" ht="15">
      <c r="A49" s="382" t="str">
        <f>+A$3</f>
        <v>For the 12 months ended - December 31, 2008</v>
      </c>
      <c r="G49" s="390"/>
      <c r="H49" s="391"/>
      <c r="I49" s="391"/>
      <c r="J49" s="391"/>
      <c r="K49" s="391"/>
    </row>
    <row r="50" spans="7:11" ht="12.75">
      <c r="G50" s="390"/>
      <c r="H50" s="391"/>
      <c r="I50" s="391"/>
      <c r="J50" s="391"/>
      <c r="K50" s="391"/>
    </row>
    <row r="51" ht="12.75">
      <c r="B51" s="436" t="s">
        <v>1524</v>
      </c>
    </row>
    <row r="52" spans="1:19" ht="12.75">
      <c r="A52" s="390">
        <v>1</v>
      </c>
      <c r="H52" s="392" t="s">
        <v>625</v>
      </c>
      <c r="I52" s="410" t="s">
        <v>288</v>
      </c>
      <c r="J52" s="410"/>
      <c r="K52" s="410"/>
      <c r="L52" s="392" t="s">
        <v>625</v>
      </c>
      <c r="M52" s="410" t="s">
        <v>289</v>
      </c>
      <c r="N52" s="410"/>
      <c r="O52" s="410"/>
      <c r="P52" s="392" t="s">
        <v>625</v>
      </c>
      <c r="Q52" s="410" t="s">
        <v>290</v>
      </c>
      <c r="R52" s="410"/>
      <c r="S52" s="419"/>
    </row>
    <row r="53" spans="1:19" ht="12.75">
      <c r="A53" s="390">
        <f>A52+1</f>
        <v>2</v>
      </c>
      <c r="H53" s="408" t="s">
        <v>645</v>
      </c>
      <c r="I53" s="514" t="s">
        <v>881</v>
      </c>
      <c r="J53" s="409"/>
      <c r="K53" s="409"/>
      <c r="L53" s="408"/>
      <c r="M53" s="409"/>
      <c r="N53" s="409"/>
      <c r="O53" s="409"/>
      <c r="P53" s="408"/>
      <c r="Q53" s="409"/>
      <c r="R53" s="409"/>
      <c r="S53" s="420"/>
    </row>
    <row r="54" spans="1:19" ht="12.75">
      <c r="A54" s="390">
        <f aca="true" t="shared" si="6" ref="A54:A59">A53+1</f>
        <v>3</v>
      </c>
      <c r="H54" s="393" t="s">
        <v>626</v>
      </c>
      <c r="I54" s="399">
        <f>1/15</f>
        <v>0.06666666666666667</v>
      </c>
      <c r="J54" s="394" t="s">
        <v>245</v>
      </c>
      <c r="K54" s="394"/>
      <c r="L54" s="393" t="s">
        <v>626</v>
      </c>
      <c r="M54" s="399"/>
      <c r="N54" s="394" t="s">
        <v>245</v>
      </c>
      <c r="O54" s="394"/>
      <c r="P54" s="393" t="s">
        <v>626</v>
      </c>
      <c r="Q54" s="399"/>
      <c r="R54" s="394" t="s">
        <v>245</v>
      </c>
      <c r="S54" s="421"/>
    </row>
    <row r="55" spans="1:19" ht="12.75">
      <c r="A55" s="390">
        <f t="shared" si="6"/>
        <v>4</v>
      </c>
      <c r="H55" s="393" t="s">
        <v>627</v>
      </c>
      <c r="I55" s="399">
        <v>0.01</v>
      </c>
      <c r="J55" s="394"/>
      <c r="K55" s="394"/>
      <c r="L55" s="393" t="s">
        <v>627</v>
      </c>
      <c r="M55" s="399"/>
      <c r="N55" s="394"/>
      <c r="O55" s="394"/>
      <c r="P55" s="393" t="s">
        <v>627</v>
      </c>
      <c r="Q55" s="399"/>
      <c r="R55" s="394"/>
      <c r="S55" s="421"/>
    </row>
    <row r="56" spans="1:19" ht="12.75">
      <c r="A56" s="390">
        <f t="shared" si="6"/>
        <v>5</v>
      </c>
      <c r="H56" s="393" t="s">
        <v>629</v>
      </c>
      <c r="I56" s="395">
        <f>+I55*'Actual Gross Rev'!H273</f>
        <v>0</v>
      </c>
      <c r="J56" s="394"/>
      <c r="K56" s="394"/>
      <c r="L56" s="393" t="s">
        <v>629</v>
      </c>
      <c r="M56" s="395">
        <f>+M55*'Actual Gross Rev'!$L$236</f>
        <v>0</v>
      </c>
      <c r="N56" s="394"/>
      <c r="O56" s="394"/>
      <c r="P56" s="393" t="s">
        <v>629</v>
      </c>
      <c r="Q56" s="395">
        <f>+Q55*'Actual Gross Rev'!$L$236</f>
        <v>0</v>
      </c>
      <c r="R56" s="394"/>
      <c r="S56" s="421"/>
    </row>
    <row r="57" spans="1:19" ht="12.75">
      <c r="A57" s="390">
        <f t="shared" si="6"/>
        <v>6</v>
      </c>
      <c r="H57" s="393" t="s">
        <v>630</v>
      </c>
      <c r="I57" s="406">
        <v>0</v>
      </c>
      <c r="J57" s="394"/>
      <c r="K57" s="394"/>
      <c r="L57" s="393" t="s">
        <v>630</v>
      </c>
      <c r="M57" s="406"/>
      <c r="N57" s="394"/>
      <c r="O57" s="394"/>
      <c r="P57" s="393" t="s">
        <v>630</v>
      </c>
      <c r="Q57" s="406"/>
      <c r="R57" s="394"/>
      <c r="S57" s="421"/>
    </row>
    <row r="58" spans="1:19" ht="12.75">
      <c r="A58" s="390">
        <f t="shared" si="6"/>
        <v>7</v>
      </c>
      <c r="C58" s="1450" t="s">
        <v>1106</v>
      </c>
      <c r="D58" s="1450"/>
      <c r="E58" s="1450"/>
      <c r="F58" s="1450"/>
      <c r="H58" s="393" t="s">
        <v>631</v>
      </c>
      <c r="I58" s="398">
        <f>ROUND(H64*I54/12,0)</f>
        <v>0</v>
      </c>
      <c r="J58" s="394"/>
      <c r="K58" s="394"/>
      <c r="L58" s="393" t="s">
        <v>631</v>
      </c>
      <c r="M58" s="398"/>
      <c r="N58" s="394"/>
      <c r="O58" s="394"/>
      <c r="P58" s="393" t="s">
        <v>631</v>
      </c>
      <c r="Q58" s="398"/>
      <c r="R58" s="394"/>
      <c r="S58" s="421"/>
    </row>
    <row r="59" spans="1:19" ht="12.75">
      <c r="A59" s="390">
        <f t="shared" si="6"/>
        <v>8</v>
      </c>
      <c r="H59" s="393" t="s">
        <v>632</v>
      </c>
      <c r="I59" s="407">
        <v>2008</v>
      </c>
      <c r="J59" s="394"/>
      <c r="K59" s="394"/>
      <c r="L59" s="393" t="s">
        <v>632</v>
      </c>
      <c r="M59" s="407"/>
      <c r="N59" s="394"/>
      <c r="O59" s="394"/>
      <c r="P59" s="393" t="s">
        <v>632</v>
      </c>
      <c r="Q59" s="407"/>
      <c r="R59" s="394"/>
      <c r="S59" s="421"/>
    </row>
    <row r="60" spans="8:19" ht="12.75">
      <c r="H60" s="393"/>
      <c r="I60" s="394"/>
      <c r="J60" s="394"/>
      <c r="K60" s="394"/>
      <c r="L60" s="393"/>
      <c r="M60" s="394"/>
      <c r="N60" s="394"/>
      <c r="O60" s="394"/>
      <c r="P60" s="393"/>
      <c r="Q60" s="394"/>
      <c r="R60" s="394"/>
      <c r="S60" s="421"/>
    </row>
    <row r="61" spans="2:19" ht="12.75">
      <c r="B61" s="416" t="s">
        <v>845</v>
      </c>
      <c r="C61" s="385" t="s">
        <v>624</v>
      </c>
      <c r="D61" s="385" t="s">
        <v>1490</v>
      </c>
      <c r="E61" s="385" t="s">
        <v>1491</v>
      </c>
      <c r="F61" s="385" t="s">
        <v>634</v>
      </c>
      <c r="G61" s="416" t="s">
        <v>845</v>
      </c>
      <c r="H61" s="401" t="s">
        <v>624</v>
      </c>
      <c r="I61" s="402" t="s">
        <v>1490</v>
      </c>
      <c r="J61" s="402" t="s">
        <v>1491</v>
      </c>
      <c r="K61" s="402" t="s">
        <v>634</v>
      </c>
      <c r="L61" s="401" t="s">
        <v>624</v>
      </c>
      <c r="M61" s="402" t="s">
        <v>1490</v>
      </c>
      <c r="N61" s="402" t="s">
        <v>1491</v>
      </c>
      <c r="O61" s="402" t="s">
        <v>628</v>
      </c>
      <c r="P61" s="401" t="s">
        <v>624</v>
      </c>
      <c r="Q61" s="402" t="s">
        <v>1490</v>
      </c>
      <c r="R61" s="402" t="s">
        <v>1491</v>
      </c>
      <c r="S61" s="422" t="s">
        <v>628</v>
      </c>
    </row>
    <row r="62" spans="8:19" ht="12.75">
      <c r="H62" s="403"/>
      <c r="I62" s="404"/>
      <c r="J62" s="404"/>
      <c r="K62" s="404"/>
      <c r="L62" s="403"/>
      <c r="M62" s="404"/>
      <c r="N62" s="404"/>
      <c r="O62" s="404"/>
      <c r="P62" s="403"/>
      <c r="Q62" s="404"/>
      <c r="R62" s="404"/>
      <c r="S62" s="423"/>
    </row>
    <row r="63" spans="1:19" ht="12.75">
      <c r="A63" s="390">
        <f>A59+1</f>
        <v>9</v>
      </c>
      <c r="B63" s="400">
        <v>2007</v>
      </c>
      <c r="C63" s="415">
        <f aca="true" t="shared" si="7" ref="C63:E66">+H63+L63+P63</f>
        <v>0</v>
      </c>
      <c r="D63" s="415">
        <f t="shared" si="7"/>
        <v>0</v>
      </c>
      <c r="E63" s="415">
        <f>+J63+N63+R63</f>
        <v>0</v>
      </c>
      <c r="F63" s="415">
        <f>+K63+O63+S63</f>
        <v>0</v>
      </c>
      <c r="G63" s="414">
        <f>+B63</f>
        <v>2007</v>
      </c>
      <c r="H63" s="449">
        <v>0</v>
      </c>
      <c r="I63" s="406">
        <f>MIN(I58+ROUND(H63*I$9,0),H63)</f>
        <v>0</v>
      </c>
      <c r="J63" s="405">
        <f>+H63-I63</f>
        <v>0</v>
      </c>
      <c r="K63" s="405">
        <f>ROUND(J63*I$11,0)</f>
        <v>0</v>
      </c>
      <c r="L63" s="449">
        <v>0</v>
      </c>
      <c r="M63" s="406">
        <f>MIN(M58+ROUND(L63*M$9,0),L63)</f>
        <v>0</v>
      </c>
      <c r="N63" s="405">
        <f>+L63-M63</f>
        <v>0</v>
      </c>
      <c r="O63" s="405">
        <f>ROUND(N63*M$11,0)</f>
        <v>0</v>
      </c>
      <c r="P63" s="449">
        <v>0</v>
      </c>
      <c r="Q63" s="406">
        <f>MIN(Q58+ROUND(P63*Q$9,0),P63)</f>
        <v>0</v>
      </c>
      <c r="R63" s="405">
        <f>+P63-Q63</f>
        <v>0</v>
      </c>
      <c r="S63" s="424">
        <f>ROUND(R63*Q$11,0)</f>
        <v>0</v>
      </c>
    </row>
    <row r="64" spans="1:19" ht="12.75">
      <c r="A64" s="390">
        <f aca="true" t="shared" si="8" ref="A64:A86">A63+1</f>
        <v>10</v>
      </c>
      <c r="B64" s="400">
        <v>2008</v>
      </c>
      <c r="C64" s="415">
        <f t="shared" si="7"/>
        <v>0</v>
      </c>
      <c r="D64" s="415">
        <f t="shared" si="7"/>
        <v>0</v>
      </c>
      <c r="E64" s="415">
        <f t="shared" si="7"/>
        <v>0</v>
      </c>
      <c r="F64" s="415">
        <f>+K64+O64+S64</f>
        <v>0</v>
      </c>
      <c r="G64" s="414">
        <f aca="true" t="shared" si="9" ref="G64:G86">+B64</f>
        <v>2008</v>
      </c>
      <c r="H64" s="449">
        <f>H63</f>
        <v>0</v>
      </c>
      <c r="I64" s="406">
        <f>MIN(I63+ROUND(H64*I$9,0),H64)</f>
        <v>0</v>
      </c>
      <c r="J64" s="405">
        <f>+H64-I64</f>
        <v>0</v>
      </c>
      <c r="K64" s="405">
        <f>ROUND(J64*I$11,0)</f>
        <v>0</v>
      </c>
      <c r="L64" s="449">
        <v>0</v>
      </c>
      <c r="M64" s="406">
        <f>MIN(M63+ROUND(L64*M$9,0),L64)</f>
        <v>0</v>
      </c>
      <c r="N64" s="405">
        <f>+L64-M64</f>
        <v>0</v>
      </c>
      <c r="O64" s="405">
        <f>ROUND(N64*M$11,0)</f>
        <v>0</v>
      </c>
      <c r="P64" s="449">
        <v>0</v>
      </c>
      <c r="Q64" s="406">
        <f>MIN(Q63+ROUND(P64*Q$9,0),P64)</f>
        <v>0</v>
      </c>
      <c r="R64" s="405">
        <f>+P64-Q64</f>
        <v>0</v>
      </c>
      <c r="S64" s="424">
        <f>ROUND(R64*Q$11,0)</f>
        <v>0</v>
      </c>
    </row>
    <row r="65" spans="1:19" ht="12.75">
      <c r="A65" s="390">
        <f t="shared" si="8"/>
        <v>11</v>
      </c>
      <c r="B65" s="400">
        <f>+B64+1</f>
        <v>2009</v>
      </c>
      <c r="C65" s="415">
        <f t="shared" si="7"/>
        <v>0</v>
      </c>
      <c r="D65" s="415">
        <f t="shared" si="7"/>
        <v>0</v>
      </c>
      <c r="E65" s="415">
        <f t="shared" si="7"/>
        <v>0</v>
      </c>
      <c r="F65" s="415">
        <f>+K65+O65+S65</f>
        <v>0</v>
      </c>
      <c r="G65" s="414">
        <f t="shared" si="9"/>
        <v>2009</v>
      </c>
      <c r="H65" s="449">
        <f>+H64</f>
        <v>0</v>
      </c>
      <c r="I65" s="406">
        <f>MIN(I64+ROUND(H65*I$9,0),H65)</f>
        <v>0</v>
      </c>
      <c r="J65" s="405">
        <f>+H65-I65</f>
        <v>0</v>
      </c>
      <c r="K65" s="405">
        <f>ROUND(J65*I$11,0)</f>
        <v>0</v>
      </c>
      <c r="L65" s="449">
        <f>+L64</f>
        <v>0</v>
      </c>
      <c r="M65" s="406">
        <f>MIN(M58+ROUND(L65*M$9,0),L65)</f>
        <v>0</v>
      </c>
      <c r="N65" s="405">
        <f>+L65-M65</f>
        <v>0</v>
      </c>
      <c r="O65" s="405">
        <f>ROUND(N65*M$11,0)</f>
        <v>0</v>
      </c>
      <c r="P65" s="449">
        <f>+P64</f>
        <v>0</v>
      </c>
      <c r="Q65" s="406">
        <f>MIN(Q58+ROUND(P65*Q$9,0),P65)</f>
        <v>0</v>
      </c>
      <c r="R65" s="405">
        <f>+P65-Q65</f>
        <v>0</v>
      </c>
      <c r="S65" s="424">
        <f>ROUND(R65*Q$11,0)</f>
        <v>0</v>
      </c>
    </row>
    <row r="66" spans="1:19" ht="12.75">
      <c r="A66" s="390">
        <f t="shared" si="8"/>
        <v>12</v>
      </c>
      <c r="B66" s="400">
        <f aca="true" t="shared" si="10" ref="B66:B86">+B65+1</f>
        <v>2010</v>
      </c>
      <c r="C66" s="415">
        <f t="shared" si="7"/>
        <v>0</v>
      </c>
      <c r="D66" s="415">
        <f t="shared" si="7"/>
        <v>0</v>
      </c>
      <c r="E66" s="415">
        <f t="shared" si="7"/>
        <v>0</v>
      </c>
      <c r="F66" s="415">
        <f>+K66+O66+S66</f>
        <v>0</v>
      </c>
      <c r="G66" s="414">
        <f t="shared" si="9"/>
        <v>2010</v>
      </c>
      <c r="H66" s="449">
        <f>+H65</f>
        <v>0</v>
      </c>
      <c r="I66" s="406">
        <f>MIN(I65+ROUND(H66*I$9,0),H66)</f>
        <v>0</v>
      </c>
      <c r="J66" s="405">
        <f>+H66-I66</f>
        <v>0</v>
      </c>
      <c r="K66" s="405">
        <f>ROUND(J66*I$11,0)</f>
        <v>0</v>
      </c>
      <c r="L66" s="449">
        <f>+L65</f>
        <v>0</v>
      </c>
      <c r="M66" s="406">
        <f>MIN(M65+ROUND(L66*M$9,0),L66)</f>
        <v>0</v>
      </c>
      <c r="N66" s="405">
        <f>+L66-M66</f>
        <v>0</v>
      </c>
      <c r="O66" s="405">
        <f>ROUND(N66*M$11,0)</f>
        <v>0</v>
      </c>
      <c r="P66" s="449">
        <f>+P65</f>
        <v>0</v>
      </c>
      <c r="Q66" s="406">
        <f>MIN(Q65+ROUND(P66*Q$9,0),P66)</f>
        <v>0</v>
      </c>
      <c r="R66" s="405">
        <f>+P66-Q66</f>
        <v>0</v>
      </c>
      <c r="S66" s="424">
        <f>ROUND(R66*Q$11,0)</f>
        <v>0</v>
      </c>
    </row>
    <row r="67" spans="1:19" ht="12.75">
      <c r="A67" s="390">
        <f t="shared" si="8"/>
        <v>13</v>
      </c>
      <c r="B67" s="400">
        <f t="shared" si="10"/>
        <v>2011</v>
      </c>
      <c r="G67" s="414">
        <f t="shared" si="9"/>
        <v>2011</v>
      </c>
      <c r="H67" s="449"/>
      <c r="I67" s="406"/>
      <c r="J67" s="405"/>
      <c r="K67" s="405"/>
      <c r="L67" s="449"/>
      <c r="M67" s="406"/>
      <c r="N67" s="405"/>
      <c r="O67" s="405"/>
      <c r="P67" s="449"/>
      <c r="Q67" s="406"/>
      <c r="R67" s="405"/>
      <c r="S67" s="424"/>
    </row>
    <row r="68" spans="1:19" ht="12.75">
      <c r="A68" s="390">
        <f t="shared" si="8"/>
        <v>14</v>
      </c>
      <c r="B68" s="400">
        <f t="shared" si="10"/>
        <v>2012</v>
      </c>
      <c r="G68" s="414">
        <f t="shared" si="9"/>
        <v>2012</v>
      </c>
      <c r="H68" s="449"/>
      <c r="I68" s="406"/>
      <c r="J68" s="405"/>
      <c r="K68" s="405"/>
      <c r="L68" s="449"/>
      <c r="M68" s="406"/>
      <c r="N68" s="405"/>
      <c r="O68" s="405"/>
      <c r="P68" s="449"/>
      <c r="Q68" s="406"/>
      <c r="R68" s="405"/>
      <c r="S68" s="424"/>
    </row>
    <row r="69" spans="1:19" ht="12.75">
      <c r="A69" s="390">
        <f t="shared" si="8"/>
        <v>15</v>
      </c>
      <c r="B69" s="400">
        <f t="shared" si="10"/>
        <v>2013</v>
      </c>
      <c r="G69" s="414">
        <f t="shared" si="9"/>
        <v>2013</v>
      </c>
      <c r="H69" s="449"/>
      <c r="I69" s="406"/>
      <c r="J69" s="405"/>
      <c r="K69" s="405"/>
      <c r="L69" s="449"/>
      <c r="M69" s="406"/>
      <c r="N69" s="405"/>
      <c r="O69" s="405"/>
      <c r="P69" s="449"/>
      <c r="Q69" s="406"/>
      <c r="R69" s="405"/>
      <c r="S69" s="424"/>
    </row>
    <row r="70" spans="1:19" ht="12.75">
      <c r="A70" s="390">
        <f t="shared" si="8"/>
        <v>16</v>
      </c>
      <c r="B70" s="400">
        <f t="shared" si="10"/>
        <v>2014</v>
      </c>
      <c r="G70" s="414">
        <f t="shared" si="9"/>
        <v>2014</v>
      </c>
      <c r="H70" s="449"/>
      <c r="I70" s="406"/>
      <c r="J70" s="405"/>
      <c r="K70" s="405"/>
      <c r="L70" s="449"/>
      <c r="M70" s="406"/>
      <c r="N70" s="405"/>
      <c r="O70" s="405"/>
      <c r="P70" s="449"/>
      <c r="Q70" s="406"/>
      <c r="R70" s="405"/>
      <c r="S70" s="424"/>
    </row>
    <row r="71" spans="1:19" ht="12.75">
      <c r="A71" s="390">
        <f t="shared" si="8"/>
        <v>17</v>
      </c>
      <c r="B71" s="400">
        <f t="shared" si="10"/>
        <v>2015</v>
      </c>
      <c r="G71" s="414">
        <f t="shared" si="9"/>
        <v>2015</v>
      </c>
      <c r="H71" s="449"/>
      <c r="I71" s="406"/>
      <c r="J71" s="405"/>
      <c r="K71" s="405"/>
      <c r="L71" s="449"/>
      <c r="M71" s="406"/>
      <c r="N71" s="405"/>
      <c r="O71" s="405"/>
      <c r="P71" s="449"/>
      <c r="Q71" s="406"/>
      <c r="R71" s="405"/>
      <c r="S71" s="424"/>
    </row>
    <row r="72" spans="1:19" ht="12.75">
      <c r="A72" s="390">
        <f t="shared" si="8"/>
        <v>18</v>
      </c>
      <c r="B72" s="400">
        <f t="shared" si="10"/>
        <v>2016</v>
      </c>
      <c r="G72" s="414">
        <f t="shared" si="9"/>
        <v>2016</v>
      </c>
      <c r="H72" s="449"/>
      <c r="I72" s="406"/>
      <c r="J72" s="405"/>
      <c r="K72" s="405"/>
      <c r="L72" s="449"/>
      <c r="M72" s="406"/>
      <c r="N72" s="405"/>
      <c r="O72" s="405"/>
      <c r="P72" s="449"/>
      <c r="Q72" s="406"/>
      <c r="R72" s="405"/>
      <c r="S72" s="424"/>
    </row>
    <row r="73" spans="1:19" ht="12.75">
      <c r="A73" s="390">
        <f t="shared" si="8"/>
        <v>19</v>
      </c>
      <c r="B73" s="400">
        <f t="shared" si="10"/>
        <v>2017</v>
      </c>
      <c r="G73" s="414">
        <f t="shared" si="9"/>
        <v>2017</v>
      </c>
      <c r="H73" s="449"/>
      <c r="I73" s="406"/>
      <c r="J73" s="405"/>
      <c r="K73" s="405"/>
      <c r="L73" s="449"/>
      <c r="M73" s="406"/>
      <c r="N73" s="405"/>
      <c r="O73" s="405"/>
      <c r="P73" s="449"/>
      <c r="Q73" s="406"/>
      <c r="R73" s="405"/>
      <c r="S73" s="424"/>
    </row>
    <row r="74" spans="1:19" ht="12.75">
      <c r="A74" s="390">
        <f t="shared" si="8"/>
        <v>20</v>
      </c>
      <c r="B74" s="400">
        <f t="shared" si="10"/>
        <v>2018</v>
      </c>
      <c r="G74" s="414">
        <f t="shared" si="9"/>
        <v>2018</v>
      </c>
      <c r="H74" s="449"/>
      <c r="I74" s="406"/>
      <c r="J74" s="405"/>
      <c r="K74" s="405"/>
      <c r="L74" s="449"/>
      <c r="M74" s="406"/>
      <c r="N74" s="405"/>
      <c r="O74" s="405"/>
      <c r="P74" s="449"/>
      <c r="Q74" s="406"/>
      <c r="R74" s="405"/>
      <c r="S74" s="424"/>
    </row>
    <row r="75" spans="1:19" ht="12.75">
      <c r="A75" s="390">
        <f t="shared" si="8"/>
        <v>21</v>
      </c>
      <c r="B75" s="400">
        <f t="shared" si="10"/>
        <v>2019</v>
      </c>
      <c r="G75" s="414">
        <f t="shared" si="9"/>
        <v>2019</v>
      </c>
      <c r="H75" s="449"/>
      <c r="I75" s="406"/>
      <c r="J75" s="405"/>
      <c r="K75" s="405"/>
      <c r="L75" s="449"/>
      <c r="M75" s="406"/>
      <c r="N75" s="405"/>
      <c r="O75" s="405"/>
      <c r="P75" s="449"/>
      <c r="Q75" s="406"/>
      <c r="R75" s="405"/>
      <c r="S75" s="424"/>
    </row>
    <row r="76" spans="1:19" ht="12.75">
      <c r="A76" s="390">
        <f t="shared" si="8"/>
        <v>22</v>
      </c>
      <c r="B76" s="400">
        <f t="shared" si="10"/>
        <v>2020</v>
      </c>
      <c r="G76" s="414">
        <f t="shared" si="9"/>
        <v>2020</v>
      </c>
      <c r="H76" s="449"/>
      <c r="I76" s="406"/>
      <c r="J76" s="405"/>
      <c r="K76" s="405"/>
      <c r="L76" s="449"/>
      <c r="M76" s="406"/>
      <c r="N76" s="405"/>
      <c r="O76" s="405"/>
      <c r="P76" s="449"/>
      <c r="Q76" s="406"/>
      <c r="R76" s="405"/>
      <c r="S76" s="424"/>
    </row>
    <row r="77" spans="1:19" ht="12.75">
      <c r="A77" s="390">
        <f t="shared" si="8"/>
        <v>23</v>
      </c>
      <c r="B77" s="400">
        <f t="shared" si="10"/>
        <v>2021</v>
      </c>
      <c r="G77" s="414">
        <f t="shared" si="9"/>
        <v>2021</v>
      </c>
      <c r="H77" s="449"/>
      <c r="I77" s="406"/>
      <c r="J77" s="405"/>
      <c r="K77" s="405"/>
      <c r="L77" s="449"/>
      <c r="M77" s="406"/>
      <c r="N77" s="405"/>
      <c r="O77" s="405"/>
      <c r="P77" s="449"/>
      <c r="Q77" s="406"/>
      <c r="R77" s="405"/>
      <c r="S77" s="424"/>
    </row>
    <row r="78" spans="1:19" ht="12.75">
      <c r="A78" s="390">
        <f t="shared" si="8"/>
        <v>24</v>
      </c>
      <c r="B78" s="400">
        <f t="shared" si="10"/>
        <v>2022</v>
      </c>
      <c r="G78" s="414">
        <f t="shared" si="9"/>
        <v>2022</v>
      </c>
      <c r="H78" s="449"/>
      <c r="I78" s="406"/>
      <c r="J78" s="405"/>
      <c r="K78" s="405"/>
      <c r="L78" s="449"/>
      <c r="M78" s="406"/>
      <c r="N78" s="405"/>
      <c r="O78" s="405"/>
      <c r="P78" s="449"/>
      <c r="Q78" s="406"/>
      <c r="R78" s="405"/>
      <c r="S78" s="424"/>
    </row>
    <row r="79" spans="1:19" ht="12.75">
      <c r="A79" s="390">
        <f t="shared" si="8"/>
        <v>25</v>
      </c>
      <c r="B79" s="400">
        <f t="shared" si="10"/>
        <v>2023</v>
      </c>
      <c r="G79" s="414">
        <f t="shared" si="9"/>
        <v>2023</v>
      </c>
      <c r="H79" s="449"/>
      <c r="I79" s="406"/>
      <c r="J79" s="405"/>
      <c r="K79" s="405"/>
      <c r="L79" s="449"/>
      <c r="M79" s="406"/>
      <c r="N79" s="405"/>
      <c r="O79" s="405"/>
      <c r="P79" s="449"/>
      <c r="Q79" s="406"/>
      <c r="R79" s="405"/>
      <c r="S79" s="424"/>
    </row>
    <row r="80" spans="1:19" ht="12.75">
      <c r="A80" s="390">
        <f t="shared" si="8"/>
        <v>26</v>
      </c>
      <c r="B80" s="400">
        <f t="shared" si="10"/>
        <v>2024</v>
      </c>
      <c r="G80" s="414">
        <f t="shared" si="9"/>
        <v>2024</v>
      </c>
      <c r="H80" s="449"/>
      <c r="I80" s="406"/>
      <c r="J80" s="405"/>
      <c r="K80" s="405"/>
      <c r="L80" s="449"/>
      <c r="M80" s="406"/>
      <c r="N80" s="405"/>
      <c r="O80" s="405"/>
      <c r="P80" s="449"/>
      <c r="Q80" s="406"/>
      <c r="R80" s="405"/>
      <c r="S80" s="424"/>
    </row>
    <row r="81" spans="1:19" ht="12.75">
      <c r="A81" s="390">
        <f t="shared" si="8"/>
        <v>27</v>
      </c>
      <c r="B81" s="400">
        <f t="shared" si="10"/>
        <v>2025</v>
      </c>
      <c r="G81" s="414">
        <f t="shared" si="9"/>
        <v>2025</v>
      </c>
      <c r="H81" s="449"/>
      <c r="I81" s="406"/>
      <c r="J81" s="405"/>
      <c r="K81" s="405"/>
      <c r="L81" s="449"/>
      <c r="M81" s="406"/>
      <c r="N81" s="405"/>
      <c r="O81" s="405"/>
      <c r="P81" s="449"/>
      <c r="Q81" s="406"/>
      <c r="R81" s="405"/>
      <c r="S81" s="424"/>
    </row>
    <row r="82" spans="1:19" ht="12.75">
      <c r="A82" s="390">
        <f t="shared" si="8"/>
        <v>28</v>
      </c>
      <c r="B82" s="400">
        <f t="shared" si="10"/>
        <v>2026</v>
      </c>
      <c r="G82" s="414">
        <f t="shared" si="9"/>
        <v>2026</v>
      </c>
      <c r="H82" s="449"/>
      <c r="I82" s="406"/>
      <c r="J82" s="405"/>
      <c r="K82" s="405"/>
      <c r="L82" s="449"/>
      <c r="M82" s="406"/>
      <c r="N82" s="405"/>
      <c r="O82" s="405"/>
      <c r="P82" s="449"/>
      <c r="Q82" s="406"/>
      <c r="R82" s="405"/>
      <c r="S82" s="424"/>
    </row>
    <row r="83" spans="1:19" ht="12.75">
      <c r="A83" s="390">
        <f t="shared" si="8"/>
        <v>29</v>
      </c>
      <c r="B83" s="400">
        <f t="shared" si="10"/>
        <v>2027</v>
      </c>
      <c r="G83" s="414">
        <f t="shared" si="9"/>
        <v>2027</v>
      </c>
      <c r="H83" s="449"/>
      <c r="I83" s="406"/>
      <c r="J83" s="405"/>
      <c r="K83" s="405"/>
      <c r="L83" s="449"/>
      <c r="M83" s="406"/>
      <c r="N83" s="405"/>
      <c r="O83" s="405"/>
      <c r="P83" s="449"/>
      <c r="Q83" s="406"/>
      <c r="R83" s="405"/>
      <c r="S83" s="424"/>
    </row>
    <row r="84" spans="1:19" ht="12.75">
      <c r="A84" s="390">
        <f t="shared" si="8"/>
        <v>30</v>
      </c>
      <c r="B84" s="400">
        <f t="shared" si="10"/>
        <v>2028</v>
      </c>
      <c r="G84" s="414">
        <f t="shared" si="9"/>
        <v>2028</v>
      </c>
      <c r="H84" s="449"/>
      <c r="I84" s="406"/>
      <c r="J84" s="405"/>
      <c r="K84" s="405"/>
      <c r="L84" s="449"/>
      <c r="M84" s="406"/>
      <c r="N84" s="405"/>
      <c r="O84" s="405"/>
      <c r="P84" s="449"/>
      <c r="Q84" s="406"/>
      <c r="R84" s="405"/>
      <c r="S84" s="424"/>
    </row>
    <row r="85" spans="1:19" ht="12.75">
      <c r="A85" s="390">
        <f t="shared" si="8"/>
        <v>31</v>
      </c>
      <c r="B85" s="400">
        <f t="shared" si="10"/>
        <v>2029</v>
      </c>
      <c r="G85" s="414">
        <f t="shared" si="9"/>
        <v>2029</v>
      </c>
      <c r="H85" s="449"/>
      <c r="I85" s="406"/>
      <c r="J85" s="405"/>
      <c r="K85" s="405"/>
      <c r="L85" s="449"/>
      <c r="M85" s="406"/>
      <c r="N85" s="405"/>
      <c r="O85" s="405"/>
      <c r="P85" s="449"/>
      <c r="Q85" s="406"/>
      <c r="R85" s="405"/>
      <c r="S85" s="424"/>
    </row>
    <row r="86" spans="1:19" ht="12.75">
      <c r="A86" s="390">
        <f t="shared" si="8"/>
        <v>32</v>
      </c>
      <c r="B86" s="400">
        <f t="shared" si="10"/>
        <v>2030</v>
      </c>
      <c r="G86" s="414">
        <f t="shared" si="9"/>
        <v>2030</v>
      </c>
      <c r="H86" s="449"/>
      <c r="I86" s="406"/>
      <c r="J86" s="405"/>
      <c r="K86" s="405"/>
      <c r="L86" s="449"/>
      <c r="M86" s="406"/>
      <c r="N86" s="405"/>
      <c r="O86" s="405"/>
      <c r="P86" s="449"/>
      <c r="Q86" s="406"/>
      <c r="R86" s="405"/>
      <c r="S86" s="424"/>
    </row>
    <row r="87" spans="2:19" ht="12.75">
      <c r="B87" s="400"/>
      <c r="G87" s="414"/>
      <c r="H87" s="396"/>
      <c r="I87" s="397"/>
      <c r="J87" s="397"/>
      <c r="K87" s="397"/>
      <c r="L87" s="411"/>
      <c r="M87" s="397"/>
      <c r="N87" s="413"/>
      <c r="O87" s="413"/>
      <c r="P87" s="411"/>
      <c r="Q87" s="397"/>
      <c r="R87" s="413"/>
      <c r="S87" s="425"/>
    </row>
    <row r="88" ht="15">
      <c r="B88" s="29"/>
    </row>
    <row r="89" ht="12.75">
      <c r="B89" s="389" t="s">
        <v>244</v>
      </c>
    </row>
    <row r="91" spans="1:19" ht="20.25">
      <c r="A91" s="380" t="str">
        <f>+A$1</f>
        <v>Worksheet A-11 - Actual Incentive Plant</v>
      </c>
      <c r="G91" s="390"/>
      <c r="H91" s="391"/>
      <c r="I91" s="391"/>
      <c r="J91" s="391"/>
      <c r="K91" s="391"/>
      <c r="S91" s="389" t="s">
        <v>235</v>
      </c>
    </row>
    <row r="92" spans="1:11" ht="20.25">
      <c r="A92" s="380" t="str">
        <f>+A$2</f>
        <v>Westar Energy, Inc.</v>
      </c>
      <c r="G92" s="390"/>
      <c r="H92" s="391"/>
      <c r="I92" s="391"/>
      <c r="J92" s="391"/>
      <c r="K92" s="391"/>
    </row>
    <row r="93" spans="1:11" ht="15">
      <c r="A93" s="382" t="str">
        <f>+A$3</f>
        <v>For the 12 months ended - December 31, 2008</v>
      </c>
      <c r="G93" s="390"/>
      <c r="H93" s="391"/>
      <c r="I93" s="391"/>
      <c r="J93" s="391"/>
      <c r="K93" s="391"/>
    </row>
    <row r="94" spans="7:11" ht="12.75">
      <c r="G94" s="390"/>
      <c r="H94" s="391"/>
      <c r="I94" s="391"/>
      <c r="J94" s="391"/>
      <c r="K94" s="391"/>
    </row>
    <row r="95" ht="12.75">
      <c r="B95" s="436" t="s">
        <v>242</v>
      </c>
    </row>
    <row r="96" spans="1:19" ht="12.75">
      <c r="A96" s="390">
        <v>1</v>
      </c>
      <c r="H96" s="392" t="s">
        <v>625</v>
      </c>
      <c r="I96" s="410" t="s">
        <v>293</v>
      </c>
      <c r="J96" s="410"/>
      <c r="K96" s="410"/>
      <c r="L96" s="392" t="s">
        <v>625</v>
      </c>
      <c r="M96" s="410" t="s">
        <v>292</v>
      </c>
      <c r="N96" s="410"/>
      <c r="O96" s="410"/>
      <c r="P96" s="392" t="s">
        <v>625</v>
      </c>
      <c r="Q96" s="410" t="s">
        <v>291</v>
      </c>
      <c r="R96" s="410"/>
      <c r="S96" s="419"/>
    </row>
    <row r="97" spans="1:19" ht="12.75">
      <c r="A97" s="390">
        <f>A96+1</f>
        <v>2</v>
      </c>
      <c r="H97" s="408" t="s">
        <v>645</v>
      </c>
      <c r="I97" s="514" t="s">
        <v>881</v>
      </c>
      <c r="J97" s="409"/>
      <c r="K97" s="409"/>
      <c r="L97" s="408"/>
      <c r="M97" s="409"/>
      <c r="N97" s="409"/>
      <c r="O97" s="409"/>
      <c r="P97" s="408"/>
      <c r="Q97" s="409"/>
      <c r="R97" s="409"/>
      <c r="S97" s="420"/>
    </row>
    <row r="98" spans="1:19" ht="12.75">
      <c r="A98" s="390">
        <f aca="true" t="shared" si="11" ref="A98:A103">A97+1</f>
        <v>3</v>
      </c>
      <c r="H98" s="393" t="s">
        <v>626</v>
      </c>
      <c r="I98" s="399">
        <f>1/15</f>
        <v>0.06666666666666667</v>
      </c>
      <c r="J98" s="394" t="s">
        <v>245</v>
      </c>
      <c r="K98" s="394"/>
      <c r="L98" s="393" t="s">
        <v>626</v>
      </c>
      <c r="M98" s="399"/>
      <c r="N98" s="394" t="s">
        <v>245</v>
      </c>
      <c r="O98" s="394"/>
      <c r="P98" s="393" t="s">
        <v>626</v>
      </c>
      <c r="Q98" s="399"/>
      <c r="R98" s="394" t="s">
        <v>245</v>
      </c>
      <c r="S98" s="421"/>
    </row>
    <row r="99" spans="1:19" ht="12.75">
      <c r="A99" s="390">
        <f t="shared" si="11"/>
        <v>4</v>
      </c>
      <c r="H99" s="393" t="s">
        <v>627</v>
      </c>
      <c r="I99" s="399">
        <v>0.01</v>
      </c>
      <c r="J99" s="394"/>
      <c r="K99" s="394"/>
      <c r="L99" s="393" t="s">
        <v>627</v>
      </c>
      <c r="M99" s="399"/>
      <c r="N99" s="394"/>
      <c r="O99" s="394"/>
      <c r="P99" s="393" t="s">
        <v>627</v>
      </c>
      <c r="Q99" s="399"/>
      <c r="R99" s="394"/>
      <c r="S99" s="421"/>
    </row>
    <row r="100" spans="1:19" ht="12.75">
      <c r="A100" s="390">
        <f t="shared" si="11"/>
        <v>5</v>
      </c>
      <c r="H100" s="393" t="s">
        <v>629</v>
      </c>
      <c r="I100" s="395">
        <f>+I99*'Actual Gross Rev'!H313</f>
        <v>0</v>
      </c>
      <c r="J100" s="394"/>
      <c r="K100" s="394"/>
      <c r="L100" s="393" t="s">
        <v>629</v>
      </c>
      <c r="M100" s="395">
        <f>+M99*'Actual Gross Rev'!$L$236</f>
        <v>0</v>
      </c>
      <c r="N100" s="394"/>
      <c r="O100" s="394"/>
      <c r="P100" s="393" t="s">
        <v>629</v>
      </c>
      <c r="Q100" s="395">
        <f>+Q99*'Actual Gross Rev'!$L$236</f>
        <v>0</v>
      </c>
      <c r="R100" s="394"/>
      <c r="S100" s="421"/>
    </row>
    <row r="101" spans="1:19" ht="12.75">
      <c r="A101" s="390">
        <f t="shared" si="11"/>
        <v>6</v>
      </c>
      <c r="H101" s="393" t="s">
        <v>630</v>
      </c>
      <c r="I101" s="406"/>
      <c r="J101" s="394"/>
      <c r="K101" s="394"/>
      <c r="L101" s="393" t="s">
        <v>630</v>
      </c>
      <c r="M101" s="406"/>
      <c r="N101" s="394"/>
      <c r="O101" s="394"/>
      <c r="P101" s="393" t="s">
        <v>630</v>
      </c>
      <c r="Q101" s="406"/>
      <c r="R101" s="394"/>
      <c r="S101" s="421"/>
    </row>
    <row r="102" spans="1:19" ht="12.75">
      <c r="A102" s="390">
        <f t="shared" si="11"/>
        <v>7</v>
      </c>
      <c r="C102" s="1450" t="s">
        <v>1106</v>
      </c>
      <c r="D102" s="1450"/>
      <c r="E102" s="1450"/>
      <c r="F102" s="1450"/>
      <c r="H102" s="393" t="s">
        <v>631</v>
      </c>
      <c r="I102" s="398">
        <f>ROUND(H108*I98/12,0)</f>
        <v>0</v>
      </c>
      <c r="J102" s="394"/>
      <c r="K102" s="394"/>
      <c r="L102" s="393" t="s">
        <v>631</v>
      </c>
      <c r="M102" s="398"/>
      <c r="N102" s="394"/>
      <c r="O102" s="394"/>
      <c r="P102" s="393" t="s">
        <v>631</v>
      </c>
      <c r="Q102" s="398"/>
      <c r="R102" s="394"/>
      <c r="S102" s="421"/>
    </row>
    <row r="103" spans="1:19" ht="12.75">
      <c r="A103" s="390">
        <f t="shared" si="11"/>
        <v>8</v>
      </c>
      <c r="H103" s="393" t="s">
        <v>632</v>
      </c>
      <c r="I103" s="407">
        <v>2008</v>
      </c>
      <c r="J103" s="394"/>
      <c r="K103" s="394"/>
      <c r="L103" s="393" t="s">
        <v>632</v>
      </c>
      <c r="M103" s="407"/>
      <c r="N103" s="394"/>
      <c r="O103" s="394"/>
      <c r="P103" s="393" t="s">
        <v>632</v>
      </c>
      <c r="Q103" s="407"/>
      <c r="R103" s="394"/>
      <c r="S103" s="421"/>
    </row>
    <row r="104" spans="8:19" ht="12.75">
      <c r="H104" s="393"/>
      <c r="I104" s="394"/>
      <c r="J104" s="394"/>
      <c r="K104" s="394"/>
      <c r="L104" s="393"/>
      <c r="M104" s="394"/>
      <c r="N104" s="394"/>
      <c r="O104" s="394"/>
      <c r="P104" s="393"/>
      <c r="Q104" s="394"/>
      <c r="R104" s="394"/>
      <c r="S104" s="421"/>
    </row>
    <row r="105" spans="2:19" ht="12.75">
      <c r="B105" s="416" t="s">
        <v>845</v>
      </c>
      <c r="C105" s="385" t="s">
        <v>624</v>
      </c>
      <c r="D105" s="385" t="s">
        <v>1490</v>
      </c>
      <c r="E105" s="385" t="s">
        <v>1491</v>
      </c>
      <c r="F105" s="385" t="s">
        <v>634</v>
      </c>
      <c r="G105" s="416" t="s">
        <v>845</v>
      </c>
      <c r="H105" s="401" t="s">
        <v>624</v>
      </c>
      <c r="I105" s="402" t="s">
        <v>1490</v>
      </c>
      <c r="J105" s="402" t="s">
        <v>1491</v>
      </c>
      <c r="K105" s="402" t="s">
        <v>634</v>
      </c>
      <c r="L105" s="401" t="s">
        <v>624</v>
      </c>
      <c r="M105" s="402" t="s">
        <v>1490</v>
      </c>
      <c r="N105" s="402" t="s">
        <v>1491</v>
      </c>
      <c r="O105" s="402" t="s">
        <v>628</v>
      </c>
      <c r="P105" s="401" t="s">
        <v>624</v>
      </c>
      <c r="Q105" s="402" t="s">
        <v>1490</v>
      </c>
      <c r="R105" s="402" t="s">
        <v>1491</v>
      </c>
      <c r="S105" s="422" t="s">
        <v>628</v>
      </c>
    </row>
    <row r="106" spans="8:19" ht="12.75">
      <c r="H106" s="403"/>
      <c r="I106" s="404"/>
      <c r="J106" s="404"/>
      <c r="K106" s="404"/>
      <c r="L106" s="403"/>
      <c r="M106" s="404"/>
      <c r="N106" s="404"/>
      <c r="O106" s="404"/>
      <c r="P106" s="403"/>
      <c r="Q106" s="404"/>
      <c r="R106" s="404"/>
      <c r="S106" s="423"/>
    </row>
    <row r="107" spans="1:19" ht="12.75">
      <c r="A107" s="390">
        <f>A103+1</f>
        <v>9</v>
      </c>
      <c r="B107" s="400">
        <v>2007</v>
      </c>
      <c r="C107" s="415">
        <f aca="true" t="shared" si="12" ref="C107:E110">+H107+L107+P107</f>
        <v>0</v>
      </c>
      <c r="D107" s="415">
        <f t="shared" si="12"/>
        <v>0</v>
      </c>
      <c r="E107" s="415">
        <f>+J107+N107+R107</f>
        <v>0</v>
      </c>
      <c r="F107" s="415">
        <f>+K107+O107+S107</f>
        <v>0</v>
      </c>
      <c r="G107" s="414">
        <f>+B107</f>
        <v>2007</v>
      </c>
      <c r="H107" s="449">
        <v>0</v>
      </c>
      <c r="I107" s="406">
        <f>MIN(I102+ROUND(H107*I$9,0),H107)</f>
        <v>0</v>
      </c>
      <c r="J107" s="404"/>
      <c r="K107" s="404"/>
      <c r="L107" s="449">
        <v>0</v>
      </c>
      <c r="M107" s="406">
        <f>MIN(M102+ROUND(L107*M$9,0),L107)</f>
        <v>0</v>
      </c>
      <c r="N107" s="404"/>
      <c r="O107" s="404"/>
      <c r="P107" s="449">
        <v>0</v>
      </c>
      <c r="Q107" s="406">
        <f>MIN(Q102+ROUND(P107*Q$9,0),P107)</f>
        <v>0</v>
      </c>
      <c r="R107" s="404"/>
      <c r="S107" s="423"/>
    </row>
    <row r="108" spans="1:19" ht="12.75">
      <c r="A108" s="390">
        <f aca="true" t="shared" si="13" ref="A108:A130">A107+1</f>
        <v>10</v>
      </c>
      <c r="B108" s="400">
        <v>2008</v>
      </c>
      <c r="C108" s="415">
        <f t="shared" si="12"/>
        <v>0</v>
      </c>
      <c r="D108" s="415">
        <f t="shared" si="12"/>
        <v>0</v>
      </c>
      <c r="E108" s="415">
        <f t="shared" si="12"/>
        <v>0</v>
      </c>
      <c r="F108" s="415">
        <f>+K108+O108+S108</f>
        <v>0</v>
      </c>
      <c r="G108" s="414">
        <f aca="true" t="shared" si="14" ref="G108:G130">+B108</f>
        <v>2008</v>
      </c>
      <c r="H108" s="449">
        <v>0</v>
      </c>
      <c r="I108" s="406">
        <f>MIN(I107+ROUND(H108*I$9,0),H108)</f>
        <v>0</v>
      </c>
      <c r="J108" s="405">
        <f>+H108-I102</f>
        <v>0</v>
      </c>
      <c r="K108" s="405">
        <f>ROUND(J108*I$11,2)</f>
        <v>0</v>
      </c>
      <c r="L108" s="449">
        <v>0</v>
      </c>
      <c r="M108" s="406">
        <f>MIN(M107+ROUND(L108*M$9,0),L108)</f>
        <v>0</v>
      </c>
      <c r="N108" s="405">
        <f>+L108-M102</f>
        <v>0</v>
      </c>
      <c r="O108" s="405">
        <f>ROUND(N108*M$11,2)</f>
        <v>0</v>
      </c>
      <c r="P108" s="449">
        <v>0</v>
      </c>
      <c r="Q108" s="406">
        <f>MIN(Q107+ROUND(P108*Q$9,0),P108)</f>
        <v>0</v>
      </c>
      <c r="R108" s="405">
        <f>+P108-Q102</f>
        <v>0</v>
      </c>
      <c r="S108" s="424">
        <f>ROUND(R108*Q$11,2)</f>
        <v>0</v>
      </c>
    </row>
    <row r="109" spans="1:19" ht="12.75">
      <c r="A109" s="390">
        <f t="shared" si="13"/>
        <v>11</v>
      </c>
      <c r="B109" s="400">
        <f>+B108+1</f>
        <v>2009</v>
      </c>
      <c r="C109" s="415">
        <f t="shared" si="12"/>
        <v>0</v>
      </c>
      <c r="D109" s="415">
        <f t="shared" si="12"/>
        <v>0</v>
      </c>
      <c r="E109" s="415">
        <f t="shared" si="12"/>
        <v>0</v>
      </c>
      <c r="F109" s="415">
        <f>+K109+O109+S109</f>
        <v>0</v>
      </c>
      <c r="G109" s="414">
        <f t="shared" si="14"/>
        <v>2009</v>
      </c>
      <c r="H109" s="449">
        <f>+H108</f>
        <v>0</v>
      </c>
      <c r="I109" s="406">
        <f>MIN(I102+ROUND(H109*I$9,0),H109)</f>
        <v>0</v>
      </c>
      <c r="J109" s="405">
        <f>+H109-I109</f>
        <v>0</v>
      </c>
      <c r="K109" s="405">
        <f>ROUND(J109*I$11,2)</f>
        <v>0</v>
      </c>
      <c r="L109" s="449">
        <f>+L108</f>
        <v>0</v>
      </c>
      <c r="M109" s="406">
        <f>MIN(M102+ROUND(L109*M$9,0),L109)</f>
        <v>0</v>
      </c>
      <c r="N109" s="405">
        <f>+L109-M109</f>
        <v>0</v>
      </c>
      <c r="O109" s="405">
        <f>ROUND(N109*M$11,2)</f>
        <v>0</v>
      </c>
      <c r="P109" s="449">
        <f>+P108</f>
        <v>0</v>
      </c>
      <c r="Q109" s="406">
        <f>MIN(Q102+ROUND(P109*Q$9,0),P109)</f>
        <v>0</v>
      </c>
      <c r="R109" s="405">
        <f>+P109-Q109</f>
        <v>0</v>
      </c>
      <c r="S109" s="424">
        <f>ROUND(R109*Q$11,2)</f>
        <v>0</v>
      </c>
    </row>
    <row r="110" spans="1:19" ht="12.75">
      <c r="A110" s="390">
        <f t="shared" si="13"/>
        <v>12</v>
      </c>
      <c r="B110" s="400">
        <f aca="true" t="shared" si="15" ref="B110:B130">+B109+1</f>
        <v>2010</v>
      </c>
      <c r="C110" s="415">
        <f t="shared" si="12"/>
        <v>0</v>
      </c>
      <c r="D110" s="415">
        <f t="shared" si="12"/>
        <v>0</v>
      </c>
      <c r="E110" s="415">
        <f t="shared" si="12"/>
        <v>0</v>
      </c>
      <c r="F110" s="415">
        <f>+K110+O110+S110</f>
        <v>0</v>
      </c>
      <c r="G110" s="414">
        <f t="shared" si="14"/>
        <v>2010</v>
      </c>
      <c r="H110" s="449">
        <f>+H109</f>
        <v>0</v>
      </c>
      <c r="I110" s="406">
        <f>MIN(I109+ROUND(H110*I$9,0),H110)</f>
        <v>0</v>
      </c>
      <c r="J110" s="405">
        <f>+H110-I110</f>
        <v>0</v>
      </c>
      <c r="K110" s="405">
        <f>ROUND(J110*I$11,2)</f>
        <v>0</v>
      </c>
      <c r="L110" s="449">
        <f>+L109</f>
        <v>0</v>
      </c>
      <c r="M110" s="406">
        <f>MIN(M109+ROUND(L110*M$9,0),L110)</f>
        <v>0</v>
      </c>
      <c r="N110" s="405">
        <f>+L110-M110</f>
        <v>0</v>
      </c>
      <c r="O110" s="405"/>
      <c r="P110" s="449">
        <f>+P109</f>
        <v>0</v>
      </c>
      <c r="Q110" s="406">
        <f>MIN(Q109+ROUND(P110*Q$9,0),P110)</f>
        <v>0</v>
      </c>
      <c r="R110" s="405">
        <f>+P110-Q110</f>
        <v>0</v>
      </c>
      <c r="S110" s="424"/>
    </row>
    <row r="111" spans="1:19" ht="12.75">
      <c r="A111" s="390">
        <f t="shared" si="13"/>
        <v>13</v>
      </c>
      <c r="B111" s="400">
        <f t="shared" si="15"/>
        <v>2011</v>
      </c>
      <c r="G111" s="414">
        <f t="shared" si="14"/>
        <v>2011</v>
      </c>
      <c r="H111" s="449"/>
      <c r="I111" s="406"/>
      <c r="J111" s="405"/>
      <c r="K111" s="405"/>
      <c r="L111" s="449"/>
      <c r="M111" s="406"/>
      <c r="N111" s="405"/>
      <c r="O111" s="405"/>
      <c r="P111" s="449"/>
      <c r="Q111" s="406"/>
      <c r="R111" s="405"/>
      <c r="S111" s="424"/>
    </row>
    <row r="112" spans="1:19" ht="12.75">
      <c r="A112" s="390">
        <f t="shared" si="13"/>
        <v>14</v>
      </c>
      <c r="B112" s="400">
        <f t="shared" si="15"/>
        <v>2012</v>
      </c>
      <c r="G112" s="414">
        <f t="shared" si="14"/>
        <v>2012</v>
      </c>
      <c r="H112" s="449"/>
      <c r="I112" s="406"/>
      <c r="J112" s="405"/>
      <c r="K112" s="405"/>
      <c r="L112" s="449"/>
      <c r="M112" s="406"/>
      <c r="N112" s="405"/>
      <c r="O112" s="405"/>
      <c r="P112" s="449"/>
      <c r="Q112" s="406"/>
      <c r="R112" s="405"/>
      <c r="S112" s="424"/>
    </row>
    <row r="113" spans="1:19" ht="12.75">
      <c r="A113" s="390">
        <f t="shared" si="13"/>
        <v>15</v>
      </c>
      <c r="B113" s="400">
        <f t="shared" si="15"/>
        <v>2013</v>
      </c>
      <c r="G113" s="414">
        <f t="shared" si="14"/>
        <v>2013</v>
      </c>
      <c r="H113" s="449"/>
      <c r="I113" s="406"/>
      <c r="J113" s="405"/>
      <c r="K113" s="405"/>
      <c r="L113" s="449"/>
      <c r="M113" s="406"/>
      <c r="N113" s="405"/>
      <c r="O113" s="405"/>
      <c r="P113" s="449"/>
      <c r="Q113" s="406"/>
      <c r="R113" s="405"/>
      <c r="S113" s="424"/>
    </row>
    <row r="114" spans="1:19" ht="12.75">
      <c r="A114" s="390">
        <f t="shared" si="13"/>
        <v>16</v>
      </c>
      <c r="B114" s="400">
        <f t="shared" si="15"/>
        <v>2014</v>
      </c>
      <c r="G114" s="414">
        <f t="shared" si="14"/>
        <v>2014</v>
      </c>
      <c r="H114" s="449"/>
      <c r="I114" s="406"/>
      <c r="J114" s="405"/>
      <c r="K114" s="405"/>
      <c r="L114" s="449"/>
      <c r="M114" s="406"/>
      <c r="N114" s="405"/>
      <c r="O114" s="405"/>
      <c r="P114" s="449"/>
      <c r="Q114" s="406"/>
      <c r="R114" s="405"/>
      <c r="S114" s="424"/>
    </row>
    <row r="115" spans="1:19" ht="12.75">
      <c r="A115" s="390">
        <f t="shared" si="13"/>
        <v>17</v>
      </c>
      <c r="B115" s="400">
        <f t="shared" si="15"/>
        <v>2015</v>
      </c>
      <c r="G115" s="414">
        <f t="shared" si="14"/>
        <v>2015</v>
      </c>
      <c r="H115" s="449"/>
      <c r="I115" s="406"/>
      <c r="J115" s="405"/>
      <c r="K115" s="405"/>
      <c r="L115" s="449"/>
      <c r="M115" s="406"/>
      <c r="N115" s="405"/>
      <c r="O115" s="405"/>
      <c r="P115" s="449"/>
      <c r="Q115" s="406"/>
      <c r="R115" s="405"/>
      <c r="S115" s="424"/>
    </row>
    <row r="116" spans="1:19" ht="12.75">
      <c r="A116" s="390">
        <f t="shared" si="13"/>
        <v>18</v>
      </c>
      <c r="B116" s="400">
        <f t="shared" si="15"/>
        <v>2016</v>
      </c>
      <c r="G116" s="414">
        <f t="shared" si="14"/>
        <v>2016</v>
      </c>
      <c r="H116" s="449"/>
      <c r="I116" s="406"/>
      <c r="J116" s="405"/>
      <c r="K116" s="405"/>
      <c r="L116" s="449"/>
      <c r="M116" s="406"/>
      <c r="N116" s="405"/>
      <c r="O116" s="405"/>
      <c r="P116" s="449"/>
      <c r="Q116" s="406"/>
      <c r="R116" s="405"/>
      <c r="S116" s="424"/>
    </row>
    <row r="117" spans="1:19" ht="12.75">
      <c r="A117" s="390">
        <f t="shared" si="13"/>
        <v>19</v>
      </c>
      <c r="B117" s="400">
        <f t="shared" si="15"/>
        <v>2017</v>
      </c>
      <c r="G117" s="414">
        <f t="shared" si="14"/>
        <v>2017</v>
      </c>
      <c r="H117" s="449"/>
      <c r="I117" s="406"/>
      <c r="J117" s="405"/>
      <c r="K117" s="405"/>
      <c r="L117" s="449"/>
      <c r="M117" s="406"/>
      <c r="N117" s="405"/>
      <c r="O117" s="405"/>
      <c r="P117" s="449"/>
      <c r="Q117" s="406"/>
      <c r="R117" s="405"/>
      <c r="S117" s="424"/>
    </row>
    <row r="118" spans="1:19" ht="12.75">
      <c r="A118" s="390">
        <f t="shared" si="13"/>
        <v>20</v>
      </c>
      <c r="B118" s="400">
        <f t="shared" si="15"/>
        <v>2018</v>
      </c>
      <c r="G118" s="414">
        <f t="shared" si="14"/>
        <v>2018</v>
      </c>
      <c r="H118" s="449"/>
      <c r="I118" s="406"/>
      <c r="J118" s="405"/>
      <c r="K118" s="405"/>
      <c r="L118" s="449"/>
      <c r="M118" s="406"/>
      <c r="N118" s="405"/>
      <c r="O118" s="405"/>
      <c r="P118" s="449"/>
      <c r="Q118" s="406"/>
      <c r="R118" s="405"/>
      <c r="S118" s="424"/>
    </row>
    <row r="119" spans="1:19" ht="12.75">
      <c r="A119" s="390">
        <f t="shared" si="13"/>
        <v>21</v>
      </c>
      <c r="B119" s="400">
        <f t="shared" si="15"/>
        <v>2019</v>
      </c>
      <c r="G119" s="414">
        <f t="shared" si="14"/>
        <v>2019</v>
      </c>
      <c r="H119" s="449"/>
      <c r="I119" s="406"/>
      <c r="J119" s="405"/>
      <c r="K119" s="405"/>
      <c r="L119" s="449"/>
      <c r="M119" s="406"/>
      <c r="N119" s="405"/>
      <c r="O119" s="405"/>
      <c r="P119" s="449"/>
      <c r="Q119" s="406"/>
      <c r="R119" s="405"/>
      <c r="S119" s="424"/>
    </row>
    <row r="120" spans="1:19" ht="12.75">
      <c r="A120" s="390">
        <f t="shared" si="13"/>
        <v>22</v>
      </c>
      <c r="B120" s="400">
        <f t="shared" si="15"/>
        <v>2020</v>
      </c>
      <c r="G120" s="414">
        <f t="shared" si="14"/>
        <v>2020</v>
      </c>
      <c r="H120" s="449"/>
      <c r="I120" s="406"/>
      <c r="J120" s="405"/>
      <c r="K120" s="405"/>
      <c r="L120" s="449"/>
      <c r="M120" s="406"/>
      <c r="N120" s="405"/>
      <c r="O120" s="405"/>
      <c r="P120" s="449"/>
      <c r="Q120" s="406"/>
      <c r="R120" s="405"/>
      <c r="S120" s="424"/>
    </row>
    <row r="121" spans="1:19" ht="12.75">
      <c r="A121" s="390">
        <f t="shared" si="13"/>
        <v>23</v>
      </c>
      <c r="B121" s="400">
        <f t="shared" si="15"/>
        <v>2021</v>
      </c>
      <c r="G121" s="414">
        <f t="shared" si="14"/>
        <v>2021</v>
      </c>
      <c r="H121" s="449"/>
      <c r="I121" s="406"/>
      <c r="J121" s="405"/>
      <c r="K121" s="405"/>
      <c r="L121" s="449"/>
      <c r="M121" s="406"/>
      <c r="N121" s="405"/>
      <c r="O121" s="405"/>
      <c r="P121" s="449"/>
      <c r="Q121" s="406"/>
      <c r="R121" s="405"/>
      <c r="S121" s="424"/>
    </row>
    <row r="122" spans="1:19" ht="12.75">
      <c r="A122" s="390">
        <f t="shared" si="13"/>
        <v>24</v>
      </c>
      <c r="B122" s="400">
        <f t="shared" si="15"/>
        <v>2022</v>
      </c>
      <c r="G122" s="414">
        <f t="shared" si="14"/>
        <v>2022</v>
      </c>
      <c r="H122" s="449"/>
      <c r="I122" s="406"/>
      <c r="J122" s="405"/>
      <c r="K122" s="405"/>
      <c r="L122" s="449"/>
      <c r="M122" s="406"/>
      <c r="N122" s="405"/>
      <c r="O122" s="405"/>
      <c r="P122" s="449"/>
      <c r="Q122" s="406"/>
      <c r="R122" s="405"/>
      <c r="S122" s="424"/>
    </row>
    <row r="123" spans="1:19" ht="12.75">
      <c r="A123" s="390">
        <f t="shared" si="13"/>
        <v>25</v>
      </c>
      <c r="B123" s="400">
        <f t="shared" si="15"/>
        <v>2023</v>
      </c>
      <c r="G123" s="414">
        <f t="shared" si="14"/>
        <v>2023</v>
      </c>
      <c r="H123" s="449"/>
      <c r="I123" s="406"/>
      <c r="J123" s="405"/>
      <c r="K123" s="405"/>
      <c r="L123" s="449"/>
      <c r="M123" s="406"/>
      <c r="N123" s="405"/>
      <c r="O123" s="405"/>
      <c r="P123" s="449"/>
      <c r="Q123" s="406"/>
      <c r="R123" s="405"/>
      <c r="S123" s="424"/>
    </row>
    <row r="124" spans="1:19" ht="12.75">
      <c r="A124" s="390">
        <f t="shared" si="13"/>
        <v>26</v>
      </c>
      <c r="B124" s="400">
        <f t="shared" si="15"/>
        <v>2024</v>
      </c>
      <c r="G124" s="414">
        <f t="shared" si="14"/>
        <v>2024</v>
      </c>
      <c r="H124" s="449"/>
      <c r="I124" s="406"/>
      <c r="J124" s="405"/>
      <c r="K124" s="405"/>
      <c r="L124" s="449"/>
      <c r="M124" s="406"/>
      <c r="N124" s="405"/>
      <c r="O124" s="405"/>
      <c r="P124" s="449"/>
      <c r="Q124" s="406"/>
      <c r="R124" s="405"/>
      <c r="S124" s="424"/>
    </row>
    <row r="125" spans="1:19" ht="12.75">
      <c r="A125" s="390">
        <f t="shared" si="13"/>
        <v>27</v>
      </c>
      <c r="B125" s="400">
        <f t="shared" si="15"/>
        <v>2025</v>
      </c>
      <c r="G125" s="414">
        <f t="shared" si="14"/>
        <v>2025</v>
      </c>
      <c r="H125" s="449"/>
      <c r="I125" s="406"/>
      <c r="J125" s="405"/>
      <c r="K125" s="405"/>
      <c r="L125" s="449"/>
      <c r="M125" s="406"/>
      <c r="N125" s="405"/>
      <c r="O125" s="405"/>
      <c r="P125" s="449"/>
      <c r="Q125" s="406"/>
      <c r="R125" s="405"/>
      <c r="S125" s="424"/>
    </row>
    <row r="126" spans="1:19" ht="12.75">
      <c r="A126" s="390">
        <f t="shared" si="13"/>
        <v>28</v>
      </c>
      <c r="B126" s="400">
        <f t="shared" si="15"/>
        <v>2026</v>
      </c>
      <c r="G126" s="414">
        <f t="shared" si="14"/>
        <v>2026</v>
      </c>
      <c r="H126" s="449"/>
      <c r="I126" s="406"/>
      <c r="J126" s="405"/>
      <c r="K126" s="405"/>
      <c r="L126" s="449"/>
      <c r="M126" s="406"/>
      <c r="N126" s="405"/>
      <c r="O126" s="405"/>
      <c r="P126" s="449"/>
      <c r="Q126" s="406"/>
      <c r="R126" s="405"/>
      <c r="S126" s="424"/>
    </row>
    <row r="127" spans="1:19" ht="12.75">
      <c r="A127" s="390">
        <f t="shared" si="13"/>
        <v>29</v>
      </c>
      <c r="B127" s="400">
        <f t="shared" si="15"/>
        <v>2027</v>
      </c>
      <c r="G127" s="414">
        <f t="shared" si="14"/>
        <v>2027</v>
      </c>
      <c r="H127" s="449"/>
      <c r="I127" s="406"/>
      <c r="J127" s="405"/>
      <c r="K127" s="405"/>
      <c r="L127" s="449"/>
      <c r="M127" s="406"/>
      <c r="N127" s="405"/>
      <c r="O127" s="405"/>
      <c r="P127" s="449"/>
      <c r="Q127" s="406"/>
      <c r="R127" s="405"/>
      <c r="S127" s="424"/>
    </row>
    <row r="128" spans="1:19" ht="12.75">
      <c r="A128" s="390">
        <f t="shared" si="13"/>
        <v>30</v>
      </c>
      <c r="B128" s="400">
        <f t="shared" si="15"/>
        <v>2028</v>
      </c>
      <c r="G128" s="414">
        <f t="shared" si="14"/>
        <v>2028</v>
      </c>
      <c r="H128" s="449"/>
      <c r="I128" s="406"/>
      <c r="J128" s="405"/>
      <c r="K128" s="405"/>
      <c r="L128" s="449"/>
      <c r="M128" s="406"/>
      <c r="N128" s="405"/>
      <c r="O128" s="405"/>
      <c r="P128" s="449"/>
      <c r="Q128" s="406"/>
      <c r="R128" s="405"/>
      <c r="S128" s="424"/>
    </row>
    <row r="129" spans="1:19" ht="12.75">
      <c r="A129" s="390">
        <f t="shared" si="13"/>
        <v>31</v>
      </c>
      <c r="B129" s="400">
        <f t="shared" si="15"/>
        <v>2029</v>
      </c>
      <c r="G129" s="414">
        <f t="shared" si="14"/>
        <v>2029</v>
      </c>
      <c r="H129" s="449"/>
      <c r="I129" s="406"/>
      <c r="J129" s="405"/>
      <c r="K129" s="405"/>
      <c r="L129" s="449"/>
      <c r="M129" s="406"/>
      <c r="N129" s="405"/>
      <c r="O129" s="405"/>
      <c r="P129" s="449"/>
      <c r="Q129" s="406"/>
      <c r="R129" s="405"/>
      <c r="S129" s="424"/>
    </row>
    <row r="130" spans="1:19" ht="12.75">
      <c r="A130" s="390">
        <f t="shared" si="13"/>
        <v>32</v>
      </c>
      <c r="B130" s="400">
        <f t="shared" si="15"/>
        <v>2030</v>
      </c>
      <c r="G130" s="414">
        <f t="shared" si="14"/>
        <v>2030</v>
      </c>
      <c r="H130" s="449"/>
      <c r="I130" s="406"/>
      <c r="J130" s="405"/>
      <c r="K130" s="405"/>
      <c r="L130" s="449"/>
      <c r="M130" s="406"/>
      <c r="N130" s="405"/>
      <c r="O130" s="405"/>
      <c r="P130" s="449"/>
      <c r="Q130" s="406"/>
      <c r="R130" s="405"/>
      <c r="S130" s="424"/>
    </row>
    <row r="131" spans="2:19" ht="12.75">
      <c r="B131" s="400"/>
      <c r="G131" s="414"/>
      <c r="H131" s="396"/>
      <c r="I131" s="397"/>
      <c r="J131" s="397"/>
      <c r="K131" s="397"/>
      <c r="L131" s="411"/>
      <c r="M131" s="397"/>
      <c r="N131" s="413"/>
      <c r="O131" s="413"/>
      <c r="P131" s="411"/>
      <c r="Q131" s="397"/>
      <c r="R131" s="413"/>
      <c r="S131" s="425"/>
    </row>
    <row r="133" ht="12.75">
      <c r="B133" s="389" t="s">
        <v>244</v>
      </c>
    </row>
  </sheetData>
  <sheetProtection/>
  <mergeCells count="3">
    <mergeCell ref="C13:F13"/>
    <mergeCell ref="C58:F58"/>
    <mergeCell ref="C102:F102"/>
  </mergeCells>
  <printOptions/>
  <pageMargins left="0.75" right="0.42" top="0.75" bottom="1" header="0.5" footer="0.5"/>
  <pageSetup fitToHeight="3" horizontalDpi="600" verticalDpi="600" orientation="landscape" scale="43" r:id="rId1"/>
  <headerFooter alignWithMargins="0">
    <oddFooter>&amp;L&amp;D&amp;R&amp;F</oddFooter>
  </headerFooter>
  <rowBreaks count="2" manualBreakCount="2">
    <brk id="46" max="18" man="1"/>
    <brk id="90" max="255" man="1"/>
  </rowBreaks>
</worksheet>
</file>

<file path=xl/worksheets/sheet15.xml><?xml version="1.0" encoding="utf-8"?>
<worksheet xmlns="http://schemas.openxmlformats.org/spreadsheetml/2006/main" xmlns:r="http://schemas.openxmlformats.org/officeDocument/2006/relationships">
  <sheetPr>
    <tabColor indexed="22"/>
    <pageSetUpPr fitToPage="1"/>
  </sheetPr>
  <dimension ref="A1:U63"/>
  <sheetViews>
    <sheetView zoomScale="50" zoomScaleNormal="50" workbookViewId="0" topLeftCell="A1">
      <selection activeCell="A51" sqref="A51"/>
    </sheetView>
  </sheetViews>
  <sheetFormatPr defaultColWidth="8.88671875" defaultRowHeight="15"/>
  <cols>
    <col min="1" max="1" width="3.77734375" style="389" customWidth="1"/>
    <col min="2" max="2" width="8.88671875" style="389" customWidth="1"/>
    <col min="3" max="3" width="13.3359375" style="389" customWidth="1"/>
    <col min="4" max="4" width="15.3359375" style="389" customWidth="1"/>
    <col min="5" max="5" width="11.4453125" style="389" customWidth="1"/>
    <col min="6" max="6" width="8.88671875" style="389" customWidth="1"/>
    <col min="7" max="7" width="14.4453125" style="389" customWidth="1"/>
    <col min="8" max="8" width="11.5546875" style="389" bestFit="1" customWidth="1"/>
    <col min="9" max="9" width="10.6640625" style="389" customWidth="1"/>
    <col min="10" max="10" width="14.10546875" style="389" bestFit="1" customWidth="1"/>
    <col min="11" max="11" width="12.99609375" style="389" customWidth="1"/>
    <col min="12" max="12" width="10.99609375" style="389" customWidth="1"/>
    <col min="13" max="13" width="14.10546875" style="389" bestFit="1" customWidth="1"/>
    <col min="14" max="15" width="10.99609375" style="389" customWidth="1"/>
    <col min="16" max="16" width="14.10546875" style="389" bestFit="1" customWidth="1"/>
    <col min="17" max="17" width="16.10546875" style="389" customWidth="1"/>
    <col min="18" max="18" width="11.88671875" style="389" customWidth="1"/>
    <col min="19" max="19" width="14.10546875" style="389" bestFit="1" customWidth="1"/>
    <col min="20" max="20" width="10.6640625" style="389" customWidth="1"/>
    <col min="21" max="21" width="11.88671875" style="389" customWidth="1"/>
    <col min="22" max="16384" width="8.88671875" style="389" customWidth="1"/>
  </cols>
  <sheetData>
    <row r="1" spans="1:5" ht="20.25">
      <c r="A1" s="295" t="s">
        <v>243</v>
      </c>
      <c r="B1" s="295"/>
      <c r="C1" s="295"/>
      <c r="D1" s="295"/>
      <c r="E1" s="295"/>
    </row>
    <row r="2" spans="1:5" ht="18">
      <c r="A2" s="298" t="s">
        <v>1603</v>
      </c>
      <c r="B2" s="298"/>
      <c r="C2" s="298"/>
      <c r="D2" s="298"/>
      <c r="E2" s="298"/>
    </row>
    <row r="3" spans="1:5" ht="15">
      <c r="A3" s="383" t="str">
        <f>+'Actual Net Rev Req'!$C$4</f>
        <v>For the 12 months ended - December 31, 2008</v>
      </c>
      <c r="B3" s="383"/>
      <c r="C3" s="383"/>
      <c r="D3" s="383"/>
      <c r="E3" s="383"/>
    </row>
    <row r="5" ht="12.75">
      <c r="B5" s="436" t="s">
        <v>421</v>
      </c>
    </row>
    <row r="6" spans="1:5" ht="12.75">
      <c r="A6" s="391">
        <f>A5+1</f>
        <v>1</v>
      </c>
      <c r="B6" s="389" t="s">
        <v>410</v>
      </c>
      <c r="E6" s="1088">
        <f>E24</f>
        <v>0</v>
      </c>
    </row>
    <row r="7" spans="1:5" ht="12.75">
      <c r="A7" s="391">
        <f>A6+1</f>
        <v>2</v>
      </c>
      <c r="B7" s="389" t="s">
        <v>411</v>
      </c>
      <c r="D7" s="389" t="s">
        <v>413</v>
      </c>
      <c r="E7" s="1089">
        <f>'Actual Net Rev Req'!J31</f>
        <v>0.1672073709099235</v>
      </c>
    </row>
    <row r="8" spans="1:5" ht="12.75">
      <c r="A8" s="391">
        <f>A7+1</f>
        <v>3</v>
      </c>
      <c r="B8" s="389" t="s">
        <v>422</v>
      </c>
      <c r="D8" s="389" t="s">
        <v>414</v>
      </c>
      <c r="E8" s="415">
        <f>ROUND(E6*E7,0)</f>
        <v>0</v>
      </c>
    </row>
    <row r="9" spans="1:5" ht="12.75">
      <c r="A9" s="391">
        <f>A8+1</f>
        <v>4</v>
      </c>
      <c r="B9" s="389" t="s">
        <v>415</v>
      </c>
      <c r="D9" s="389" t="s">
        <v>420</v>
      </c>
      <c r="E9" s="1090">
        <f>'A-11 (Incentive Plant)'!F107</f>
        <v>0</v>
      </c>
    </row>
    <row r="10" spans="1:5" ht="13.5" thickBot="1">
      <c r="A10" s="391">
        <f>A9+1</f>
        <v>5</v>
      </c>
      <c r="B10" s="389" t="s">
        <v>423</v>
      </c>
      <c r="D10" s="389" t="s">
        <v>417</v>
      </c>
      <c r="E10" s="1091">
        <f>E8+E9</f>
        <v>0</v>
      </c>
    </row>
    <row r="11" ht="13.5" thickTop="1"/>
    <row r="15" spans="1:21" ht="12.75">
      <c r="A15" s="391">
        <f>A10+1</f>
        <v>6</v>
      </c>
      <c r="G15" s="392" t="s">
        <v>625</v>
      </c>
      <c r="H15" s="410" t="s">
        <v>1225</v>
      </c>
      <c r="I15" s="410"/>
      <c r="J15" s="392" t="s">
        <v>625</v>
      </c>
      <c r="K15" s="410" t="s">
        <v>1229</v>
      </c>
      <c r="L15" s="410"/>
      <c r="M15" s="392" t="s">
        <v>625</v>
      </c>
      <c r="N15" s="410" t="s">
        <v>1226</v>
      </c>
      <c r="O15" s="419"/>
      <c r="P15" s="392" t="s">
        <v>625</v>
      </c>
      <c r="Q15" s="410" t="s">
        <v>1227</v>
      </c>
      <c r="R15" s="419"/>
      <c r="S15" s="392" t="s">
        <v>625</v>
      </c>
      <c r="T15" s="410" t="s">
        <v>1228</v>
      </c>
      <c r="U15" s="419"/>
    </row>
    <row r="16" spans="1:21" ht="12.75">
      <c r="A16" s="391">
        <f aca="true" t="shared" si="0" ref="A16:A21">A15+1</f>
        <v>7</v>
      </c>
      <c r="G16" s="408" t="s">
        <v>645</v>
      </c>
      <c r="H16" s="446"/>
      <c r="I16" s="446"/>
      <c r="J16" s="408" t="s">
        <v>645</v>
      </c>
      <c r="K16" s="446"/>
      <c r="L16" s="446"/>
      <c r="M16" s="408" t="s">
        <v>645</v>
      </c>
      <c r="N16" s="446"/>
      <c r="O16" s="451"/>
      <c r="P16" s="408" t="s">
        <v>645</v>
      </c>
      <c r="Q16" s="446"/>
      <c r="R16" s="451"/>
      <c r="S16" s="408" t="s">
        <v>645</v>
      </c>
      <c r="T16" s="446"/>
      <c r="U16" s="451"/>
    </row>
    <row r="17" spans="1:21" ht="12.75">
      <c r="A17" s="391">
        <f t="shared" si="0"/>
        <v>8</v>
      </c>
      <c r="G17" s="393" t="s">
        <v>1231</v>
      </c>
      <c r="H17" s="456">
        <f>'Actual Gross Rev'!$G$90/'Actual Gross Rev'!$G$17</f>
        <v>0.018414190188755217</v>
      </c>
      <c r="I17" s="394" t="s">
        <v>1165</v>
      </c>
      <c r="J17" s="393" t="s">
        <v>1231</v>
      </c>
      <c r="K17" s="456">
        <f>'Actual Gross Rev'!$G$90/'Actual Gross Rev'!$G$17</f>
        <v>0.018414190188755217</v>
      </c>
      <c r="L17" s="394" t="s">
        <v>1165</v>
      </c>
      <c r="M17" s="393" t="s">
        <v>1231</v>
      </c>
      <c r="N17" s="456">
        <f>'Actual Gross Rev'!$G$90/'Actual Gross Rev'!$G$17</f>
        <v>0.018414190188755217</v>
      </c>
      <c r="O17" s="421" t="s">
        <v>1165</v>
      </c>
      <c r="P17" s="393" t="s">
        <v>1231</v>
      </c>
      <c r="Q17" s="456">
        <f>'Actual Gross Rev'!$G$90/'Actual Gross Rev'!$G$17</f>
        <v>0.018414190188755217</v>
      </c>
      <c r="R17" s="421" t="s">
        <v>1165</v>
      </c>
      <c r="S17" s="393" t="s">
        <v>1231</v>
      </c>
      <c r="T17" s="456">
        <f>'Actual Gross Rev'!$G$90/'Actual Gross Rev'!$G$17</f>
        <v>0.018414190188755217</v>
      </c>
      <c r="U17" s="421" t="s">
        <v>1165</v>
      </c>
    </row>
    <row r="18" spans="1:21" ht="12.75">
      <c r="A18" s="391">
        <f t="shared" si="0"/>
        <v>9</v>
      </c>
      <c r="G18" s="393" t="s">
        <v>630</v>
      </c>
      <c r="H18" s="406"/>
      <c r="I18" s="394"/>
      <c r="J18" s="393" t="s">
        <v>630</v>
      </c>
      <c r="K18" s="406"/>
      <c r="L18" s="394"/>
      <c r="M18" s="393" t="s">
        <v>630</v>
      </c>
      <c r="N18" s="406"/>
      <c r="O18" s="421"/>
      <c r="P18" s="393" t="s">
        <v>630</v>
      </c>
      <c r="Q18" s="406"/>
      <c r="R18" s="421"/>
      <c r="S18" s="393" t="s">
        <v>630</v>
      </c>
      <c r="T18" s="406"/>
      <c r="U18" s="421"/>
    </row>
    <row r="19" spans="1:21" ht="12.75">
      <c r="A19" s="391">
        <f t="shared" si="0"/>
        <v>10</v>
      </c>
      <c r="C19" s="1450" t="s">
        <v>1106</v>
      </c>
      <c r="D19" s="1450"/>
      <c r="E19" s="1450"/>
      <c r="G19" s="393" t="s">
        <v>631</v>
      </c>
      <c r="H19" s="398"/>
      <c r="I19" s="394"/>
      <c r="J19" s="393" t="s">
        <v>631</v>
      </c>
      <c r="K19" s="398"/>
      <c r="L19" s="394"/>
      <c r="M19" s="393" t="s">
        <v>631</v>
      </c>
      <c r="N19" s="398"/>
      <c r="O19" s="421"/>
      <c r="P19" s="393" t="s">
        <v>631</v>
      </c>
      <c r="Q19" s="398"/>
      <c r="R19" s="421"/>
      <c r="S19" s="393" t="s">
        <v>631</v>
      </c>
      <c r="T19" s="398"/>
      <c r="U19" s="421"/>
    </row>
    <row r="20" spans="1:21" ht="12.75">
      <c r="A20" s="391">
        <f t="shared" si="0"/>
        <v>11</v>
      </c>
      <c r="G20" s="393" t="s">
        <v>648</v>
      </c>
      <c r="H20" s="454"/>
      <c r="I20" s="394"/>
      <c r="J20" s="393" t="s">
        <v>648</v>
      </c>
      <c r="K20" s="454"/>
      <c r="L20" s="394"/>
      <c r="M20" s="393" t="s">
        <v>648</v>
      </c>
      <c r="N20" s="454"/>
      <c r="O20" s="421"/>
      <c r="P20" s="393" t="s">
        <v>648</v>
      </c>
      <c r="Q20" s="454"/>
      <c r="R20" s="421"/>
      <c r="S20" s="393" t="s">
        <v>648</v>
      </c>
      <c r="T20" s="454"/>
      <c r="U20" s="421"/>
    </row>
    <row r="21" spans="1:21" ht="12.75">
      <c r="A21" s="391">
        <f t="shared" si="0"/>
        <v>12</v>
      </c>
      <c r="G21" s="393" t="s">
        <v>1738</v>
      </c>
      <c r="H21" s="514" t="s">
        <v>1187</v>
      </c>
      <c r="I21" s="826" t="s">
        <v>1737</v>
      </c>
      <c r="J21" s="393" t="s">
        <v>1738</v>
      </c>
      <c r="K21" s="514" t="s">
        <v>1187</v>
      </c>
      <c r="L21" s="826" t="s">
        <v>1737</v>
      </c>
      <c r="M21" s="393" t="s">
        <v>1738</v>
      </c>
      <c r="N21" s="514" t="s">
        <v>1187</v>
      </c>
      <c r="O21" s="826" t="s">
        <v>1737</v>
      </c>
      <c r="P21" s="393" t="s">
        <v>1738</v>
      </c>
      <c r="Q21" s="514" t="s">
        <v>1187</v>
      </c>
      <c r="R21" s="826" t="s">
        <v>1737</v>
      </c>
      <c r="S21" s="393" t="s">
        <v>1738</v>
      </c>
      <c r="T21" s="514" t="s">
        <v>1187</v>
      </c>
      <c r="U21" s="827" t="s">
        <v>1737</v>
      </c>
    </row>
    <row r="22" spans="2:21" ht="12.75">
      <c r="B22" s="416" t="s">
        <v>845</v>
      </c>
      <c r="C22" s="385" t="s">
        <v>88</v>
      </c>
      <c r="D22" s="385" t="s">
        <v>649</v>
      </c>
      <c r="E22" s="385" t="s">
        <v>1491</v>
      </c>
      <c r="F22" s="416" t="s">
        <v>845</v>
      </c>
      <c r="G22" s="401" t="s">
        <v>88</v>
      </c>
      <c r="H22" s="402" t="s">
        <v>649</v>
      </c>
      <c r="I22" s="422" t="s">
        <v>1491</v>
      </c>
      <c r="J22" s="402" t="s">
        <v>88</v>
      </c>
      <c r="K22" s="402" t="s">
        <v>649</v>
      </c>
      <c r="L22" s="422" t="s">
        <v>1491</v>
      </c>
      <c r="M22" s="402" t="s">
        <v>88</v>
      </c>
      <c r="N22" s="402" t="s">
        <v>649</v>
      </c>
      <c r="O22" s="422" t="s">
        <v>1491</v>
      </c>
      <c r="P22" s="402" t="s">
        <v>88</v>
      </c>
      <c r="Q22" s="402" t="s">
        <v>649</v>
      </c>
      <c r="R22" s="422" t="s">
        <v>1491</v>
      </c>
      <c r="S22" s="402" t="s">
        <v>88</v>
      </c>
      <c r="T22" s="402" t="s">
        <v>649</v>
      </c>
      <c r="U22" s="422" t="s">
        <v>1491</v>
      </c>
    </row>
    <row r="23" spans="7:21" ht="12.75">
      <c r="G23" s="403"/>
      <c r="H23" s="404"/>
      <c r="I23" s="404"/>
      <c r="J23" s="403"/>
      <c r="K23" s="404"/>
      <c r="L23" s="404"/>
      <c r="M23" s="403"/>
      <c r="N23" s="404"/>
      <c r="O23" s="423"/>
      <c r="P23" s="403"/>
      <c r="Q23" s="404"/>
      <c r="R23" s="423"/>
      <c r="S23" s="403"/>
      <c r="T23" s="404"/>
      <c r="U23" s="423"/>
    </row>
    <row r="24" spans="1:21" ht="12.75">
      <c r="A24" s="391">
        <f>A21+1</f>
        <v>13</v>
      </c>
      <c r="B24" s="400">
        <v>2007</v>
      </c>
      <c r="C24" s="415">
        <f>+G24+J24+M24+P24+S24</f>
        <v>0</v>
      </c>
      <c r="D24" s="415">
        <f aca="true" t="shared" si="1" ref="D24:D47">+H24+K24+N24+Q24+T24</f>
        <v>0</v>
      </c>
      <c r="E24" s="415">
        <f aca="true" t="shared" si="2" ref="E24:E47">+I24+L24+O24+R24+U24</f>
        <v>0</v>
      </c>
      <c r="F24" s="414">
        <f aca="true" t="shared" si="3" ref="F24:F47">+B24</f>
        <v>2007</v>
      </c>
      <c r="G24" s="449">
        <f>+H18</f>
        <v>0</v>
      </c>
      <c r="H24" s="406">
        <v>0</v>
      </c>
      <c r="I24" s="292">
        <f aca="true" t="shared" si="4" ref="I24:I47">+G24-H24</f>
        <v>0</v>
      </c>
      <c r="J24" s="449">
        <f>+K18</f>
        <v>0</v>
      </c>
      <c r="K24" s="406">
        <v>0</v>
      </c>
      <c r="L24" s="292">
        <f aca="true" t="shared" si="5" ref="L24:L47">+J24-K24</f>
        <v>0</v>
      </c>
      <c r="M24" s="449">
        <f>+N18</f>
        <v>0</v>
      </c>
      <c r="N24" s="406">
        <v>0</v>
      </c>
      <c r="O24" s="292">
        <f aca="true" t="shared" si="6" ref="O24:O47">+M24-N24</f>
        <v>0</v>
      </c>
      <c r="P24" s="449">
        <f>+Q18</f>
        <v>0</v>
      </c>
      <c r="Q24" s="406">
        <v>0</v>
      </c>
      <c r="R24" s="292">
        <f aca="true" t="shared" si="7" ref="R24:R47">+P24-Q24</f>
        <v>0</v>
      </c>
      <c r="S24" s="449">
        <f>+T18</f>
        <v>0</v>
      </c>
      <c r="T24" s="406">
        <v>0</v>
      </c>
      <c r="U24" s="452">
        <f aca="true" t="shared" si="8" ref="U24:U47">+S24-T24</f>
        <v>0</v>
      </c>
    </row>
    <row r="25" spans="1:21" ht="12.75">
      <c r="A25" s="391">
        <f aca="true" t="shared" si="9" ref="A25:A47">A24+1</f>
        <v>14</v>
      </c>
      <c r="B25" s="400">
        <v>2008</v>
      </c>
      <c r="C25" s="415">
        <f aca="true" t="shared" si="10" ref="C25:C47">+G25+J25+M25+P25+S25</f>
        <v>0</v>
      </c>
      <c r="D25" s="415">
        <f t="shared" si="1"/>
        <v>0</v>
      </c>
      <c r="E25" s="415">
        <f t="shared" si="2"/>
        <v>0</v>
      </c>
      <c r="F25" s="414">
        <f t="shared" si="3"/>
        <v>2008</v>
      </c>
      <c r="G25" s="449"/>
      <c r="H25" s="406">
        <v>0</v>
      </c>
      <c r="I25" s="292">
        <f t="shared" si="4"/>
        <v>0</v>
      </c>
      <c r="J25" s="449"/>
      <c r="K25" s="406">
        <v>0</v>
      </c>
      <c r="L25" s="292">
        <f t="shared" si="5"/>
        <v>0</v>
      </c>
      <c r="M25" s="449"/>
      <c r="N25" s="406">
        <v>0</v>
      </c>
      <c r="O25" s="292">
        <f t="shared" si="6"/>
        <v>0</v>
      </c>
      <c r="P25" s="449"/>
      <c r="Q25" s="406">
        <v>0</v>
      </c>
      <c r="R25" s="292">
        <f t="shared" si="7"/>
        <v>0</v>
      </c>
      <c r="S25" s="449"/>
      <c r="T25" s="406">
        <v>0</v>
      </c>
      <c r="U25" s="452">
        <f t="shared" si="8"/>
        <v>0</v>
      </c>
    </row>
    <row r="26" spans="1:21" ht="12.75">
      <c r="A26" s="391">
        <f t="shared" si="9"/>
        <v>15</v>
      </c>
      <c r="B26" s="400">
        <f aca="true" t="shared" si="11" ref="B26:B47">+B25+1</f>
        <v>2009</v>
      </c>
      <c r="C26" s="415">
        <f t="shared" si="10"/>
        <v>0</v>
      </c>
      <c r="D26" s="415">
        <f t="shared" si="1"/>
        <v>0</v>
      </c>
      <c r="E26" s="415">
        <f t="shared" si="2"/>
        <v>0</v>
      </c>
      <c r="F26" s="414">
        <f t="shared" si="3"/>
        <v>2009</v>
      </c>
      <c r="G26" s="449"/>
      <c r="H26" s="406">
        <v>0</v>
      </c>
      <c r="I26" s="292">
        <f t="shared" si="4"/>
        <v>0</v>
      </c>
      <c r="J26" s="449"/>
      <c r="K26" s="406">
        <v>0</v>
      </c>
      <c r="L26" s="292">
        <f t="shared" si="5"/>
        <v>0</v>
      </c>
      <c r="M26" s="449"/>
      <c r="N26" s="406">
        <v>0</v>
      </c>
      <c r="O26" s="292">
        <f t="shared" si="6"/>
        <v>0</v>
      </c>
      <c r="P26" s="449"/>
      <c r="Q26" s="406">
        <v>0</v>
      </c>
      <c r="R26" s="292">
        <f t="shared" si="7"/>
        <v>0</v>
      </c>
      <c r="S26" s="449"/>
      <c r="T26" s="406">
        <v>0</v>
      </c>
      <c r="U26" s="452">
        <f t="shared" si="8"/>
        <v>0</v>
      </c>
    </row>
    <row r="27" spans="1:21" ht="12.75">
      <c r="A27" s="391">
        <f t="shared" si="9"/>
        <v>16</v>
      </c>
      <c r="B27" s="400">
        <f t="shared" si="11"/>
        <v>2010</v>
      </c>
      <c r="C27" s="415">
        <f t="shared" si="10"/>
        <v>0</v>
      </c>
      <c r="D27" s="415">
        <f t="shared" si="1"/>
        <v>0</v>
      </c>
      <c r="E27" s="415">
        <f t="shared" si="2"/>
        <v>0</v>
      </c>
      <c r="F27" s="414">
        <f t="shared" si="3"/>
        <v>2010</v>
      </c>
      <c r="G27" s="449"/>
      <c r="H27" s="406">
        <v>0</v>
      </c>
      <c r="I27" s="292">
        <f t="shared" si="4"/>
        <v>0</v>
      </c>
      <c r="J27" s="449"/>
      <c r="K27" s="406">
        <v>0</v>
      </c>
      <c r="L27" s="292">
        <f t="shared" si="5"/>
        <v>0</v>
      </c>
      <c r="M27" s="449"/>
      <c r="N27" s="406">
        <v>0</v>
      </c>
      <c r="O27" s="292">
        <f t="shared" si="6"/>
        <v>0</v>
      </c>
      <c r="P27" s="449"/>
      <c r="Q27" s="406">
        <v>0</v>
      </c>
      <c r="R27" s="292">
        <f t="shared" si="7"/>
        <v>0</v>
      </c>
      <c r="S27" s="449"/>
      <c r="T27" s="406">
        <v>0</v>
      </c>
      <c r="U27" s="452">
        <f t="shared" si="8"/>
        <v>0</v>
      </c>
    </row>
    <row r="28" spans="1:21" ht="12.75">
      <c r="A28" s="391">
        <f t="shared" si="9"/>
        <v>17</v>
      </c>
      <c r="B28" s="400">
        <f t="shared" si="11"/>
        <v>2011</v>
      </c>
      <c r="C28" s="415">
        <f t="shared" si="10"/>
        <v>0</v>
      </c>
      <c r="D28" s="415">
        <f t="shared" si="1"/>
        <v>0</v>
      </c>
      <c r="E28" s="415">
        <f t="shared" si="2"/>
        <v>0</v>
      </c>
      <c r="F28" s="414">
        <f t="shared" si="3"/>
        <v>2011</v>
      </c>
      <c r="G28" s="449"/>
      <c r="H28" s="406">
        <v>0</v>
      </c>
      <c r="I28" s="292">
        <f t="shared" si="4"/>
        <v>0</v>
      </c>
      <c r="J28" s="449"/>
      <c r="K28" s="406">
        <v>0</v>
      </c>
      <c r="L28" s="292">
        <f t="shared" si="5"/>
        <v>0</v>
      </c>
      <c r="M28" s="449"/>
      <c r="N28" s="406">
        <v>0</v>
      </c>
      <c r="O28" s="292">
        <f t="shared" si="6"/>
        <v>0</v>
      </c>
      <c r="P28" s="449"/>
      <c r="Q28" s="406">
        <v>0</v>
      </c>
      <c r="R28" s="292">
        <f t="shared" si="7"/>
        <v>0</v>
      </c>
      <c r="S28" s="449"/>
      <c r="T28" s="406">
        <v>0</v>
      </c>
      <c r="U28" s="452">
        <f t="shared" si="8"/>
        <v>0</v>
      </c>
    </row>
    <row r="29" spans="1:21" ht="12.75">
      <c r="A29" s="391">
        <f t="shared" si="9"/>
        <v>18</v>
      </c>
      <c r="B29" s="400">
        <f t="shared" si="11"/>
        <v>2012</v>
      </c>
      <c r="C29" s="415">
        <f t="shared" si="10"/>
        <v>0</v>
      </c>
      <c r="D29" s="415">
        <f t="shared" si="1"/>
        <v>0</v>
      </c>
      <c r="E29" s="415">
        <f t="shared" si="2"/>
        <v>0</v>
      </c>
      <c r="F29" s="414">
        <f t="shared" si="3"/>
        <v>2012</v>
      </c>
      <c r="G29" s="449"/>
      <c r="H29" s="406">
        <v>0</v>
      </c>
      <c r="I29" s="292">
        <f t="shared" si="4"/>
        <v>0</v>
      </c>
      <c r="J29" s="449"/>
      <c r="K29" s="406">
        <v>0</v>
      </c>
      <c r="L29" s="292">
        <f t="shared" si="5"/>
        <v>0</v>
      </c>
      <c r="M29" s="449"/>
      <c r="N29" s="406">
        <v>0</v>
      </c>
      <c r="O29" s="292">
        <f t="shared" si="6"/>
        <v>0</v>
      </c>
      <c r="P29" s="449"/>
      <c r="Q29" s="406">
        <v>0</v>
      </c>
      <c r="R29" s="292">
        <f t="shared" si="7"/>
        <v>0</v>
      </c>
      <c r="S29" s="449"/>
      <c r="T29" s="406">
        <v>0</v>
      </c>
      <c r="U29" s="452">
        <f t="shared" si="8"/>
        <v>0</v>
      </c>
    </row>
    <row r="30" spans="1:21" ht="12.75">
      <c r="A30" s="391">
        <f t="shared" si="9"/>
        <v>19</v>
      </c>
      <c r="B30" s="400">
        <f t="shared" si="11"/>
        <v>2013</v>
      </c>
      <c r="C30" s="415">
        <f t="shared" si="10"/>
        <v>0</v>
      </c>
      <c r="D30" s="415">
        <f t="shared" si="1"/>
        <v>0</v>
      </c>
      <c r="E30" s="415">
        <f t="shared" si="2"/>
        <v>0</v>
      </c>
      <c r="F30" s="414">
        <f t="shared" si="3"/>
        <v>2013</v>
      </c>
      <c r="G30" s="449"/>
      <c r="H30" s="406">
        <v>0</v>
      </c>
      <c r="I30" s="292">
        <f t="shared" si="4"/>
        <v>0</v>
      </c>
      <c r="J30" s="449"/>
      <c r="K30" s="406">
        <v>0</v>
      </c>
      <c r="L30" s="292">
        <f t="shared" si="5"/>
        <v>0</v>
      </c>
      <c r="M30" s="449"/>
      <c r="N30" s="406">
        <v>0</v>
      </c>
      <c r="O30" s="292">
        <f t="shared" si="6"/>
        <v>0</v>
      </c>
      <c r="P30" s="449"/>
      <c r="Q30" s="406">
        <v>0</v>
      </c>
      <c r="R30" s="292">
        <f t="shared" si="7"/>
        <v>0</v>
      </c>
      <c r="S30" s="449"/>
      <c r="T30" s="406">
        <v>0</v>
      </c>
      <c r="U30" s="452">
        <f t="shared" si="8"/>
        <v>0</v>
      </c>
    </row>
    <row r="31" spans="1:21" ht="12.75">
      <c r="A31" s="391">
        <f t="shared" si="9"/>
        <v>20</v>
      </c>
      <c r="B31" s="400">
        <f t="shared" si="11"/>
        <v>2014</v>
      </c>
      <c r="C31" s="415">
        <f t="shared" si="10"/>
        <v>0</v>
      </c>
      <c r="D31" s="415">
        <f t="shared" si="1"/>
        <v>0</v>
      </c>
      <c r="E31" s="415">
        <f t="shared" si="2"/>
        <v>0</v>
      </c>
      <c r="F31" s="414">
        <f t="shared" si="3"/>
        <v>2014</v>
      </c>
      <c r="G31" s="449"/>
      <c r="H31" s="406">
        <v>0</v>
      </c>
      <c r="I31" s="292">
        <f t="shared" si="4"/>
        <v>0</v>
      </c>
      <c r="J31" s="449"/>
      <c r="K31" s="406">
        <v>0</v>
      </c>
      <c r="L31" s="292">
        <f t="shared" si="5"/>
        <v>0</v>
      </c>
      <c r="M31" s="449"/>
      <c r="N31" s="406">
        <v>0</v>
      </c>
      <c r="O31" s="292">
        <f t="shared" si="6"/>
        <v>0</v>
      </c>
      <c r="P31" s="449"/>
      <c r="Q31" s="406">
        <v>0</v>
      </c>
      <c r="R31" s="292">
        <f t="shared" si="7"/>
        <v>0</v>
      </c>
      <c r="S31" s="449"/>
      <c r="T31" s="406">
        <v>0</v>
      </c>
      <c r="U31" s="452">
        <f t="shared" si="8"/>
        <v>0</v>
      </c>
    </row>
    <row r="32" spans="1:21" ht="12.75">
      <c r="A32" s="391">
        <f t="shared" si="9"/>
        <v>21</v>
      </c>
      <c r="B32" s="400">
        <f t="shared" si="11"/>
        <v>2015</v>
      </c>
      <c r="C32" s="415">
        <f t="shared" si="10"/>
        <v>0</v>
      </c>
      <c r="D32" s="415">
        <f t="shared" si="1"/>
        <v>0</v>
      </c>
      <c r="E32" s="415">
        <f t="shared" si="2"/>
        <v>0</v>
      </c>
      <c r="F32" s="414">
        <f t="shared" si="3"/>
        <v>2015</v>
      </c>
      <c r="G32" s="449"/>
      <c r="H32" s="406">
        <v>0</v>
      </c>
      <c r="I32" s="292">
        <f t="shared" si="4"/>
        <v>0</v>
      </c>
      <c r="J32" s="449"/>
      <c r="K32" s="406">
        <v>0</v>
      </c>
      <c r="L32" s="292">
        <f t="shared" si="5"/>
        <v>0</v>
      </c>
      <c r="M32" s="449"/>
      <c r="N32" s="406">
        <v>0</v>
      </c>
      <c r="O32" s="292">
        <f t="shared" si="6"/>
        <v>0</v>
      </c>
      <c r="P32" s="449"/>
      <c r="Q32" s="406">
        <v>0</v>
      </c>
      <c r="R32" s="292">
        <f t="shared" si="7"/>
        <v>0</v>
      </c>
      <c r="S32" s="449"/>
      <c r="T32" s="406">
        <v>0</v>
      </c>
      <c r="U32" s="452">
        <f t="shared" si="8"/>
        <v>0</v>
      </c>
    </row>
    <row r="33" spans="1:21" ht="12.75">
      <c r="A33" s="391">
        <f t="shared" si="9"/>
        <v>22</v>
      </c>
      <c r="B33" s="400">
        <f t="shared" si="11"/>
        <v>2016</v>
      </c>
      <c r="C33" s="415">
        <f t="shared" si="10"/>
        <v>0</v>
      </c>
      <c r="D33" s="415">
        <f t="shared" si="1"/>
        <v>0</v>
      </c>
      <c r="E33" s="415">
        <f t="shared" si="2"/>
        <v>0</v>
      </c>
      <c r="F33" s="414">
        <f t="shared" si="3"/>
        <v>2016</v>
      </c>
      <c r="G33" s="449"/>
      <c r="H33" s="406">
        <v>0</v>
      </c>
      <c r="I33" s="292">
        <f t="shared" si="4"/>
        <v>0</v>
      </c>
      <c r="J33" s="449"/>
      <c r="K33" s="406">
        <v>0</v>
      </c>
      <c r="L33" s="292">
        <f t="shared" si="5"/>
        <v>0</v>
      </c>
      <c r="M33" s="449"/>
      <c r="N33" s="406">
        <v>0</v>
      </c>
      <c r="O33" s="292">
        <f t="shared" si="6"/>
        <v>0</v>
      </c>
      <c r="P33" s="449"/>
      <c r="Q33" s="406">
        <v>0</v>
      </c>
      <c r="R33" s="292">
        <f t="shared" si="7"/>
        <v>0</v>
      </c>
      <c r="S33" s="449"/>
      <c r="T33" s="406">
        <v>0</v>
      </c>
      <c r="U33" s="452">
        <f t="shared" si="8"/>
        <v>0</v>
      </c>
    </row>
    <row r="34" spans="1:21" ht="12.75">
      <c r="A34" s="391">
        <f t="shared" si="9"/>
        <v>23</v>
      </c>
      <c r="B34" s="400">
        <f t="shared" si="11"/>
        <v>2017</v>
      </c>
      <c r="C34" s="415">
        <f t="shared" si="10"/>
        <v>0</v>
      </c>
      <c r="D34" s="415">
        <f t="shared" si="1"/>
        <v>0</v>
      </c>
      <c r="E34" s="415">
        <f t="shared" si="2"/>
        <v>0</v>
      </c>
      <c r="F34" s="414">
        <f t="shared" si="3"/>
        <v>2017</v>
      </c>
      <c r="G34" s="449"/>
      <c r="H34" s="406">
        <v>0</v>
      </c>
      <c r="I34" s="292">
        <f t="shared" si="4"/>
        <v>0</v>
      </c>
      <c r="J34" s="449"/>
      <c r="K34" s="406">
        <v>0</v>
      </c>
      <c r="L34" s="292">
        <f t="shared" si="5"/>
        <v>0</v>
      </c>
      <c r="M34" s="449"/>
      <c r="N34" s="406">
        <v>0</v>
      </c>
      <c r="O34" s="292">
        <f t="shared" si="6"/>
        <v>0</v>
      </c>
      <c r="P34" s="449"/>
      <c r="Q34" s="406">
        <v>0</v>
      </c>
      <c r="R34" s="292">
        <f t="shared" si="7"/>
        <v>0</v>
      </c>
      <c r="S34" s="449"/>
      <c r="T34" s="406">
        <v>0</v>
      </c>
      <c r="U34" s="452">
        <f t="shared" si="8"/>
        <v>0</v>
      </c>
    </row>
    <row r="35" spans="1:21" ht="12.75">
      <c r="A35" s="391">
        <f t="shared" si="9"/>
        <v>24</v>
      </c>
      <c r="B35" s="400">
        <f t="shared" si="11"/>
        <v>2018</v>
      </c>
      <c r="C35" s="415">
        <f t="shared" si="10"/>
        <v>0</v>
      </c>
      <c r="D35" s="415">
        <f t="shared" si="1"/>
        <v>0</v>
      </c>
      <c r="E35" s="415">
        <f t="shared" si="2"/>
        <v>0</v>
      </c>
      <c r="F35" s="414">
        <f t="shared" si="3"/>
        <v>2018</v>
      </c>
      <c r="G35" s="449"/>
      <c r="H35" s="406">
        <v>0</v>
      </c>
      <c r="I35" s="292">
        <f t="shared" si="4"/>
        <v>0</v>
      </c>
      <c r="J35" s="449"/>
      <c r="K35" s="406">
        <v>0</v>
      </c>
      <c r="L35" s="292">
        <f t="shared" si="5"/>
        <v>0</v>
      </c>
      <c r="M35" s="449"/>
      <c r="N35" s="406">
        <v>0</v>
      </c>
      <c r="O35" s="292">
        <f t="shared" si="6"/>
        <v>0</v>
      </c>
      <c r="P35" s="449"/>
      <c r="Q35" s="406">
        <v>0</v>
      </c>
      <c r="R35" s="292">
        <f t="shared" si="7"/>
        <v>0</v>
      </c>
      <c r="S35" s="449"/>
      <c r="T35" s="406">
        <v>0</v>
      </c>
      <c r="U35" s="452">
        <f t="shared" si="8"/>
        <v>0</v>
      </c>
    </row>
    <row r="36" spans="1:21" ht="12.75">
      <c r="A36" s="391">
        <f t="shared" si="9"/>
        <v>25</v>
      </c>
      <c r="B36" s="400">
        <f t="shared" si="11"/>
        <v>2019</v>
      </c>
      <c r="C36" s="415">
        <f t="shared" si="10"/>
        <v>0</v>
      </c>
      <c r="D36" s="415">
        <f t="shared" si="1"/>
        <v>0</v>
      </c>
      <c r="E36" s="415">
        <f t="shared" si="2"/>
        <v>0</v>
      </c>
      <c r="F36" s="414">
        <f t="shared" si="3"/>
        <v>2019</v>
      </c>
      <c r="G36" s="449"/>
      <c r="H36" s="406">
        <v>0</v>
      </c>
      <c r="I36" s="292">
        <f t="shared" si="4"/>
        <v>0</v>
      </c>
      <c r="J36" s="449"/>
      <c r="K36" s="406">
        <v>0</v>
      </c>
      <c r="L36" s="292">
        <f t="shared" si="5"/>
        <v>0</v>
      </c>
      <c r="M36" s="449"/>
      <c r="N36" s="406">
        <v>0</v>
      </c>
      <c r="O36" s="292">
        <f t="shared" si="6"/>
        <v>0</v>
      </c>
      <c r="P36" s="449"/>
      <c r="Q36" s="406">
        <v>0</v>
      </c>
      <c r="R36" s="292">
        <f t="shared" si="7"/>
        <v>0</v>
      </c>
      <c r="S36" s="449"/>
      <c r="T36" s="406">
        <v>0</v>
      </c>
      <c r="U36" s="452">
        <f t="shared" si="8"/>
        <v>0</v>
      </c>
    </row>
    <row r="37" spans="1:21" ht="12.75">
      <c r="A37" s="391">
        <f t="shared" si="9"/>
        <v>26</v>
      </c>
      <c r="B37" s="400">
        <f t="shared" si="11"/>
        <v>2020</v>
      </c>
      <c r="C37" s="415">
        <f t="shared" si="10"/>
        <v>0</v>
      </c>
      <c r="D37" s="415">
        <f t="shared" si="1"/>
        <v>0</v>
      </c>
      <c r="E37" s="415">
        <f t="shared" si="2"/>
        <v>0</v>
      </c>
      <c r="F37" s="414">
        <f t="shared" si="3"/>
        <v>2020</v>
      </c>
      <c r="G37" s="449"/>
      <c r="H37" s="406">
        <v>0</v>
      </c>
      <c r="I37" s="292">
        <f t="shared" si="4"/>
        <v>0</v>
      </c>
      <c r="J37" s="449"/>
      <c r="K37" s="406">
        <v>0</v>
      </c>
      <c r="L37" s="292">
        <f t="shared" si="5"/>
        <v>0</v>
      </c>
      <c r="M37" s="449"/>
      <c r="N37" s="406">
        <v>0</v>
      </c>
      <c r="O37" s="292">
        <f t="shared" si="6"/>
        <v>0</v>
      </c>
      <c r="P37" s="449"/>
      <c r="Q37" s="406">
        <v>0</v>
      </c>
      <c r="R37" s="292">
        <f t="shared" si="7"/>
        <v>0</v>
      </c>
      <c r="S37" s="449"/>
      <c r="T37" s="406">
        <v>0</v>
      </c>
      <c r="U37" s="452">
        <f t="shared" si="8"/>
        <v>0</v>
      </c>
    </row>
    <row r="38" spans="1:21" ht="12.75">
      <c r="A38" s="391">
        <f t="shared" si="9"/>
        <v>27</v>
      </c>
      <c r="B38" s="400">
        <f t="shared" si="11"/>
        <v>2021</v>
      </c>
      <c r="C38" s="415">
        <f t="shared" si="10"/>
        <v>0</v>
      </c>
      <c r="D38" s="415">
        <f t="shared" si="1"/>
        <v>0</v>
      </c>
      <c r="E38" s="415">
        <f t="shared" si="2"/>
        <v>0</v>
      </c>
      <c r="F38" s="414">
        <f t="shared" si="3"/>
        <v>2021</v>
      </c>
      <c r="G38" s="449"/>
      <c r="H38" s="406">
        <v>0</v>
      </c>
      <c r="I38" s="292">
        <f t="shared" si="4"/>
        <v>0</v>
      </c>
      <c r="J38" s="449"/>
      <c r="K38" s="406">
        <v>0</v>
      </c>
      <c r="L38" s="292">
        <f t="shared" si="5"/>
        <v>0</v>
      </c>
      <c r="M38" s="449"/>
      <c r="N38" s="406">
        <v>0</v>
      </c>
      <c r="O38" s="292">
        <f t="shared" si="6"/>
        <v>0</v>
      </c>
      <c r="P38" s="449"/>
      <c r="Q38" s="406">
        <v>0</v>
      </c>
      <c r="R38" s="292">
        <f t="shared" si="7"/>
        <v>0</v>
      </c>
      <c r="S38" s="449"/>
      <c r="T38" s="406">
        <v>0</v>
      </c>
      <c r="U38" s="452">
        <f t="shared" si="8"/>
        <v>0</v>
      </c>
    </row>
    <row r="39" spans="1:21" ht="12.75">
      <c r="A39" s="391">
        <f t="shared" si="9"/>
        <v>28</v>
      </c>
      <c r="B39" s="400">
        <f t="shared" si="11"/>
        <v>2022</v>
      </c>
      <c r="C39" s="415">
        <f t="shared" si="10"/>
        <v>0</v>
      </c>
      <c r="D39" s="415">
        <f t="shared" si="1"/>
        <v>0</v>
      </c>
      <c r="E39" s="415">
        <f t="shared" si="2"/>
        <v>0</v>
      </c>
      <c r="F39" s="414">
        <f t="shared" si="3"/>
        <v>2022</v>
      </c>
      <c r="G39" s="449"/>
      <c r="H39" s="406">
        <v>0</v>
      </c>
      <c r="I39" s="292">
        <f t="shared" si="4"/>
        <v>0</v>
      </c>
      <c r="J39" s="449"/>
      <c r="K39" s="406">
        <v>0</v>
      </c>
      <c r="L39" s="292">
        <f t="shared" si="5"/>
        <v>0</v>
      </c>
      <c r="M39" s="449"/>
      <c r="N39" s="406">
        <v>0</v>
      </c>
      <c r="O39" s="292">
        <f t="shared" si="6"/>
        <v>0</v>
      </c>
      <c r="P39" s="449"/>
      <c r="Q39" s="406">
        <v>0</v>
      </c>
      <c r="R39" s="292">
        <f t="shared" si="7"/>
        <v>0</v>
      </c>
      <c r="S39" s="449"/>
      <c r="T39" s="406">
        <v>0</v>
      </c>
      <c r="U39" s="452">
        <f t="shared" si="8"/>
        <v>0</v>
      </c>
    </row>
    <row r="40" spans="1:21" ht="12.75">
      <c r="A40" s="391">
        <f t="shared" si="9"/>
        <v>29</v>
      </c>
      <c r="B40" s="400">
        <f t="shared" si="11"/>
        <v>2023</v>
      </c>
      <c r="C40" s="415">
        <f t="shared" si="10"/>
        <v>0</v>
      </c>
      <c r="D40" s="415">
        <f t="shared" si="1"/>
        <v>0</v>
      </c>
      <c r="E40" s="415">
        <f t="shared" si="2"/>
        <v>0</v>
      </c>
      <c r="F40" s="414">
        <f t="shared" si="3"/>
        <v>2023</v>
      </c>
      <c r="G40" s="449"/>
      <c r="H40" s="406">
        <v>0</v>
      </c>
      <c r="I40" s="292">
        <f t="shared" si="4"/>
        <v>0</v>
      </c>
      <c r="J40" s="449"/>
      <c r="K40" s="406">
        <v>0</v>
      </c>
      <c r="L40" s="292">
        <f t="shared" si="5"/>
        <v>0</v>
      </c>
      <c r="M40" s="449"/>
      <c r="N40" s="406">
        <v>0</v>
      </c>
      <c r="O40" s="292">
        <f t="shared" si="6"/>
        <v>0</v>
      </c>
      <c r="P40" s="449"/>
      <c r="Q40" s="406">
        <v>0</v>
      </c>
      <c r="R40" s="292">
        <f t="shared" si="7"/>
        <v>0</v>
      </c>
      <c r="S40" s="449"/>
      <c r="T40" s="406">
        <v>0</v>
      </c>
      <c r="U40" s="452">
        <f t="shared" si="8"/>
        <v>0</v>
      </c>
    </row>
    <row r="41" spans="1:21" ht="12.75">
      <c r="A41" s="391">
        <f t="shared" si="9"/>
        <v>30</v>
      </c>
      <c r="B41" s="400">
        <f t="shared" si="11"/>
        <v>2024</v>
      </c>
      <c r="C41" s="415">
        <f t="shared" si="10"/>
        <v>0</v>
      </c>
      <c r="D41" s="415">
        <f t="shared" si="1"/>
        <v>0</v>
      </c>
      <c r="E41" s="415">
        <f t="shared" si="2"/>
        <v>0</v>
      </c>
      <c r="F41" s="414">
        <f t="shared" si="3"/>
        <v>2024</v>
      </c>
      <c r="G41" s="449"/>
      <c r="H41" s="406">
        <v>0</v>
      </c>
      <c r="I41" s="292">
        <f t="shared" si="4"/>
        <v>0</v>
      </c>
      <c r="J41" s="449"/>
      <c r="K41" s="406">
        <v>0</v>
      </c>
      <c r="L41" s="292">
        <f t="shared" si="5"/>
        <v>0</v>
      </c>
      <c r="M41" s="449"/>
      <c r="N41" s="406">
        <v>0</v>
      </c>
      <c r="O41" s="292">
        <f t="shared" si="6"/>
        <v>0</v>
      </c>
      <c r="P41" s="449"/>
      <c r="Q41" s="406">
        <v>0</v>
      </c>
      <c r="R41" s="292">
        <f t="shared" si="7"/>
        <v>0</v>
      </c>
      <c r="S41" s="449"/>
      <c r="T41" s="406">
        <v>0</v>
      </c>
      <c r="U41" s="452">
        <f t="shared" si="8"/>
        <v>0</v>
      </c>
    </row>
    <row r="42" spans="1:21" ht="12.75">
      <c r="A42" s="391">
        <f t="shared" si="9"/>
        <v>31</v>
      </c>
      <c r="B42" s="400">
        <f t="shared" si="11"/>
        <v>2025</v>
      </c>
      <c r="C42" s="415">
        <f t="shared" si="10"/>
        <v>0</v>
      </c>
      <c r="D42" s="415">
        <f t="shared" si="1"/>
        <v>0</v>
      </c>
      <c r="E42" s="415">
        <f t="shared" si="2"/>
        <v>0</v>
      </c>
      <c r="F42" s="414">
        <f t="shared" si="3"/>
        <v>2025</v>
      </c>
      <c r="G42" s="449"/>
      <c r="H42" s="406">
        <v>0</v>
      </c>
      <c r="I42" s="292">
        <f t="shared" si="4"/>
        <v>0</v>
      </c>
      <c r="J42" s="449"/>
      <c r="K42" s="406">
        <v>0</v>
      </c>
      <c r="L42" s="292">
        <f t="shared" si="5"/>
        <v>0</v>
      </c>
      <c r="M42" s="449"/>
      <c r="N42" s="406">
        <v>0</v>
      </c>
      <c r="O42" s="292">
        <f t="shared" si="6"/>
        <v>0</v>
      </c>
      <c r="P42" s="449"/>
      <c r="Q42" s="406">
        <v>0</v>
      </c>
      <c r="R42" s="292">
        <f t="shared" si="7"/>
        <v>0</v>
      </c>
      <c r="S42" s="449"/>
      <c r="T42" s="406">
        <v>0</v>
      </c>
      <c r="U42" s="452">
        <f t="shared" si="8"/>
        <v>0</v>
      </c>
    </row>
    <row r="43" spans="1:21" ht="12.75">
      <c r="A43" s="391">
        <f t="shared" si="9"/>
        <v>32</v>
      </c>
      <c r="B43" s="400">
        <f t="shared" si="11"/>
        <v>2026</v>
      </c>
      <c r="C43" s="415">
        <f t="shared" si="10"/>
        <v>0</v>
      </c>
      <c r="D43" s="415">
        <f t="shared" si="1"/>
        <v>0</v>
      </c>
      <c r="E43" s="415">
        <f t="shared" si="2"/>
        <v>0</v>
      </c>
      <c r="F43" s="414">
        <f t="shared" si="3"/>
        <v>2026</v>
      </c>
      <c r="G43" s="449"/>
      <c r="H43" s="406">
        <v>0</v>
      </c>
      <c r="I43" s="292">
        <f t="shared" si="4"/>
        <v>0</v>
      </c>
      <c r="J43" s="449"/>
      <c r="K43" s="406">
        <v>0</v>
      </c>
      <c r="L43" s="292">
        <f t="shared" si="5"/>
        <v>0</v>
      </c>
      <c r="M43" s="449"/>
      <c r="N43" s="406">
        <v>0</v>
      </c>
      <c r="O43" s="292">
        <f t="shared" si="6"/>
        <v>0</v>
      </c>
      <c r="P43" s="449"/>
      <c r="Q43" s="406">
        <v>0</v>
      </c>
      <c r="R43" s="292">
        <f t="shared" si="7"/>
        <v>0</v>
      </c>
      <c r="S43" s="449"/>
      <c r="T43" s="406">
        <v>0</v>
      </c>
      <c r="U43" s="452">
        <f t="shared" si="8"/>
        <v>0</v>
      </c>
    </row>
    <row r="44" spans="1:21" ht="12.75">
      <c r="A44" s="391">
        <f t="shared" si="9"/>
        <v>33</v>
      </c>
      <c r="B44" s="400">
        <f t="shared" si="11"/>
        <v>2027</v>
      </c>
      <c r="C44" s="415">
        <f t="shared" si="10"/>
        <v>0</v>
      </c>
      <c r="D44" s="415">
        <f t="shared" si="1"/>
        <v>0</v>
      </c>
      <c r="E44" s="415">
        <f t="shared" si="2"/>
        <v>0</v>
      </c>
      <c r="F44" s="414">
        <f t="shared" si="3"/>
        <v>2027</v>
      </c>
      <c r="G44" s="449"/>
      <c r="H44" s="406">
        <v>0</v>
      </c>
      <c r="I44" s="292">
        <f t="shared" si="4"/>
        <v>0</v>
      </c>
      <c r="J44" s="449"/>
      <c r="K44" s="406">
        <v>0</v>
      </c>
      <c r="L44" s="292">
        <f t="shared" si="5"/>
        <v>0</v>
      </c>
      <c r="M44" s="449"/>
      <c r="N44" s="406">
        <v>0</v>
      </c>
      <c r="O44" s="292">
        <f t="shared" si="6"/>
        <v>0</v>
      </c>
      <c r="P44" s="449"/>
      <c r="Q44" s="406">
        <v>0</v>
      </c>
      <c r="R44" s="292">
        <f t="shared" si="7"/>
        <v>0</v>
      </c>
      <c r="S44" s="449"/>
      <c r="T44" s="406">
        <v>0</v>
      </c>
      <c r="U44" s="452">
        <f t="shared" si="8"/>
        <v>0</v>
      </c>
    </row>
    <row r="45" spans="1:21" ht="12.75">
      <c r="A45" s="391">
        <f t="shared" si="9"/>
        <v>34</v>
      </c>
      <c r="B45" s="400">
        <f t="shared" si="11"/>
        <v>2028</v>
      </c>
      <c r="C45" s="415">
        <f t="shared" si="10"/>
        <v>0</v>
      </c>
      <c r="D45" s="415">
        <f t="shared" si="1"/>
        <v>0</v>
      </c>
      <c r="E45" s="415">
        <f t="shared" si="2"/>
        <v>0</v>
      </c>
      <c r="F45" s="414">
        <f t="shared" si="3"/>
        <v>2028</v>
      </c>
      <c r="G45" s="449"/>
      <c r="H45" s="406">
        <v>0</v>
      </c>
      <c r="I45" s="292">
        <f t="shared" si="4"/>
        <v>0</v>
      </c>
      <c r="J45" s="449"/>
      <c r="K45" s="406">
        <v>0</v>
      </c>
      <c r="L45" s="292">
        <f t="shared" si="5"/>
        <v>0</v>
      </c>
      <c r="M45" s="449"/>
      <c r="N45" s="406">
        <v>0</v>
      </c>
      <c r="O45" s="292">
        <f t="shared" si="6"/>
        <v>0</v>
      </c>
      <c r="P45" s="449"/>
      <c r="Q45" s="406">
        <v>0</v>
      </c>
      <c r="R45" s="292">
        <f t="shared" si="7"/>
        <v>0</v>
      </c>
      <c r="S45" s="449"/>
      <c r="T45" s="406">
        <v>0</v>
      </c>
      <c r="U45" s="452">
        <f t="shared" si="8"/>
        <v>0</v>
      </c>
    </row>
    <row r="46" spans="1:21" ht="12.75">
      <c r="A46" s="391">
        <f t="shared" si="9"/>
        <v>35</v>
      </c>
      <c r="B46" s="400">
        <f t="shared" si="11"/>
        <v>2029</v>
      </c>
      <c r="C46" s="415">
        <f t="shared" si="10"/>
        <v>0</v>
      </c>
      <c r="D46" s="415">
        <f t="shared" si="1"/>
        <v>0</v>
      </c>
      <c r="E46" s="415">
        <f t="shared" si="2"/>
        <v>0</v>
      </c>
      <c r="F46" s="414">
        <f t="shared" si="3"/>
        <v>2029</v>
      </c>
      <c r="G46" s="449"/>
      <c r="H46" s="406">
        <v>0</v>
      </c>
      <c r="I46" s="292">
        <f t="shared" si="4"/>
        <v>0</v>
      </c>
      <c r="J46" s="449"/>
      <c r="K46" s="406">
        <v>0</v>
      </c>
      <c r="L46" s="292">
        <f t="shared" si="5"/>
        <v>0</v>
      </c>
      <c r="M46" s="449"/>
      <c r="N46" s="406">
        <v>0</v>
      </c>
      <c r="O46" s="292">
        <f t="shared" si="6"/>
        <v>0</v>
      </c>
      <c r="P46" s="449"/>
      <c r="Q46" s="406">
        <v>0</v>
      </c>
      <c r="R46" s="292">
        <f t="shared" si="7"/>
        <v>0</v>
      </c>
      <c r="S46" s="449"/>
      <c r="T46" s="406">
        <v>0</v>
      </c>
      <c r="U46" s="452">
        <f t="shared" si="8"/>
        <v>0</v>
      </c>
    </row>
    <row r="47" spans="1:21" ht="12.75">
      <c r="A47" s="391">
        <f t="shared" si="9"/>
        <v>36</v>
      </c>
      <c r="B47" s="400">
        <f t="shared" si="11"/>
        <v>2030</v>
      </c>
      <c r="C47" s="415">
        <f t="shared" si="10"/>
        <v>0</v>
      </c>
      <c r="D47" s="415">
        <f t="shared" si="1"/>
        <v>0</v>
      </c>
      <c r="E47" s="415">
        <f t="shared" si="2"/>
        <v>0</v>
      </c>
      <c r="F47" s="414">
        <f t="shared" si="3"/>
        <v>2030</v>
      </c>
      <c r="G47" s="449"/>
      <c r="H47" s="406">
        <v>0</v>
      </c>
      <c r="I47" s="292">
        <f t="shared" si="4"/>
        <v>0</v>
      </c>
      <c r="J47" s="449"/>
      <c r="K47" s="406">
        <v>0</v>
      </c>
      <c r="L47" s="292">
        <f t="shared" si="5"/>
        <v>0</v>
      </c>
      <c r="M47" s="449"/>
      <c r="N47" s="406">
        <v>0</v>
      </c>
      <c r="O47" s="292">
        <f t="shared" si="6"/>
        <v>0</v>
      </c>
      <c r="P47" s="449"/>
      <c r="Q47" s="406">
        <v>0</v>
      </c>
      <c r="R47" s="292">
        <f t="shared" si="7"/>
        <v>0</v>
      </c>
      <c r="S47" s="449"/>
      <c r="T47" s="406">
        <v>0</v>
      </c>
      <c r="U47" s="452">
        <f t="shared" si="8"/>
        <v>0</v>
      </c>
    </row>
    <row r="48" spans="2:21" ht="12.75">
      <c r="B48" s="400"/>
      <c r="F48" s="414"/>
      <c r="G48" s="396"/>
      <c r="H48" s="397"/>
      <c r="I48" s="397"/>
      <c r="J48" s="396"/>
      <c r="K48" s="397"/>
      <c r="L48" s="397"/>
      <c r="M48" s="396"/>
      <c r="N48" s="397"/>
      <c r="O48" s="453"/>
      <c r="P48" s="396"/>
      <c r="Q48" s="397"/>
      <c r="R48" s="453"/>
      <c r="S48" s="396"/>
      <c r="T48" s="397"/>
      <c r="U48" s="453"/>
    </row>
    <row r="49" spans="6:9" ht="12.75">
      <c r="F49" s="390"/>
      <c r="G49" s="391"/>
      <c r="H49" s="391"/>
      <c r="I49" s="391"/>
    </row>
    <row r="50" spans="6:9" ht="12.75">
      <c r="F50" s="390"/>
      <c r="G50" s="391"/>
      <c r="H50" s="391"/>
      <c r="I50" s="391"/>
    </row>
    <row r="51" spans="6:9" ht="12.75">
      <c r="F51" s="390"/>
      <c r="G51" s="391"/>
      <c r="H51" s="391"/>
      <c r="I51" s="391"/>
    </row>
    <row r="52" spans="3:9" ht="15">
      <c r="C52" s="29"/>
      <c r="F52" s="390"/>
      <c r="G52" s="391"/>
      <c r="H52" s="391"/>
      <c r="I52" s="391"/>
    </row>
    <row r="53" spans="6:9" ht="12.75">
      <c r="F53" s="390"/>
      <c r="G53" s="391"/>
      <c r="H53" s="391"/>
      <c r="I53" s="391"/>
    </row>
    <row r="54" spans="2:9" ht="15">
      <c r="B54" s="382" t="s">
        <v>1562</v>
      </c>
      <c r="C54" s="448" t="s">
        <v>275</v>
      </c>
      <c r="F54" s="390"/>
      <c r="G54" s="391"/>
      <c r="H54" s="391"/>
      <c r="I54" s="391"/>
    </row>
    <row r="55" spans="3:9" ht="12.75">
      <c r="C55" s="448" t="s">
        <v>1081</v>
      </c>
      <c r="F55" s="390"/>
      <c r="G55" s="391"/>
      <c r="H55" s="391"/>
      <c r="I55" s="391"/>
    </row>
    <row r="56" spans="3:9" ht="12.75">
      <c r="C56" s="448" t="s">
        <v>1054</v>
      </c>
      <c r="F56" s="390"/>
      <c r="G56" s="391"/>
      <c r="H56" s="391"/>
      <c r="I56" s="391"/>
    </row>
    <row r="57" spans="3:9" ht="12.75">
      <c r="C57" s="448" t="s">
        <v>1055</v>
      </c>
      <c r="F57" s="390"/>
      <c r="G57" s="391"/>
      <c r="H57" s="391"/>
      <c r="I57" s="391"/>
    </row>
    <row r="58" spans="6:9" ht="12.75">
      <c r="F58" s="390"/>
      <c r="G58" s="391"/>
      <c r="H58" s="391"/>
      <c r="I58" s="391"/>
    </row>
    <row r="59" spans="6:9" ht="12.75">
      <c r="F59" s="390"/>
      <c r="G59" s="391"/>
      <c r="H59" s="391"/>
      <c r="I59" s="391"/>
    </row>
    <row r="60" spans="6:9" ht="12.75">
      <c r="F60" s="390"/>
      <c r="G60" s="391"/>
      <c r="H60" s="391"/>
      <c r="I60" s="391"/>
    </row>
    <row r="61" spans="6:9" ht="12.75">
      <c r="F61" s="390"/>
      <c r="G61" s="391"/>
      <c r="H61" s="391"/>
      <c r="I61" s="391"/>
    </row>
    <row r="62" spans="6:9" ht="12.75">
      <c r="F62" s="390"/>
      <c r="G62" s="391"/>
      <c r="H62" s="391"/>
      <c r="I62" s="391"/>
    </row>
    <row r="63" spans="6:9" ht="12.75">
      <c r="F63" s="390"/>
      <c r="G63" s="391"/>
      <c r="H63" s="391"/>
      <c r="I63" s="391"/>
    </row>
  </sheetData>
  <sheetProtection/>
  <mergeCells count="1">
    <mergeCell ref="C19:E19"/>
  </mergeCells>
  <printOptions/>
  <pageMargins left="0.29" right="0.46" top="1" bottom="1" header="0.5" footer="0.5"/>
  <pageSetup fitToHeight="1" fitToWidth="1" horizontalDpi="600" verticalDpi="600" orientation="landscape" scale="44" r:id="rId1"/>
  <headerFooter alignWithMargins="0">
    <oddFooter>&amp;L&amp;D&amp;R&amp;F</oddFooter>
  </headerFooter>
</worksheet>
</file>

<file path=xl/worksheets/sheet16.xml><?xml version="1.0" encoding="utf-8"?>
<worksheet xmlns="http://schemas.openxmlformats.org/spreadsheetml/2006/main" xmlns:r="http://schemas.openxmlformats.org/officeDocument/2006/relationships">
  <sheetPr>
    <tabColor indexed="22"/>
    <pageSetUpPr fitToPage="1"/>
  </sheetPr>
  <dimension ref="A1:L268"/>
  <sheetViews>
    <sheetView zoomScalePageLayoutView="0" workbookViewId="0" topLeftCell="A16">
      <selection activeCell="I43" sqref="I43"/>
    </sheetView>
  </sheetViews>
  <sheetFormatPr defaultColWidth="7.10546875" defaultRowHeight="15"/>
  <cols>
    <col min="1" max="1" width="5.3359375" style="332" customWidth="1"/>
    <col min="2" max="2" width="5.5546875" style="332" customWidth="1"/>
    <col min="3" max="3" width="5.10546875" style="332" customWidth="1"/>
    <col min="4" max="4" width="12.6640625" style="333" customWidth="1"/>
    <col min="5" max="5" width="14.4453125" style="333" customWidth="1"/>
    <col min="6" max="6" width="12.21484375" style="333" customWidth="1"/>
    <col min="7" max="7" width="13.4453125" style="333" bestFit="1" customWidth="1"/>
    <col min="8" max="8" width="19.21484375" style="333" customWidth="1"/>
    <col min="9" max="9" width="13.3359375" style="333" customWidth="1"/>
    <col min="10" max="10" width="12.99609375" style="333" customWidth="1"/>
    <col min="11" max="11" width="12.99609375" style="333" bestFit="1" customWidth="1"/>
    <col min="12" max="13" width="12.21484375" style="333" customWidth="1"/>
    <col min="14" max="14" width="11.4453125" style="333" bestFit="1" customWidth="1"/>
    <col min="15" max="16384" width="7.10546875" style="333" customWidth="1"/>
  </cols>
  <sheetData>
    <row r="1" ht="20.25">
      <c r="A1" s="96" t="s">
        <v>276</v>
      </c>
    </row>
    <row r="2" ht="15">
      <c r="A2" s="825"/>
    </row>
    <row r="4" ht="12.75">
      <c r="A4" s="331" t="s">
        <v>132</v>
      </c>
    </row>
    <row r="5" spans="1:5" ht="12.75">
      <c r="A5" s="332" t="s">
        <v>1708</v>
      </c>
      <c r="B5" s="332" t="s">
        <v>1488</v>
      </c>
      <c r="C5" s="332" t="s">
        <v>845</v>
      </c>
      <c r="D5" s="332" t="s">
        <v>1709</v>
      </c>
      <c r="E5" s="332"/>
    </row>
    <row r="6" spans="1:5" ht="12.75">
      <c r="A6" s="332">
        <v>1</v>
      </c>
      <c r="B6" s="332" t="s">
        <v>393</v>
      </c>
      <c r="C6" s="332" t="s">
        <v>126</v>
      </c>
      <c r="D6" s="334" t="s">
        <v>124</v>
      </c>
      <c r="E6" s="334"/>
    </row>
    <row r="7" spans="1:5" ht="12.75">
      <c r="A7" s="332">
        <f>A6+1</f>
        <v>2</v>
      </c>
      <c r="B7" s="332" t="s">
        <v>393</v>
      </c>
      <c r="C7" s="332" t="s">
        <v>126</v>
      </c>
      <c r="D7" s="334" t="s">
        <v>127</v>
      </c>
      <c r="E7" s="334"/>
    </row>
    <row r="8" spans="1:5" ht="12.75">
      <c r="A8" s="332">
        <f aca="true" t="shared" si="0" ref="A8:A16">A7+1</f>
        <v>3</v>
      </c>
      <c r="B8" s="335" t="s">
        <v>385</v>
      </c>
      <c r="C8" s="332" t="s">
        <v>123</v>
      </c>
      <c r="D8" s="334" t="s">
        <v>128</v>
      </c>
      <c r="E8" s="334"/>
    </row>
    <row r="9" spans="1:5" ht="12.75">
      <c r="A9" s="332">
        <f t="shared" si="0"/>
        <v>4</v>
      </c>
      <c r="B9" s="332" t="str">
        <f>+B6</f>
        <v>Oct</v>
      </c>
      <c r="C9" s="332" t="s">
        <v>123</v>
      </c>
      <c r="D9" s="334" t="s">
        <v>125</v>
      </c>
      <c r="E9" s="334"/>
    </row>
    <row r="10" spans="1:5" ht="12.75">
      <c r="A10" s="332">
        <f t="shared" si="0"/>
        <v>5</v>
      </c>
      <c r="B10" s="332" t="s">
        <v>393</v>
      </c>
      <c r="C10" s="332" t="str">
        <f>C9</f>
        <v>Year 1</v>
      </c>
      <c r="D10" s="334" t="s">
        <v>129</v>
      </c>
      <c r="E10" s="334"/>
    </row>
    <row r="11" spans="1:5" ht="12.75">
      <c r="A11" s="332">
        <f t="shared" si="0"/>
        <v>6</v>
      </c>
      <c r="B11" s="332" t="s">
        <v>385</v>
      </c>
      <c r="C11" s="332" t="s">
        <v>1710</v>
      </c>
      <c r="D11" s="334" t="s">
        <v>130</v>
      </c>
      <c r="E11" s="334"/>
    </row>
    <row r="12" spans="1:11" ht="12.75">
      <c r="A12" s="332">
        <f t="shared" si="0"/>
        <v>7</v>
      </c>
      <c r="B12" s="332" t="s">
        <v>389</v>
      </c>
      <c r="C12" s="332" t="s">
        <v>1710</v>
      </c>
      <c r="D12" s="334" t="s">
        <v>1406</v>
      </c>
      <c r="E12" s="336"/>
      <c r="F12" s="1058"/>
      <c r="G12" s="1058"/>
      <c r="H12" s="1058"/>
      <c r="I12" s="1058"/>
      <c r="J12" s="1058"/>
      <c r="K12" s="1058"/>
    </row>
    <row r="13" spans="1:11" ht="12.75">
      <c r="A13" s="332">
        <f t="shared" si="0"/>
        <v>8</v>
      </c>
      <c r="B13" s="332" t="s">
        <v>389</v>
      </c>
      <c r="C13" s="332" t="s">
        <v>1710</v>
      </c>
      <c r="D13" s="334" t="s">
        <v>1741</v>
      </c>
      <c r="E13" s="334"/>
      <c r="F13" s="1255"/>
      <c r="G13" s="1255"/>
      <c r="H13" s="1255"/>
      <c r="I13" s="1255"/>
      <c r="J13" s="1255"/>
      <c r="K13" s="1255"/>
    </row>
    <row r="14" spans="1:11" ht="12.75">
      <c r="A14" s="332">
        <f t="shared" si="0"/>
        <v>9</v>
      </c>
      <c r="B14" s="332" t="s">
        <v>389</v>
      </c>
      <c r="C14" s="332" t="s">
        <v>1710</v>
      </c>
      <c r="D14" s="334" t="s">
        <v>596</v>
      </c>
      <c r="E14" s="1255"/>
      <c r="F14" s="1255"/>
      <c r="G14" s="1255"/>
      <c r="H14" s="1255"/>
      <c r="I14" s="1255"/>
      <c r="J14" s="1255"/>
      <c r="K14" s="1255"/>
    </row>
    <row r="15" spans="1:5" ht="12.75">
      <c r="A15" s="332">
        <f t="shared" si="0"/>
        <v>10</v>
      </c>
      <c r="B15" s="332" t="s">
        <v>393</v>
      </c>
      <c r="C15" s="332" t="s">
        <v>1710</v>
      </c>
      <c r="D15" s="334" t="s">
        <v>131</v>
      </c>
      <c r="E15" s="334"/>
    </row>
    <row r="16" spans="1:5" ht="12.75">
      <c r="A16" s="332">
        <f t="shared" si="0"/>
        <v>11</v>
      </c>
      <c r="B16" s="332" t="s">
        <v>393</v>
      </c>
      <c r="C16" s="332" t="s">
        <v>1710</v>
      </c>
      <c r="D16" s="334" t="s">
        <v>595</v>
      </c>
      <c r="E16" s="334"/>
    </row>
    <row r="17" spans="1:5" ht="12.75">
      <c r="A17" s="333"/>
      <c r="B17" s="333"/>
      <c r="C17" s="333"/>
      <c r="E17" s="334"/>
    </row>
    <row r="18" spans="1:5" ht="12.75">
      <c r="A18" s="333"/>
      <c r="B18" s="333"/>
      <c r="C18" s="333"/>
      <c r="E18" s="334"/>
    </row>
    <row r="19" spans="2:5" ht="12.75">
      <c r="B19" s="335"/>
      <c r="D19" s="334"/>
      <c r="E19" s="334"/>
    </row>
    <row r="20" ht="12.75">
      <c r="A20" s="331" t="s">
        <v>121</v>
      </c>
    </row>
    <row r="21" spans="1:5" ht="12.75">
      <c r="A21" s="331"/>
      <c r="D21" s="338"/>
      <c r="E21" s="338"/>
    </row>
    <row r="22" spans="1:4" ht="12.75">
      <c r="A22" s="332">
        <f>+A6</f>
        <v>1</v>
      </c>
      <c r="B22" s="332" t="str">
        <f>+B6</f>
        <v>Oct</v>
      </c>
      <c r="C22" s="332" t="str">
        <f>+C6</f>
        <v>Year 0</v>
      </c>
      <c r="D22" s="333" t="str">
        <f>+D6</f>
        <v>Westar populates the formula rate using projected costs for Year 1</v>
      </c>
    </row>
    <row r="23" spans="4:7" ht="12.75">
      <c r="D23" s="349">
        <f>'Projected Net Rev Req'!J24</f>
        <v>-25108822.51433377</v>
      </c>
      <c r="E23" s="333" t="s">
        <v>122</v>
      </c>
      <c r="G23" s="334"/>
    </row>
    <row r="25" spans="1:5" ht="12.75">
      <c r="A25" s="332">
        <f>A7</f>
        <v>2</v>
      </c>
      <c r="B25" s="332" t="str">
        <f>B7</f>
        <v>Oct</v>
      </c>
      <c r="C25" s="332" t="str">
        <f>C7</f>
        <v>Year 0</v>
      </c>
      <c r="D25" s="334" t="str">
        <f>D7</f>
        <v>Post results of Step 1</v>
      </c>
      <c r="E25" s="334"/>
    </row>
    <row r="26" spans="2:9" ht="12.75">
      <c r="B26" s="333"/>
      <c r="H26" s="339"/>
      <c r="I26" s="339"/>
    </row>
    <row r="27" spans="1:5" ht="12.75">
      <c r="A27" s="332">
        <f>A8</f>
        <v>3</v>
      </c>
      <c r="B27" s="332" t="str">
        <f>B8</f>
        <v>Jan</v>
      </c>
      <c r="C27" s="332" t="str">
        <f>C8</f>
        <v>Year 1</v>
      </c>
      <c r="D27" s="334" t="str">
        <f>D8</f>
        <v>Results of Step 2 go into effect.</v>
      </c>
      <c r="E27" s="334"/>
    </row>
    <row r="28" spans="4:9" ht="12.75">
      <c r="D28" s="340"/>
      <c r="E28" s="340"/>
      <c r="F28" s="332"/>
      <c r="G28" s="339"/>
      <c r="H28" s="332"/>
      <c r="I28" s="339"/>
    </row>
    <row r="29" spans="1:4" ht="12.75">
      <c r="A29" s="332">
        <f>A9</f>
        <v>4</v>
      </c>
      <c r="B29" s="332" t="str">
        <f>B9</f>
        <v>Oct</v>
      </c>
      <c r="C29" s="334" t="str">
        <f>C9</f>
        <v>Year 1</v>
      </c>
      <c r="D29" s="334" t="str">
        <f>D9</f>
        <v>Westar populates the formula rate using projected costs for Year 2</v>
      </c>
    </row>
    <row r="30" spans="4:7" ht="12.75">
      <c r="D30" s="340">
        <v>0</v>
      </c>
      <c r="E30" s="255"/>
      <c r="F30" s="334"/>
      <c r="G30" s="340"/>
    </row>
    <row r="31" spans="4:5" ht="12.75">
      <c r="D31" s="255"/>
      <c r="E31" s="255"/>
    </row>
    <row r="32" spans="1:5" ht="12.75">
      <c r="A32" s="332">
        <f>+A10</f>
        <v>5</v>
      </c>
      <c r="B32" s="332" t="str">
        <f>+B10</f>
        <v>Oct</v>
      </c>
      <c r="C32" s="332" t="str">
        <f>+C10</f>
        <v>Year 1</v>
      </c>
      <c r="D32" s="334" t="str">
        <f>+D10</f>
        <v>Post results of Step 4</v>
      </c>
      <c r="E32" s="332"/>
    </row>
    <row r="33" spans="1:12" ht="12.75">
      <c r="A33" s="341"/>
      <c r="B33" s="341"/>
      <c r="C33" s="341"/>
      <c r="D33" s="342"/>
      <c r="E33" s="342"/>
      <c r="F33" s="342"/>
      <c r="G33" s="342"/>
      <c r="H33" s="342"/>
      <c r="I33" s="342"/>
      <c r="J33" s="342"/>
      <c r="K33" s="342"/>
      <c r="L33" s="342"/>
    </row>
    <row r="34" spans="1:5" ht="12.75">
      <c r="A34" s="332">
        <f>A11</f>
        <v>6</v>
      </c>
      <c r="B34" s="332" t="str">
        <f>B11</f>
        <v>Jan</v>
      </c>
      <c r="C34" s="332" t="str">
        <f>C11</f>
        <v>Year 2</v>
      </c>
      <c r="D34" s="334" t="str">
        <f>D11</f>
        <v>Results of Step 5 go into effect.</v>
      </c>
      <c r="E34" s="334"/>
    </row>
    <row r="35" spans="4:5" ht="12.75">
      <c r="D35" s="343"/>
      <c r="E35" s="343"/>
    </row>
    <row r="36" spans="1:12" ht="12.75">
      <c r="A36" s="332">
        <f>+A12</f>
        <v>7</v>
      </c>
      <c r="B36" s="332" t="str">
        <f>+B12</f>
        <v>Jun</v>
      </c>
      <c r="C36" s="332" t="str">
        <f>+C12</f>
        <v>Year 2</v>
      </c>
      <c r="D36" s="334" t="str">
        <f>+D12</f>
        <v>Westar populates the formula rate using actual costs for Year 1</v>
      </c>
      <c r="E36" s="344"/>
      <c r="F36" s="344"/>
      <c r="G36" s="344"/>
      <c r="H36" s="344"/>
      <c r="I36" s="344"/>
      <c r="J36" s="344"/>
      <c r="K36" s="344"/>
      <c r="L36" s="344"/>
    </row>
    <row r="37" spans="4:12" ht="12.75">
      <c r="D37" s="344"/>
      <c r="E37" s="344"/>
      <c r="F37" s="344"/>
      <c r="G37" s="344"/>
      <c r="H37" s="344"/>
      <c r="I37" s="344"/>
      <c r="J37" s="344"/>
      <c r="K37" s="1080"/>
      <c r="L37" s="344"/>
    </row>
    <row r="38" spans="1:12" ht="12.75">
      <c r="A38" s="332">
        <f>A13</f>
        <v>8</v>
      </c>
      <c r="B38" s="332" t="str">
        <f>B13</f>
        <v>Jun</v>
      </c>
      <c r="C38" s="332" t="str">
        <f>C13</f>
        <v>Year 2</v>
      </c>
      <c r="D38" s="334" t="str">
        <f>D13</f>
        <v>Calculate  the difference between the formula rate calculated in Step 7 and Step 1</v>
      </c>
      <c r="E38" s="332"/>
      <c r="F38" s="332"/>
      <c r="G38" s="344"/>
      <c r="H38" s="344"/>
      <c r="I38" s="344"/>
      <c r="J38" s="344"/>
      <c r="K38" s="344"/>
      <c r="L38" s="344"/>
    </row>
    <row r="39" spans="4:12" ht="26.25" customHeight="1" thickBot="1">
      <c r="D39" s="344"/>
      <c r="E39" s="344"/>
      <c r="F39" s="344"/>
      <c r="H39" s="1256" t="s">
        <v>211</v>
      </c>
      <c r="I39" s="1256" t="s">
        <v>209</v>
      </c>
      <c r="J39" s="1256" t="s">
        <v>210</v>
      </c>
      <c r="K39" s="1256" t="s">
        <v>208</v>
      </c>
      <c r="L39" s="344"/>
    </row>
    <row r="40" spans="4:12" ht="12.75">
      <c r="D40" s="344"/>
      <c r="E40" s="344"/>
      <c r="F40" s="344"/>
      <c r="H40" s="1257" t="s">
        <v>1121</v>
      </c>
      <c r="I40" s="1257" t="s">
        <v>1122</v>
      </c>
      <c r="J40" s="1257" t="s">
        <v>1147</v>
      </c>
      <c r="K40" s="1257" t="s">
        <v>1148</v>
      </c>
      <c r="L40" s="344"/>
    </row>
    <row r="41" spans="1:11" ht="12.75" customHeight="1">
      <c r="A41" s="332" t="s">
        <v>263</v>
      </c>
      <c r="C41" s="333" t="s">
        <v>133</v>
      </c>
      <c r="E41" s="344"/>
      <c r="F41" s="345"/>
      <c r="H41" s="1258">
        <f>'Actual Net Rev Req'!J27</f>
        <v>86451170.57018745</v>
      </c>
      <c r="I41" s="1259">
        <f>'Actual Net Rev Req'!J24</f>
        <v>5510696</v>
      </c>
      <c r="J41" s="1259">
        <f>'Actual Net Rev Req'!J25</f>
        <v>0</v>
      </c>
      <c r="K41" s="1260">
        <f>SUM(H41:J41)</f>
        <v>91961866.57018745</v>
      </c>
    </row>
    <row r="42" spans="1:11" ht="12.75">
      <c r="A42" s="332" t="s">
        <v>264</v>
      </c>
      <c r="C42" s="333" t="s">
        <v>1652</v>
      </c>
      <c r="E42" s="337"/>
      <c r="F42" s="350"/>
      <c r="H42" s="1261">
        <v>83718413</v>
      </c>
      <c r="I42" s="1262">
        <v>9883402</v>
      </c>
      <c r="J42" s="1262">
        <v>0</v>
      </c>
      <c r="K42" s="1260">
        <f>SUM(H42:J42)</f>
        <v>93601815</v>
      </c>
    </row>
    <row r="43" spans="1:11" ht="12.75">
      <c r="A43" s="332" t="s">
        <v>265</v>
      </c>
      <c r="C43" s="333" t="s">
        <v>324</v>
      </c>
      <c r="F43" s="255"/>
      <c r="H43" s="1263">
        <f>+H41-H42</f>
        <v>2732757.5701874495</v>
      </c>
      <c r="I43" s="1263">
        <f>+I41-I42</f>
        <v>-4372706</v>
      </c>
      <c r="J43" s="1263">
        <f>+J41-J42</f>
        <v>0</v>
      </c>
      <c r="K43" s="1263">
        <f>+K41-K42</f>
        <v>-1639948.4298125505</v>
      </c>
    </row>
    <row r="44" spans="6:9" ht="12.75">
      <c r="F44" s="255"/>
      <c r="I44" s="339"/>
    </row>
    <row r="45" spans="6:9" ht="12.75">
      <c r="F45" s="255"/>
      <c r="I45" s="339"/>
    </row>
    <row r="46" spans="1:12" ht="12.75">
      <c r="A46" s="332">
        <f>+A14</f>
        <v>9</v>
      </c>
      <c r="B46" s="332" t="str">
        <f>+B14</f>
        <v>Jun</v>
      </c>
      <c r="C46" s="332" t="str">
        <f>+C14</f>
        <v>Year 2</v>
      </c>
      <c r="D46" s="334" t="str">
        <f>+D14</f>
        <v>Post results from Step 7 and Step 8</v>
      </c>
      <c r="E46" s="344"/>
      <c r="F46" s="1058"/>
      <c r="G46" s="1058"/>
      <c r="H46" s="1058"/>
      <c r="I46" s="1058"/>
      <c r="J46" s="1058"/>
      <c r="K46" s="1058"/>
      <c r="L46" s="1058"/>
    </row>
    <row r="47" spans="4:12" ht="12.75">
      <c r="D47" s="1058"/>
      <c r="E47" s="1058"/>
      <c r="F47" s="1058"/>
      <c r="G47" s="1058"/>
      <c r="H47" s="1058"/>
      <c r="I47" s="1058"/>
      <c r="J47" s="1058"/>
      <c r="K47" s="1058"/>
      <c r="L47" s="1058"/>
    </row>
    <row r="48" spans="1:12" ht="12.75">
      <c r="A48" s="332">
        <f>A15</f>
        <v>10</v>
      </c>
      <c r="B48" s="332" t="str">
        <f>B15</f>
        <v>Oct</v>
      </c>
      <c r="C48" s="332" t="str">
        <f>C15</f>
        <v>Year 2</v>
      </c>
      <c r="D48" s="334" t="str">
        <f>D15</f>
        <v>Westar populates the formula rate using projected costs for Year 3, including true-up adjustment for Year 1</v>
      </c>
      <c r="E48" s="332"/>
      <c r="F48" s="1058"/>
      <c r="G48" s="1058"/>
      <c r="H48" s="1058"/>
      <c r="I48" s="1058"/>
      <c r="J48" s="1058"/>
      <c r="K48" s="1058"/>
      <c r="L48" s="1058"/>
    </row>
    <row r="49" spans="4:12" ht="12.75">
      <c r="D49" s="334"/>
      <c r="E49" s="332"/>
      <c r="F49" s="1058"/>
      <c r="G49" s="1058"/>
      <c r="H49" s="1058"/>
      <c r="I49" s="1058"/>
      <c r="J49" s="1058"/>
      <c r="K49" s="1058"/>
      <c r="L49" s="1058"/>
    </row>
    <row r="50" spans="2:12" ht="12.75">
      <c r="B50" s="331" t="s">
        <v>102</v>
      </c>
      <c r="D50" s="334"/>
      <c r="E50" s="332"/>
      <c r="F50" s="1058"/>
      <c r="G50" s="1058"/>
      <c r="H50" s="1058"/>
      <c r="I50" s="1058"/>
      <c r="J50" s="1058"/>
      <c r="K50" s="1058"/>
      <c r="L50" s="1058"/>
    </row>
    <row r="51" spans="4:12" ht="14.25" customHeight="1">
      <c r="D51" s="1061" t="s">
        <v>67</v>
      </c>
      <c r="E51" s="1062"/>
      <c r="F51" s="1063"/>
      <c r="G51" s="1058"/>
      <c r="H51" s="1264" t="s">
        <v>680</v>
      </c>
      <c r="I51" s="1265"/>
      <c r="J51" s="1265"/>
      <c r="K51" s="1265"/>
      <c r="L51" s="1058"/>
    </row>
    <row r="52" spans="1:12" ht="12.75">
      <c r="A52" s="332">
        <f>A48+1</f>
        <v>11</v>
      </c>
      <c r="D52" s="334" t="s">
        <v>103</v>
      </c>
      <c r="E52" s="332"/>
      <c r="F52" s="1058"/>
      <c r="H52" s="1266"/>
      <c r="I52" s="1267"/>
      <c r="J52" s="1267"/>
      <c r="K52" s="1267"/>
      <c r="L52" s="1058"/>
    </row>
    <row r="53" spans="1:12" ht="12.75">
      <c r="A53" s="332">
        <f>A52+1</f>
        <v>12</v>
      </c>
      <c r="D53" s="334" t="s">
        <v>657</v>
      </c>
      <c r="E53" s="332"/>
      <c r="F53" s="1058"/>
      <c r="H53" s="1266"/>
      <c r="I53" s="1267"/>
      <c r="J53" s="1267"/>
      <c r="K53" s="1267"/>
      <c r="L53" s="1058"/>
    </row>
    <row r="54" spans="1:12" ht="12.75">
      <c r="A54" s="332">
        <f>A53+1</f>
        <v>13</v>
      </c>
      <c r="D54" s="334" t="s">
        <v>104</v>
      </c>
      <c r="E54" s="332"/>
      <c r="F54" s="1058"/>
      <c r="H54" s="1266"/>
      <c r="I54" s="1267"/>
      <c r="J54" s="1267"/>
      <c r="K54" s="1267"/>
      <c r="L54" s="1058"/>
    </row>
    <row r="55" spans="1:12" ht="12.75">
      <c r="A55" s="332">
        <f>A54+1</f>
        <v>14</v>
      </c>
      <c r="D55" s="334" t="s">
        <v>679</v>
      </c>
      <c r="E55" s="332"/>
      <c r="F55" s="1255" t="s">
        <v>677</v>
      </c>
      <c r="H55" s="1268">
        <f>IF(H53*H54=0,0,H52/H53*H54/2)</f>
        <v>0</v>
      </c>
      <c r="I55" s="1058"/>
      <c r="J55" s="1058"/>
      <c r="K55" s="1058"/>
      <c r="L55" s="1058"/>
    </row>
    <row r="56" spans="4:12" ht="12.75">
      <c r="D56" s="334"/>
      <c r="E56" s="332"/>
      <c r="F56" s="1058"/>
      <c r="H56" s="1269"/>
      <c r="I56" s="1058"/>
      <c r="J56" s="1058"/>
      <c r="K56" s="1058"/>
      <c r="L56" s="1058"/>
    </row>
    <row r="57" spans="4:12" ht="12.75">
      <c r="D57" s="334"/>
      <c r="E57" s="332"/>
      <c r="F57" s="1058"/>
      <c r="H57" s="1269"/>
      <c r="I57" s="1058"/>
      <c r="J57" s="1058"/>
      <c r="K57" s="1058"/>
      <c r="L57" s="1058"/>
    </row>
    <row r="58" spans="4:12" ht="12.75">
      <c r="D58" s="1058"/>
      <c r="E58" s="1058"/>
      <c r="F58" s="1058"/>
      <c r="H58" s="1269"/>
      <c r="I58" s="1058"/>
      <c r="J58" s="1058"/>
      <c r="K58" s="1058"/>
      <c r="L58" s="1058"/>
    </row>
    <row r="59" spans="4:12" ht="12.75">
      <c r="D59" s="1064" t="s">
        <v>1069</v>
      </c>
      <c r="E59" s="1065"/>
      <c r="F59" s="1063"/>
      <c r="H59" s="1270"/>
      <c r="J59" s="1080"/>
      <c r="K59" s="1058"/>
      <c r="L59" s="1058"/>
    </row>
    <row r="60" spans="1:12" ht="12.75">
      <c r="A60" s="332">
        <f>A55+1</f>
        <v>15</v>
      </c>
      <c r="D60" s="1271" t="s">
        <v>82</v>
      </c>
      <c r="F60" s="1058"/>
      <c r="H60" s="1272"/>
      <c r="J60" s="1080"/>
      <c r="K60" s="1058"/>
      <c r="L60" s="1058"/>
    </row>
    <row r="61" spans="1:12" ht="12.75">
      <c r="A61" s="332">
        <f aca="true" t="shared" si="1" ref="A61:A68">A60+1</f>
        <v>16</v>
      </c>
      <c r="D61" s="1271" t="s">
        <v>83</v>
      </c>
      <c r="F61" s="1058"/>
      <c r="H61" s="1272"/>
      <c r="J61" s="1080"/>
      <c r="K61" s="1058"/>
      <c r="L61" s="1058"/>
    </row>
    <row r="62" spans="1:12" ht="12.75">
      <c r="A62" s="332">
        <f t="shared" si="1"/>
        <v>17</v>
      </c>
      <c r="D62" s="1271" t="s">
        <v>84</v>
      </c>
      <c r="F62" s="1058"/>
      <c r="H62" s="1272"/>
      <c r="J62" s="1080"/>
      <c r="K62" s="1058"/>
      <c r="L62" s="1058"/>
    </row>
    <row r="63" spans="1:12" ht="12.75">
      <c r="A63" s="332">
        <f t="shared" si="1"/>
        <v>18</v>
      </c>
      <c r="D63" s="1271" t="s">
        <v>85</v>
      </c>
      <c r="F63" s="1058"/>
      <c r="H63" s="1272"/>
      <c r="J63" s="1080"/>
      <c r="K63" s="1058"/>
      <c r="L63" s="1058"/>
    </row>
    <row r="64" spans="1:12" ht="12.75">
      <c r="A64" s="332">
        <f t="shared" si="1"/>
        <v>19</v>
      </c>
      <c r="D64" s="334" t="s">
        <v>319</v>
      </c>
      <c r="E64" s="1058"/>
      <c r="F64" s="1058"/>
      <c r="H64" s="1059"/>
      <c r="J64" s="1273"/>
      <c r="K64" s="1058"/>
      <c r="L64" s="1058"/>
    </row>
    <row r="65" spans="1:12" ht="12.75">
      <c r="A65" s="332">
        <f t="shared" si="1"/>
        <v>20</v>
      </c>
      <c r="D65" s="334" t="s">
        <v>320</v>
      </c>
      <c r="E65" s="1058"/>
      <c r="F65" s="1058"/>
      <c r="H65" s="1059"/>
      <c r="J65" s="1273"/>
      <c r="K65" s="1058"/>
      <c r="L65" s="1058"/>
    </row>
    <row r="66" spans="1:12" ht="12.75">
      <c r="A66" s="332">
        <f t="shared" si="1"/>
        <v>21</v>
      </c>
      <c r="D66" s="334" t="s">
        <v>321</v>
      </c>
      <c r="E66" s="1058"/>
      <c r="F66" s="1058"/>
      <c r="H66" s="1059"/>
      <c r="J66" s="1273"/>
      <c r="K66" s="1058"/>
      <c r="L66" s="1058"/>
    </row>
    <row r="67" spans="1:12" ht="12.75">
      <c r="A67" s="332">
        <f t="shared" si="1"/>
        <v>22</v>
      </c>
      <c r="D67" s="334" t="s">
        <v>322</v>
      </c>
      <c r="E67" s="1058"/>
      <c r="F67" s="1058"/>
      <c r="H67" s="1060"/>
      <c r="J67" s="1273"/>
      <c r="K67" s="1058"/>
      <c r="L67" s="1058"/>
    </row>
    <row r="68" spans="1:12" ht="12.75">
      <c r="A68" s="332">
        <f t="shared" si="1"/>
        <v>23</v>
      </c>
      <c r="D68" s="334" t="s">
        <v>68</v>
      </c>
      <c r="E68" s="1058"/>
      <c r="F68" s="1058" t="s">
        <v>69</v>
      </c>
      <c r="H68" s="1274">
        <f>IF(SUM(H60:H67)=0,0,AVERAGE(H60:H67))</f>
        <v>0</v>
      </c>
      <c r="J68" s="1275"/>
      <c r="K68" s="1058"/>
      <c r="L68" s="1058"/>
    </row>
    <row r="69" spans="4:12" ht="12.75">
      <c r="D69" s="334"/>
      <c r="E69" s="1058"/>
      <c r="F69" s="1058"/>
      <c r="H69" s="1274"/>
      <c r="J69" s="1275"/>
      <c r="K69" s="1058"/>
      <c r="L69" s="1058"/>
    </row>
    <row r="70" spans="1:12" ht="12.75">
      <c r="A70" s="332">
        <f>A68+1</f>
        <v>24</v>
      </c>
      <c r="D70" s="334" t="s">
        <v>678</v>
      </c>
      <c r="E70" s="1058"/>
      <c r="F70" s="1058"/>
      <c r="H70" s="1268">
        <f>IF(H43&lt;=0,$H68,MIN($H68,$H55))</f>
        <v>0</v>
      </c>
      <c r="I70" s="1268">
        <f>IF(I43&lt;=0,$H68,MIN($H68,$H55))</f>
        <v>0</v>
      </c>
      <c r="J70" s="1268">
        <f>IF(J43&lt;=0,$H68,MIN($H68,$H55))</f>
        <v>0</v>
      </c>
      <c r="K70" s="1058"/>
      <c r="L70" s="1058"/>
    </row>
    <row r="71" spans="4:12" ht="12.75">
      <c r="D71" s="334"/>
      <c r="E71" s="1058"/>
      <c r="F71" s="1058"/>
      <c r="H71" s="1268"/>
      <c r="I71" s="1058"/>
      <c r="J71" s="1265"/>
      <c r="K71" s="1058"/>
      <c r="L71" s="1058"/>
    </row>
    <row r="72" spans="4:12" ht="26.25" customHeight="1" thickBot="1">
      <c r="D72" s="1058"/>
      <c r="E72" s="1058"/>
      <c r="F72" s="1058"/>
      <c r="H72" s="1256" t="s">
        <v>49</v>
      </c>
      <c r="I72" s="1256" t="s">
        <v>50</v>
      </c>
      <c r="J72" s="1256" t="s">
        <v>51</v>
      </c>
      <c r="K72" s="1256" t="s">
        <v>52</v>
      </c>
      <c r="L72" s="1058"/>
    </row>
    <row r="73" spans="4:12" ht="12.75">
      <c r="D73" s="1058"/>
      <c r="E73" s="1058"/>
      <c r="F73" s="1058"/>
      <c r="H73" s="1257" t="s">
        <v>1121</v>
      </c>
      <c r="I73" s="1257" t="s">
        <v>1122</v>
      </c>
      <c r="J73" s="1257" t="s">
        <v>1147</v>
      </c>
      <c r="K73" s="1257" t="s">
        <v>1148</v>
      </c>
      <c r="L73" s="1058"/>
    </row>
    <row r="74" spans="1:11" ht="12.75">
      <c r="A74" s="332">
        <f>A70+1</f>
        <v>25</v>
      </c>
      <c r="C74" s="333"/>
      <c r="D74" s="333" t="s">
        <v>47</v>
      </c>
      <c r="H74" s="627">
        <f>ROUND(+H43,0)</f>
        <v>2732758</v>
      </c>
      <c r="I74" s="627">
        <f>ROUND(+I43,0)</f>
        <v>-4372706</v>
      </c>
      <c r="J74" s="627">
        <f>ROUND(+J43,0)</f>
        <v>0</v>
      </c>
      <c r="K74" s="1276">
        <f>SUM(H74:J74)</f>
        <v>-1639948</v>
      </c>
    </row>
    <row r="75" spans="1:11" ht="12.75">
      <c r="A75" s="332">
        <f>A74+1</f>
        <v>26</v>
      </c>
      <c r="C75" s="333"/>
      <c r="D75" s="333" t="s">
        <v>323</v>
      </c>
      <c r="H75" s="1277">
        <f>ROUND(H$70/12*24*H74,2)</f>
        <v>0</v>
      </c>
      <c r="I75" s="1277">
        <f>ROUND(I$70/12*24*I74,2)</f>
        <v>0</v>
      </c>
      <c r="J75" s="1277">
        <f>ROUND(J$70/12*24*J74,2)</f>
        <v>0</v>
      </c>
      <c r="K75" s="1276">
        <f>SUM(H75:J75)</f>
        <v>0</v>
      </c>
    </row>
    <row r="76" spans="1:11" ht="12.75">
      <c r="A76" s="332">
        <f>A75+1</f>
        <v>27</v>
      </c>
      <c r="C76" s="346"/>
      <c r="D76" s="343" t="s">
        <v>180</v>
      </c>
      <c r="E76" s="332"/>
      <c r="G76" s="332"/>
      <c r="H76" s="564"/>
      <c r="I76" s="564"/>
      <c r="J76" s="564"/>
      <c r="K76" s="1276">
        <f>SUM(H76:J76)</f>
        <v>0</v>
      </c>
    </row>
    <row r="77" spans="1:11" ht="12.75">
      <c r="A77" s="332">
        <f>A76+1</f>
        <v>28</v>
      </c>
      <c r="C77" s="340"/>
      <c r="D77" s="331" t="s">
        <v>48</v>
      </c>
      <c r="E77" s="334"/>
      <c r="G77" s="332"/>
      <c r="H77" s="643">
        <f>IF(H42=0,0,SUM(H74:H76))</f>
        <v>2732758</v>
      </c>
      <c r="I77" s="643">
        <f>IF(I42=0,0,SUM(I74:I76))</f>
        <v>-4372706</v>
      </c>
      <c r="J77" s="643">
        <f>IF(J42=0,0,SUM(J74:J76))</f>
        <v>0</v>
      </c>
      <c r="K77" s="643">
        <f>IF(K42=0,0,SUM(K74:K76))</f>
        <v>-1639948</v>
      </c>
    </row>
    <row r="78" spans="3:10" ht="12.75">
      <c r="C78" s="340"/>
      <c r="D78" s="332"/>
      <c r="E78" s="334"/>
      <c r="G78" s="332"/>
      <c r="H78" s="339"/>
      <c r="I78" s="334"/>
      <c r="J78" s="339"/>
    </row>
    <row r="79" spans="4:10" ht="12.75">
      <c r="D79" s="334"/>
      <c r="E79" s="1058"/>
      <c r="G79" s="332"/>
      <c r="H79" s="339"/>
      <c r="I79" s="334"/>
      <c r="J79" s="339"/>
    </row>
    <row r="80" spans="2:4" ht="12.75">
      <c r="B80" s="332" t="s">
        <v>571</v>
      </c>
      <c r="C80" s="332" t="s">
        <v>1616</v>
      </c>
      <c r="D80" s="333" t="s">
        <v>572</v>
      </c>
    </row>
    <row r="81" spans="3:4" ht="12.75">
      <c r="C81" s="332" t="s">
        <v>1596</v>
      </c>
      <c r="D81" s="333" t="s">
        <v>179</v>
      </c>
    </row>
    <row r="82" spans="1:4" ht="15.75" customHeight="1">
      <c r="A82" s="96"/>
      <c r="C82" s="332" t="s">
        <v>191</v>
      </c>
      <c r="D82" s="333" t="s">
        <v>658</v>
      </c>
    </row>
    <row r="83" spans="3:4" ht="12.75">
      <c r="C83" s="332" t="s">
        <v>194</v>
      </c>
      <c r="D83" s="333" t="s">
        <v>1501</v>
      </c>
    </row>
    <row r="84" ht="12.75">
      <c r="D84" s="333" t="s">
        <v>1502</v>
      </c>
    </row>
    <row r="85" spans="3:4" ht="12.75">
      <c r="C85" s="332" t="s">
        <v>192</v>
      </c>
      <c r="D85" s="333" t="s">
        <v>1753</v>
      </c>
    </row>
    <row r="86" spans="3:4" ht="12.75">
      <c r="C86" s="1278" t="s">
        <v>193</v>
      </c>
      <c r="D86" s="1279" t="s">
        <v>46</v>
      </c>
    </row>
    <row r="87" spans="3:4" ht="12.75">
      <c r="C87" s="332" t="s">
        <v>1727</v>
      </c>
      <c r="D87" s="333" t="s">
        <v>45</v>
      </c>
    </row>
    <row r="140" spans="3:7" ht="15.75">
      <c r="C140" s="347"/>
      <c r="D140" s="348"/>
      <c r="E140" s="348"/>
      <c r="F140" s="348"/>
      <c r="G140" s="348"/>
    </row>
    <row r="141" spans="3:7" ht="99.75" customHeight="1">
      <c r="C141" s="347"/>
      <c r="D141" s="348"/>
      <c r="E141" s="348"/>
      <c r="F141" s="348"/>
      <c r="G141" s="348"/>
    </row>
    <row r="142" spans="3:7" ht="15.75">
      <c r="C142" s="347"/>
      <c r="D142" s="348"/>
      <c r="E142" s="348"/>
      <c r="F142" s="348"/>
      <c r="G142" s="348"/>
    </row>
    <row r="143" spans="3:7" ht="15.75">
      <c r="C143" s="347"/>
      <c r="D143" s="348"/>
      <c r="E143" s="348"/>
      <c r="F143" s="348"/>
      <c r="G143" s="348"/>
    </row>
    <row r="144" spans="3:7" ht="15.75">
      <c r="C144" s="347"/>
      <c r="D144" s="348"/>
      <c r="E144" s="348"/>
      <c r="F144" s="348"/>
      <c r="G144" s="348"/>
    </row>
    <row r="145" spans="3:7" ht="15.75">
      <c r="C145" s="347"/>
      <c r="D145" s="348"/>
      <c r="E145" s="348"/>
      <c r="F145" s="348"/>
      <c r="G145" s="348"/>
    </row>
    <row r="146" spans="3:7" ht="15.75">
      <c r="C146" s="347"/>
      <c r="D146" s="348"/>
      <c r="E146" s="348"/>
      <c r="F146" s="348"/>
      <c r="G146" s="348"/>
    </row>
    <row r="147" spans="3:7" ht="15.75">
      <c r="C147" s="347"/>
      <c r="D147" s="348"/>
      <c r="E147" s="348"/>
      <c r="F147" s="348"/>
      <c r="G147" s="348"/>
    </row>
    <row r="148" spans="3:7" ht="15.75">
      <c r="C148" s="347"/>
      <c r="D148" s="348"/>
      <c r="E148" s="348"/>
      <c r="F148" s="348"/>
      <c r="G148" s="348"/>
    </row>
    <row r="149" spans="3:7" ht="15.75">
      <c r="C149" s="347"/>
      <c r="D149" s="348"/>
      <c r="E149" s="348"/>
      <c r="F149" s="348"/>
      <c r="G149" s="348"/>
    </row>
    <row r="150" spans="3:7" ht="15.75">
      <c r="C150" s="347"/>
      <c r="D150" s="348"/>
      <c r="E150" s="348"/>
      <c r="F150" s="348"/>
      <c r="G150" s="348"/>
    </row>
    <row r="151" spans="3:7" ht="15.75">
      <c r="C151" s="347"/>
      <c r="D151" s="348"/>
      <c r="E151" s="348"/>
      <c r="F151" s="348"/>
      <c r="G151" s="348"/>
    </row>
    <row r="152" spans="3:7" ht="15.75">
      <c r="C152" s="347"/>
      <c r="D152" s="348"/>
      <c r="E152" s="348"/>
      <c r="F152" s="348"/>
      <c r="G152" s="348"/>
    </row>
    <row r="153" spans="3:7" ht="15.75">
      <c r="C153" s="347"/>
      <c r="D153" s="348"/>
      <c r="E153" s="348"/>
      <c r="F153" s="348"/>
      <c r="G153" s="348"/>
    </row>
    <row r="154" spans="3:7" ht="15.75">
      <c r="C154" s="347"/>
      <c r="D154" s="348"/>
      <c r="E154" s="348"/>
      <c r="F154" s="348"/>
      <c r="G154" s="348"/>
    </row>
    <row r="155" spans="3:7" ht="15.75">
      <c r="C155" s="347"/>
      <c r="D155" s="348"/>
      <c r="E155" s="348"/>
      <c r="F155" s="348"/>
      <c r="G155" s="348"/>
    </row>
    <row r="156" spans="3:7" ht="15.75">
      <c r="C156" s="347"/>
      <c r="D156" s="348"/>
      <c r="E156" s="348"/>
      <c r="F156" s="348"/>
      <c r="G156" s="348"/>
    </row>
    <row r="157" spans="3:7" ht="15.75">
      <c r="C157" s="347"/>
      <c r="D157" s="348"/>
      <c r="E157" s="348"/>
      <c r="F157" s="348"/>
      <c r="G157" s="348"/>
    </row>
    <row r="158" spans="3:7" ht="15.75">
      <c r="C158" s="347"/>
      <c r="D158" s="348"/>
      <c r="E158" s="348"/>
      <c r="F158" s="348"/>
      <c r="G158" s="348"/>
    </row>
    <row r="159" spans="3:7" ht="15.75">
      <c r="C159" s="347"/>
      <c r="D159" s="348"/>
      <c r="E159" s="348"/>
      <c r="F159" s="348"/>
      <c r="G159" s="348"/>
    </row>
    <row r="160" spans="3:7" ht="15.75">
      <c r="C160" s="347"/>
      <c r="D160" s="348"/>
      <c r="E160" s="348"/>
      <c r="F160" s="348"/>
      <c r="G160" s="348"/>
    </row>
    <row r="161" spans="3:7" ht="15.75">
      <c r="C161" s="347"/>
      <c r="D161" s="348"/>
      <c r="E161" s="348"/>
      <c r="F161" s="348"/>
      <c r="G161" s="348"/>
    </row>
    <row r="162" spans="3:7" ht="40.5" customHeight="1">
      <c r="C162" s="347"/>
      <c r="D162" s="348"/>
      <c r="E162" s="348"/>
      <c r="F162" s="348"/>
      <c r="G162" s="348"/>
    </row>
    <row r="163" spans="3:7" ht="15.75">
      <c r="C163" s="347"/>
      <c r="D163" s="348"/>
      <c r="E163" s="348"/>
      <c r="F163" s="348"/>
      <c r="G163" s="348"/>
    </row>
    <row r="258" ht="12.75">
      <c r="A258" s="341"/>
    </row>
    <row r="259" ht="12.75">
      <c r="A259" s="341"/>
    </row>
    <row r="260" spans="1:7" ht="12.75">
      <c r="A260" s="341"/>
      <c r="B260" s="341"/>
      <c r="C260" s="341"/>
      <c r="D260" s="342"/>
      <c r="E260" s="342"/>
      <c r="F260" s="342"/>
      <c r="G260" s="342"/>
    </row>
    <row r="261" spans="1:7" ht="12.75">
      <c r="A261" s="341"/>
      <c r="B261" s="341"/>
      <c r="C261" s="341"/>
      <c r="D261" s="342"/>
      <c r="E261" s="342"/>
      <c r="F261" s="342"/>
      <c r="G261" s="342"/>
    </row>
    <row r="262" spans="1:7" ht="12.75">
      <c r="A262" s="341"/>
      <c r="B262" s="341"/>
      <c r="C262" s="341"/>
      <c r="D262" s="342"/>
      <c r="E262" s="342"/>
      <c r="F262" s="342"/>
      <c r="G262" s="342"/>
    </row>
    <row r="263" spans="1:7" ht="12.75">
      <c r="A263" s="341"/>
      <c r="B263" s="341"/>
      <c r="C263" s="341"/>
      <c r="D263" s="342"/>
      <c r="E263" s="342"/>
      <c r="F263" s="342"/>
      <c r="G263" s="342"/>
    </row>
    <row r="264" spans="1:7" ht="12.75">
      <c r="A264" s="341"/>
      <c r="B264" s="341"/>
      <c r="C264" s="341"/>
      <c r="D264" s="342"/>
      <c r="E264" s="342"/>
      <c r="F264" s="342"/>
      <c r="G264" s="342"/>
    </row>
    <row r="265" spans="1:7" ht="12.75">
      <c r="A265" s="341"/>
      <c r="B265" s="341"/>
      <c r="C265" s="341"/>
      <c r="D265" s="342"/>
      <c r="E265" s="342"/>
      <c r="F265" s="342"/>
      <c r="G265" s="342"/>
    </row>
    <row r="266" spans="1:7" ht="12.75">
      <c r="A266" s="341"/>
      <c r="B266" s="341"/>
      <c r="C266" s="341"/>
      <c r="D266" s="342"/>
      <c r="E266" s="342"/>
      <c r="F266" s="342"/>
      <c r="G266" s="342"/>
    </row>
    <row r="267" spans="2:7" ht="12.75">
      <c r="B267" s="341"/>
      <c r="C267" s="341"/>
      <c r="D267" s="342"/>
      <c r="E267" s="342"/>
      <c r="F267" s="342"/>
      <c r="G267" s="342"/>
    </row>
    <row r="268" spans="2:7" ht="12.75">
      <c r="B268" s="341"/>
      <c r="C268" s="341"/>
      <c r="D268" s="342"/>
      <c r="E268" s="342"/>
      <c r="F268" s="342"/>
      <c r="G268" s="342"/>
    </row>
  </sheetData>
  <sheetProtection/>
  <printOptions/>
  <pageMargins left="0.53" right="0.33" top="0.63" bottom="0.66" header="0.5" footer="0.5"/>
  <pageSetup fitToHeight="1" fitToWidth="1" horizontalDpi="600" verticalDpi="600" orientation="portrait" scale="59" r:id="rId1"/>
  <headerFooter alignWithMargins="0">
    <oddFooter>&amp;L&amp;D&amp;R&amp;F</oddFooter>
  </headerFooter>
  <rowBreaks count="1" manualBreakCount="1">
    <brk id="45" max="255" man="1"/>
  </rowBreaks>
</worksheet>
</file>

<file path=xl/worksheets/sheet17.xml><?xml version="1.0" encoding="utf-8"?>
<worksheet xmlns="http://schemas.openxmlformats.org/spreadsheetml/2006/main" xmlns:r="http://schemas.openxmlformats.org/officeDocument/2006/relationships">
  <sheetPr>
    <tabColor indexed="22"/>
    <pageSetUpPr fitToPage="1"/>
  </sheetPr>
  <dimension ref="A1:X128"/>
  <sheetViews>
    <sheetView zoomScale="65" zoomScaleNormal="65" zoomScalePageLayoutView="0" workbookViewId="0" topLeftCell="A1">
      <selection activeCell="A67" sqref="A67"/>
    </sheetView>
  </sheetViews>
  <sheetFormatPr defaultColWidth="8.88671875" defaultRowHeight="15"/>
  <cols>
    <col min="1" max="1" width="5.88671875" style="290" bestFit="1" customWidth="1"/>
    <col min="2" max="2" width="11.3359375" style="290" customWidth="1"/>
    <col min="3" max="3" width="13.77734375" style="290" customWidth="1"/>
    <col min="4" max="4" width="20.99609375" style="290" customWidth="1"/>
    <col min="5" max="5" width="13.77734375" style="290" customWidth="1"/>
    <col min="6" max="6" width="14.77734375" style="290" bestFit="1" customWidth="1"/>
    <col min="7" max="7" width="13.5546875" style="290" customWidth="1"/>
    <col min="8" max="8" width="13.99609375" style="290" bestFit="1" customWidth="1"/>
    <col min="9" max="9" width="15.6640625" style="290" bestFit="1" customWidth="1"/>
    <col min="10" max="10" width="13.4453125" style="290" bestFit="1" customWidth="1"/>
    <col min="11" max="11" width="12.3359375" style="290" bestFit="1" customWidth="1"/>
    <col min="12" max="12" width="12.5546875" style="290" bestFit="1" customWidth="1"/>
    <col min="13" max="13" width="13.99609375" style="290" customWidth="1"/>
    <col min="14" max="14" width="13.77734375" style="290" customWidth="1"/>
    <col min="15" max="15" width="15.6640625" style="290" customWidth="1"/>
    <col min="16" max="16" width="12.10546875" style="290" bestFit="1" customWidth="1"/>
    <col min="17" max="17" width="14.99609375" style="290" customWidth="1"/>
    <col min="18" max="20" width="14.10546875" style="290" customWidth="1"/>
    <col min="21" max="21" width="15.6640625" style="290" bestFit="1" customWidth="1"/>
    <col min="22" max="22" width="14.3359375" style="290" bestFit="1" customWidth="1"/>
    <col min="23" max="23" width="15.88671875" style="290" bestFit="1" customWidth="1"/>
    <col min="24" max="16384" width="8.88671875" style="290" customWidth="1"/>
  </cols>
  <sheetData>
    <row r="1" spans="2:21" ht="20.25">
      <c r="B1" s="868" t="s">
        <v>1641</v>
      </c>
      <c r="U1" s="869" t="s">
        <v>1690</v>
      </c>
    </row>
    <row r="2" ht="18">
      <c r="B2" s="870" t="s">
        <v>35</v>
      </c>
    </row>
    <row r="3" ht="15">
      <c r="B3" s="238" t="str">
        <f>+PTitle</f>
        <v>For the 12 months ended - December 31, 20xx</v>
      </c>
    </row>
    <row r="6" ht="13.5" thickBot="1">
      <c r="I6" s="871" t="s">
        <v>783</v>
      </c>
    </row>
    <row r="7" spans="1:9" ht="12.75">
      <c r="A7" s="872">
        <v>1</v>
      </c>
      <c r="B7" s="290" t="s">
        <v>1533</v>
      </c>
      <c r="E7" s="873" t="s">
        <v>1534</v>
      </c>
      <c r="I7" s="874">
        <f>'P-1 (Trans Plant)'!I91</f>
        <v>0</v>
      </c>
    </row>
    <row r="8" ht="12.75">
      <c r="A8" s="872"/>
    </row>
    <row r="9" spans="1:9" ht="12.75">
      <c r="A9" s="872">
        <f>A7+1</f>
        <v>2</v>
      </c>
      <c r="B9" s="290" t="s">
        <v>762</v>
      </c>
      <c r="E9" s="290" t="s">
        <v>55</v>
      </c>
      <c r="I9" s="875">
        <f>'Projected Gross Rev Req'!L16</f>
        <v>0</v>
      </c>
    </row>
    <row r="10" spans="1:9" ht="12.75">
      <c r="A10" s="872">
        <f>A9+1</f>
        <v>3</v>
      </c>
      <c r="B10" s="290" t="s">
        <v>989</v>
      </c>
      <c r="E10" s="290" t="s">
        <v>54</v>
      </c>
      <c r="I10" s="877">
        <f>'Projected Gross Rev Req'!G236</f>
        <v>0</v>
      </c>
    </row>
    <row r="11" spans="1:9" ht="12.75">
      <c r="A11" s="872">
        <f>A10+1</f>
        <v>4</v>
      </c>
      <c r="B11" s="290" t="s">
        <v>1134</v>
      </c>
      <c r="E11" s="290" t="s">
        <v>991</v>
      </c>
      <c r="I11" s="291">
        <f>+I9-I10</f>
        <v>0</v>
      </c>
    </row>
    <row r="12" ht="12.75">
      <c r="A12" s="872"/>
    </row>
    <row r="13" spans="1:9" ht="12.75">
      <c r="A13" s="872">
        <f>A11+1</f>
        <v>5</v>
      </c>
      <c r="B13" s="290" t="s">
        <v>1691</v>
      </c>
      <c r="E13" s="290" t="s">
        <v>992</v>
      </c>
      <c r="I13" s="875">
        <f>'Projected Gross Rev Req'!L37</f>
        <v>-100715527.83728606</v>
      </c>
    </row>
    <row r="14" spans="1:9" ht="12.75">
      <c r="A14" s="872">
        <f aca="true" t="shared" si="0" ref="A14:A24">A13+1</f>
        <v>6</v>
      </c>
      <c r="B14" s="290" t="s">
        <v>1532</v>
      </c>
      <c r="E14" s="873" t="s">
        <v>1024</v>
      </c>
      <c r="I14" s="877">
        <f>'P-1 (Trans Plant)'!H92</f>
        <v>0</v>
      </c>
    </row>
    <row r="15" spans="1:9" ht="12.75">
      <c r="A15" s="872">
        <f t="shared" si="0"/>
        <v>7</v>
      </c>
      <c r="B15" s="290" t="s">
        <v>818</v>
      </c>
      <c r="E15" s="290" t="s">
        <v>56</v>
      </c>
      <c r="I15" s="877">
        <f>'Projected Gross Rev Req'!L28</f>
        <v>0</v>
      </c>
    </row>
    <row r="16" spans="1:9" ht="12.75">
      <c r="A16" s="872">
        <f t="shared" si="0"/>
        <v>8</v>
      </c>
      <c r="B16" s="290" t="s">
        <v>1143</v>
      </c>
      <c r="E16" s="290" t="s">
        <v>1146</v>
      </c>
      <c r="I16" s="876">
        <f>I15-J118</f>
        <v>0</v>
      </c>
    </row>
    <row r="17" spans="1:9" ht="12.75">
      <c r="A17" s="872">
        <f t="shared" si="0"/>
        <v>9</v>
      </c>
      <c r="B17" s="290" t="s">
        <v>1692</v>
      </c>
      <c r="E17" s="290" t="s">
        <v>1050</v>
      </c>
      <c r="I17" s="877">
        <f>'Projected Gross Rev Req'!L78</f>
        <v>547617.0302380899</v>
      </c>
    </row>
    <row r="18" spans="1:9" ht="12.75">
      <c r="A18" s="872">
        <f t="shared" si="0"/>
        <v>10</v>
      </c>
      <c r="B18" s="290" t="s">
        <v>441</v>
      </c>
      <c r="E18" s="290" t="s">
        <v>1650</v>
      </c>
      <c r="I18" s="877">
        <f>-'Projected Net Rev Req'!J20</f>
        <v>-17939732.004723042</v>
      </c>
    </row>
    <row r="19" spans="1:9" ht="12.75">
      <c r="A19" s="872">
        <f t="shared" si="0"/>
        <v>11</v>
      </c>
      <c r="B19" s="290" t="s">
        <v>440</v>
      </c>
      <c r="E19" s="290" t="s">
        <v>1051</v>
      </c>
      <c r="I19" s="877">
        <f>'Projected Gross Rev Req'!L97</f>
        <v>144207.597207841</v>
      </c>
    </row>
    <row r="20" spans="1:9" ht="12.75">
      <c r="A20" s="872">
        <f t="shared" si="0"/>
        <v>12</v>
      </c>
      <c r="B20" s="290" t="s">
        <v>1693</v>
      </c>
      <c r="E20" s="290" t="s">
        <v>1053</v>
      </c>
      <c r="I20" s="877">
        <f>'Projected Gross Rev Req'!L112-I22</f>
        <v>-7220267.562662601</v>
      </c>
    </row>
    <row r="21" spans="1:9" ht="12.75">
      <c r="A21" s="872">
        <f t="shared" si="0"/>
        <v>13</v>
      </c>
      <c r="B21" s="290" t="s">
        <v>965</v>
      </c>
      <c r="E21" s="290" t="s">
        <v>57</v>
      </c>
      <c r="I21" s="877">
        <f>'Projected Gross Rev Req'!L110</f>
        <v>0</v>
      </c>
    </row>
    <row r="22" spans="1:9" ht="12.75">
      <c r="A22" s="872">
        <f t="shared" si="0"/>
        <v>14</v>
      </c>
      <c r="B22" s="290" t="s">
        <v>1169</v>
      </c>
      <c r="E22" s="290" t="s">
        <v>1052</v>
      </c>
      <c r="I22" s="877">
        <f>'Projected Gross Rev Req'!J238</f>
        <v>0</v>
      </c>
    </row>
    <row r="23" spans="1:9" ht="12.75">
      <c r="A23" s="872">
        <f t="shared" si="0"/>
        <v>15</v>
      </c>
      <c r="B23" s="290" t="s">
        <v>1694</v>
      </c>
      <c r="E23" s="290" t="s">
        <v>70</v>
      </c>
      <c r="I23" s="877">
        <f>'Projected Gross Rev Req'!G236</f>
        <v>0</v>
      </c>
    </row>
    <row r="24" spans="1:9" ht="12.75">
      <c r="A24" s="872">
        <f t="shared" si="0"/>
        <v>16</v>
      </c>
      <c r="B24" s="290" t="s">
        <v>817</v>
      </c>
      <c r="E24" s="290" t="s">
        <v>985</v>
      </c>
      <c r="I24" s="878">
        <f>IF('Projected Gross Rev Req'!L112=0,0,'Projected Gross Rev Req'!L110/'Projected Gross Rev Req'!L112)</f>
        <v>0</v>
      </c>
    </row>
    <row r="25" spans="1:9" ht="12.75">
      <c r="A25" s="879" t="s">
        <v>1137</v>
      </c>
      <c r="B25" s="290" t="s">
        <v>1135</v>
      </c>
      <c r="E25" s="290" t="s">
        <v>1260</v>
      </c>
      <c r="I25" s="874">
        <f>'TU (True-up)'!I77</f>
        <v>-4372706</v>
      </c>
    </row>
    <row r="26" spans="1:9" ht="12.75">
      <c r="A26" s="872"/>
      <c r="I26" s="880"/>
    </row>
    <row r="27" spans="1:9" ht="12.75">
      <c r="A27" s="872">
        <f>A24+1</f>
        <v>17</v>
      </c>
      <c r="B27" s="290" t="s">
        <v>765</v>
      </c>
      <c r="E27" s="290" t="s">
        <v>71</v>
      </c>
      <c r="I27" s="881">
        <f>IF(I15=0,0,I13/I15)</f>
        <v>0</v>
      </c>
    </row>
    <row r="28" spans="1:9" ht="12.75">
      <c r="A28" s="872">
        <f aca="true" t="shared" si="1" ref="A28:A34">A27+1</f>
        <v>18</v>
      </c>
      <c r="B28" s="290" t="s">
        <v>984</v>
      </c>
      <c r="E28" s="290" t="s">
        <v>72</v>
      </c>
      <c r="I28" s="881">
        <f>IF(I15=0,0,I17/I15)</f>
        <v>0</v>
      </c>
    </row>
    <row r="29" spans="1:11" ht="12.75">
      <c r="A29" s="872">
        <f t="shared" si="1"/>
        <v>19</v>
      </c>
      <c r="B29" s="290" t="s">
        <v>980</v>
      </c>
      <c r="E29" s="290" t="s">
        <v>990</v>
      </c>
      <c r="I29" s="881">
        <f>IF(I15=0,0,I18/I15)</f>
        <v>0</v>
      </c>
      <c r="K29" s="881"/>
    </row>
    <row r="30" spans="1:9" ht="12.75">
      <c r="A30" s="872">
        <f t="shared" si="1"/>
        <v>20</v>
      </c>
      <c r="B30" s="290" t="s">
        <v>983</v>
      </c>
      <c r="E30" s="290" t="s">
        <v>73</v>
      </c>
      <c r="I30" s="881">
        <f>IF(I15=0,0,I19/I15)</f>
        <v>0</v>
      </c>
    </row>
    <row r="31" spans="1:9" ht="12.75">
      <c r="A31" s="872">
        <f t="shared" si="1"/>
        <v>21</v>
      </c>
      <c r="B31" s="290" t="s">
        <v>982</v>
      </c>
      <c r="E31" s="290" t="s">
        <v>74</v>
      </c>
      <c r="I31" s="882">
        <f>PRet</f>
        <v>0.08180282570846481</v>
      </c>
    </row>
    <row r="32" spans="1:9" ht="12.75">
      <c r="A32" s="872">
        <f t="shared" si="1"/>
        <v>22</v>
      </c>
      <c r="B32" s="290" t="s">
        <v>981</v>
      </c>
      <c r="E32" s="290" t="s">
        <v>75</v>
      </c>
      <c r="I32" s="881">
        <f>IF(I15=0,0,I21/I15)</f>
        <v>0</v>
      </c>
    </row>
    <row r="33" spans="1:9" ht="12.75">
      <c r="A33" s="872">
        <f t="shared" si="1"/>
        <v>23</v>
      </c>
      <c r="B33" s="290" t="s">
        <v>76</v>
      </c>
      <c r="E33" s="290" t="s">
        <v>80</v>
      </c>
      <c r="I33" s="883">
        <f>+'Actual Gross Rev'!H236</f>
        <v>0.48070650467017034</v>
      </c>
    </row>
    <row r="34" spans="1:12" ht="12.75">
      <c r="A34" s="872">
        <f t="shared" si="1"/>
        <v>24</v>
      </c>
      <c r="B34" s="290" t="s">
        <v>1138</v>
      </c>
      <c r="E34" s="290" t="s">
        <v>1262</v>
      </c>
      <c r="I34" s="884">
        <f>IF(J123=0,0,I25/J123)</f>
        <v>0</v>
      </c>
      <c r="K34" s="885"/>
      <c r="L34" s="886"/>
    </row>
    <row r="36" spans="2:21" ht="20.25">
      <c r="B36" s="868" t="str">
        <f>+B1</f>
        <v>Worksheet BPF - Base Plan Funded (BPF) Summary</v>
      </c>
      <c r="U36" s="869" t="s">
        <v>1695</v>
      </c>
    </row>
    <row r="37" ht="18">
      <c r="B37" s="870" t="str">
        <f>+B2</f>
        <v>Revenue Requirement of SPP Base Plan Funded Projects (BPF) included in Westar Projected Revenue Requirements [Note: (E)]</v>
      </c>
    </row>
    <row r="38" ht="15">
      <c r="B38" s="418" t="str">
        <f>+B3</f>
        <v>For the 12 months ended - December 31, 20xx</v>
      </c>
    </row>
    <row r="40" ht="12.75">
      <c r="B40" s="290" t="s">
        <v>1642</v>
      </c>
    </row>
    <row r="41" ht="12.75">
      <c r="B41" s="290" t="s">
        <v>972</v>
      </c>
    </row>
    <row r="42" ht="12.75">
      <c r="B42" s="290" t="s">
        <v>829</v>
      </c>
    </row>
    <row r="43" ht="12.75">
      <c r="B43" s="290" t="s">
        <v>973</v>
      </c>
    </row>
    <row r="44" ht="12.75">
      <c r="B44" s="290" t="s">
        <v>36</v>
      </c>
    </row>
    <row r="46" spans="2:21" ht="12.75">
      <c r="B46" s="887"/>
      <c r="C46" s="887"/>
      <c r="D46" s="887"/>
      <c r="E46" s="887" t="s">
        <v>173</v>
      </c>
      <c r="F46" s="887" t="s">
        <v>171</v>
      </c>
      <c r="G46" s="887" t="s">
        <v>172</v>
      </c>
      <c r="H46" s="888" t="s">
        <v>601</v>
      </c>
      <c r="I46" s="888" t="s">
        <v>602</v>
      </c>
      <c r="J46" s="887" t="s">
        <v>603</v>
      </c>
      <c r="K46" s="888" t="s">
        <v>604</v>
      </c>
      <c r="L46" s="887" t="s">
        <v>605</v>
      </c>
      <c r="M46" s="887" t="s">
        <v>606</v>
      </c>
      <c r="N46" s="887" t="s">
        <v>607</v>
      </c>
      <c r="O46" s="887" t="s">
        <v>608</v>
      </c>
      <c r="P46" s="887" t="s">
        <v>609</v>
      </c>
      <c r="Q46" s="887" t="s">
        <v>610</v>
      </c>
      <c r="R46" s="887" t="s">
        <v>611</v>
      </c>
      <c r="S46" s="887" t="s">
        <v>1017</v>
      </c>
      <c r="T46" s="887" t="s">
        <v>1141</v>
      </c>
      <c r="U46" s="887" t="s">
        <v>1648</v>
      </c>
    </row>
    <row r="47" spans="2:21" ht="12.75">
      <c r="B47" s="889"/>
      <c r="C47" s="889"/>
      <c r="D47" s="889"/>
      <c r="E47" s="890" t="s">
        <v>1494</v>
      </c>
      <c r="F47" s="890" t="s">
        <v>1536</v>
      </c>
      <c r="G47" s="890" t="s">
        <v>1013</v>
      </c>
      <c r="H47" s="890" t="s">
        <v>1490</v>
      </c>
      <c r="I47" s="890" t="s">
        <v>119</v>
      </c>
      <c r="J47" s="890" t="s">
        <v>1014</v>
      </c>
      <c r="K47" s="890" t="s">
        <v>1291</v>
      </c>
      <c r="L47" s="890" t="s">
        <v>1497</v>
      </c>
      <c r="M47" s="890" t="s">
        <v>767</v>
      </c>
      <c r="N47" s="890" t="s">
        <v>766</v>
      </c>
      <c r="O47" s="890" t="s">
        <v>1721</v>
      </c>
      <c r="P47" s="890" t="s">
        <v>1106</v>
      </c>
      <c r="Q47" s="890" t="s">
        <v>1499</v>
      </c>
      <c r="R47" s="890" t="s">
        <v>764</v>
      </c>
      <c r="S47" s="890" t="s">
        <v>1646</v>
      </c>
      <c r="T47" s="890" t="s">
        <v>1140</v>
      </c>
      <c r="U47" s="890" t="s">
        <v>764</v>
      </c>
    </row>
    <row r="48" spans="2:21" ht="13.5" thickBot="1">
      <c r="B48" s="891" t="s">
        <v>1743</v>
      </c>
      <c r="C48" s="891" t="s">
        <v>1493</v>
      </c>
      <c r="D48" s="871"/>
      <c r="E48" s="892" t="s">
        <v>1495</v>
      </c>
      <c r="F48" s="892" t="s">
        <v>1490</v>
      </c>
      <c r="G48" s="892" t="s">
        <v>1489</v>
      </c>
      <c r="H48" s="892" t="s">
        <v>277</v>
      </c>
      <c r="I48" s="892" t="s">
        <v>1490</v>
      </c>
      <c r="J48" s="892" t="s">
        <v>1489</v>
      </c>
      <c r="K48" s="892" t="s">
        <v>1481</v>
      </c>
      <c r="L48" s="892" t="s">
        <v>1498</v>
      </c>
      <c r="M48" s="892" t="s">
        <v>964</v>
      </c>
      <c r="N48" s="892" t="s">
        <v>600</v>
      </c>
      <c r="O48" s="892" t="s">
        <v>1169</v>
      </c>
      <c r="P48" s="892" t="s">
        <v>964</v>
      </c>
      <c r="Q48" s="892" t="s">
        <v>1498</v>
      </c>
      <c r="R48" s="892" t="s">
        <v>763</v>
      </c>
      <c r="S48" s="892" t="s">
        <v>1647</v>
      </c>
      <c r="T48" s="892" t="s">
        <v>1184</v>
      </c>
      <c r="U48" s="892" t="s">
        <v>1696</v>
      </c>
    </row>
    <row r="49" spans="2:21" ht="12.75">
      <c r="B49" s="893"/>
      <c r="C49" s="889"/>
      <c r="D49" s="890"/>
      <c r="E49" s="890"/>
      <c r="F49" s="890"/>
      <c r="G49" s="890" t="s">
        <v>612</v>
      </c>
      <c r="H49" s="890" t="s">
        <v>988</v>
      </c>
      <c r="I49" s="894" t="s">
        <v>1016</v>
      </c>
      <c r="J49" s="890" t="s">
        <v>1015</v>
      </c>
      <c r="K49" s="890" t="s">
        <v>1021</v>
      </c>
      <c r="L49" s="890" t="s">
        <v>1419</v>
      </c>
      <c r="M49" s="890" t="s">
        <v>1047</v>
      </c>
      <c r="N49" s="890"/>
      <c r="O49" s="890" t="s">
        <v>1252</v>
      </c>
      <c r="P49" s="890" t="s">
        <v>1255</v>
      </c>
      <c r="Q49" s="890" t="s">
        <v>986</v>
      </c>
      <c r="R49" s="890" t="s">
        <v>1019</v>
      </c>
      <c r="S49" s="890" t="s">
        <v>987</v>
      </c>
      <c r="T49" s="890" t="s">
        <v>1142</v>
      </c>
      <c r="U49" s="890" t="s">
        <v>1649</v>
      </c>
    </row>
    <row r="50" spans="2:20" ht="12.75">
      <c r="B50" s="893" t="s">
        <v>836</v>
      </c>
      <c r="C50" s="889"/>
      <c r="D50" s="889"/>
      <c r="E50" s="889"/>
      <c r="F50" s="889"/>
      <c r="G50" s="889"/>
      <c r="H50" s="889"/>
      <c r="I50" s="889"/>
      <c r="J50" s="889"/>
      <c r="K50" s="889"/>
      <c r="L50" s="889"/>
      <c r="M50" s="889"/>
      <c r="N50" s="889"/>
      <c r="O50" s="889"/>
      <c r="P50" s="889"/>
      <c r="Q50" s="889"/>
      <c r="R50" s="889"/>
      <c r="S50" s="889"/>
      <c r="T50" s="889"/>
    </row>
    <row r="51" ht="12.75">
      <c r="B51" s="895" t="s">
        <v>575</v>
      </c>
    </row>
    <row r="52" spans="1:22" ht="12.75">
      <c r="A52" s="1280"/>
      <c r="B52" s="446"/>
      <c r="C52" s="446"/>
      <c r="D52" s="446"/>
      <c r="E52" s="900"/>
      <c r="F52" s="450"/>
      <c r="G52" s="291">
        <f aca="true" t="shared" si="2" ref="G52:G58">E52-F52</f>
        <v>0</v>
      </c>
      <c r="H52" s="898">
        <f>IF(I$14=0,0,I$7/I$14)</f>
        <v>0</v>
      </c>
      <c r="I52" s="291">
        <f>ROUND(E52*H52*1.5,0)</f>
        <v>0</v>
      </c>
      <c r="J52" s="291">
        <f>MAX(E52-F52-I52,0)</f>
        <v>0</v>
      </c>
      <c r="K52" s="291">
        <f>ROUND(J52*$I$28,0)</f>
        <v>0</v>
      </c>
      <c r="L52" s="291">
        <f>ROUND(J52*$I$30,0)</f>
        <v>0</v>
      </c>
      <c r="M52" s="884">
        <f>+I$31</f>
        <v>0.08180282570846481</v>
      </c>
      <c r="N52" s="899">
        <v>0</v>
      </c>
      <c r="O52" s="291">
        <f>ROUND(N52*J52,0)</f>
        <v>0</v>
      </c>
      <c r="P52" s="291">
        <f>ROUND(O52+(M52*J52),0)</f>
        <v>0</v>
      </c>
      <c r="Q52" s="291">
        <f>ROUND(P52*I$24,0)</f>
        <v>0</v>
      </c>
      <c r="R52" s="291">
        <f>ROUND(+J52*$I$29,0)</f>
        <v>0</v>
      </c>
      <c r="S52" s="291">
        <f>I52+K52+L52+P52+Q52+R52</f>
        <v>0</v>
      </c>
      <c r="T52" s="291">
        <f>ROUND(J52*I$34,0)</f>
        <v>0</v>
      </c>
      <c r="U52" s="291">
        <f>S52+T52</f>
        <v>0</v>
      </c>
      <c r="V52" s="881"/>
    </row>
    <row r="53" spans="1:22" ht="12.75">
      <c r="A53" s="1280"/>
      <c r="B53" s="446"/>
      <c r="C53" s="446"/>
      <c r="D53" s="446"/>
      <c r="E53" s="900"/>
      <c r="F53" s="900"/>
      <c r="G53" s="291">
        <f>E53-F53</f>
        <v>0</v>
      </c>
      <c r="H53" s="898">
        <f aca="true" t="shared" si="3" ref="H53:H64">IF(I$14=0,0,I$7/I$14)</f>
        <v>0</v>
      </c>
      <c r="I53" s="291">
        <f aca="true" t="shared" si="4" ref="I53:I58">ROUND(E53*H53*1.5,0)</f>
        <v>0</v>
      </c>
      <c r="J53" s="291">
        <f aca="true" t="shared" si="5" ref="J53:J64">MAX(E53-F53-I53,0)</f>
        <v>0</v>
      </c>
      <c r="K53" s="291">
        <f aca="true" t="shared" si="6" ref="K53:K64">ROUND(J53*$I$28,0)</f>
        <v>0</v>
      </c>
      <c r="L53" s="291">
        <f aca="true" t="shared" si="7" ref="L53:L58">ROUND(J53*$I$30,0)</f>
        <v>0</v>
      </c>
      <c r="M53" s="884">
        <f aca="true" t="shared" si="8" ref="M53:M58">+I$31</f>
        <v>0.08180282570846481</v>
      </c>
      <c r="N53" s="899">
        <v>0</v>
      </c>
      <c r="O53" s="291">
        <f aca="true" t="shared" si="9" ref="O53:O58">ROUND(N53*J53,0)</f>
        <v>0</v>
      </c>
      <c r="P53" s="291">
        <f aca="true" t="shared" si="10" ref="P53:P58">ROUND(O53+(M53*J53),0)</f>
        <v>0</v>
      </c>
      <c r="Q53" s="291">
        <f aca="true" t="shared" si="11" ref="Q53:Q58">ROUND(P53*I$24,0)</f>
        <v>0</v>
      </c>
      <c r="R53" s="291">
        <f aca="true" t="shared" si="12" ref="R53:R58">ROUND(+J53*$I$29,0)</f>
        <v>0</v>
      </c>
      <c r="S53" s="291">
        <f aca="true" t="shared" si="13" ref="S53:S64">I53+K53+L53+P53+Q53+R53</f>
        <v>0</v>
      </c>
      <c r="T53" s="291">
        <f aca="true" t="shared" si="14" ref="T53:T58">ROUND(J53*I$34,0)</f>
        <v>0</v>
      </c>
      <c r="U53" s="291">
        <f aca="true" t="shared" si="15" ref="U53:U64">S53+T53</f>
        <v>0</v>
      </c>
      <c r="V53" s="881"/>
    </row>
    <row r="54" spans="1:22" ht="12.75">
      <c r="A54" s="1280"/>
      <c r="B54" s="446"/>
      <c r="C54" s="897"/>
      <c r="D54" s="897"/>
      <c r="E54" s="512"/>
      <c r="F54" s="512"/>
      <c r="G54" s="291">
        <f t="shared" si="2"/>
        <v>0</v>
      </c>
      <c r="H54" s="898">
        <f t="shared" si="3"/>
        <v>0</v>
      </c>
      <c r="I54" s="291">
        <f t="shared" si="4"/>
        <v>0</v>
      </c>
      <c r="J54" s="291">
        <f t="shared" si="5"/>
        <v>0</v>
      </c>
      <c r="K54" s="291">
        <f t="shared" si="6"/>
        <v>0</v>
      </c>
      <c r="L54" s="291">
        <f t="shared" si="7"/>
        <v>0</v>
      </c>
      <c r="M54" s="884">
        <f t="shared" si="8"/>
        <v>0.08180282570846481</v>
      </c>
      <c r="N54" s="899">
        <v>0</v>
      </c>
      <c r="O54" s="291">
        <f t="shared" si="9"/>
        <v>0</v>
      </c>
      <c r="P54" s="291">
        <f t="shared" si="10"/>
        <v>0</v>
      </c>
      <c r="Q54" s="291">
        <f t="shared" si="11"/>
        <v>0</v>
      </c>
      <c r="R54" s="291">
        <f t="shared" si="12"/>
        <v>0</v>
      </c>
      <c r="S54" s="291">
        <f t="shared" si="13"/>
        <v>0</v>
      </c>
      <c r="T54" s="291">
        <f t="shared" si="14"/>
        <v>0</v>
      </c>
      <c r="U54" s="291">
        <f t="shared" si="15"/>
        <v>0</v>
      </c>
      <c r="V54" s="881"/>
    </row>
    <row r="55" spans="1:22" ht="12.75">
      <c r="A55" s="1280"/>
      <c r="B55" s="446"/>
      <c r="C55" s="897"/>
      <c r="D55" s="897"/>
      <c r="E55" s="512"/>
      <c r="F55" s="512"/>
      <c r="G55" s="291">
        <f t="shared" si="2"/>
        <v>0</v>
      </c>
      <c r="H55" s="898">
        <f t="shared" si="3"/>
        <v>0</v>
      </c>
      <c r="I55" s="291">
        <f t="shared" si="4"/>
        <v>0</v>
      </c>
      <c r="J55" s="291">
        <f t="shared" si="5"/>
        <v>0</v>
      </c>
      <c r="K55" s="291">
        <f t="shared" si="6"/>
        <v>0</v>
      </c>
      <c r="L55" s="291">
        <f t="shared" si="7"/>
        <v>0</v>
      </c>
      <c r="M55" s="884">
        <f t="shared" si="8"/>
        <v>0.08180282570846481</v>
      </c>
      <c r="N55" s="899">
        <v>0</v>
      </c>
      <c r="O55" s="291">
        <f t="shared" si="9"/>
        <v>0</v>
      </c>
      <c r="P55" s="291">
        <f t="shared" si="10"/>
        <v>0</v>
      </c>
      <c r="Q55" s="291">
        <f t="shared" si="11"/>
        <v>0</v>
      </c>
      <c r="R55" s="291">
        <f t="shared" si="12"/>
        <v>0</v>
      </c>
      <c r="S55" s="291">
        <f t="shared" si="13"/>
        <v>0</v>
      </c>
      <c r="T55" s="291">
        <f t="shared" si="14"/>
        <v>0</v>
      </c>
      <c r="U55" s="291">
        <f t="shared" si="15"/>
        <v>0</v>
      </c>
      <c r="V55" s="881"/>
    </row>
    <row r="56" spans="1:22" ht="12.75">
      <c r="A56" s="1280"/>
      <c r="B56" s="446"/>
      <c r="C56" s="897"/>
      <c r="D56" s="897"/>
      <c r="E56" s="512"/>
      <c r="F56" s="512"/>
      <c r="G56" s="291">
        <f t="shared" si="2"/>
        <v>0</v>
      </c>
      <c r="H56" s="898">
        <f t="shared" si="3"/>
        <v>0</v>
      </c>
      <c r="I56" s="291">
        <f t="shared" si="4"/>
        <v>0</v>
      </c>
      <c r="J56" s="291">
        <f t="shared" si="5"/>
        <v>0</v>
      </c>
      <c r="K56" s="291">
        <f t="shared" si="6"/>
        <v>0</v>
      </c>
      <c r="L56" s="291">
        <f t="shared" si="7"/>
        <v>0</v>
      </c>
      <c r="M56" s="884">
        <f t="shared" si="8"/>
        <v>0.08180282570846481</v>
      </c>
      <c r="N56" s="899">
        <v>0</v>
      </c>
      <c r="O56" s="291">
        <f t="shared" si="9"/>
        <v>0</v>
      </c>
      <c r="P56" s="291">
        <f t="shared" si="10"/>
        <v>0</v>
      </c>
      <c r="Q56" s="291">
        <f t="shared" si="11"/>
        <v>0</v>
      </c>
      <c r="R56" s="291">
        <f t="shared" si="12"/>
        <v>0</v>
      </c>
      <c r="S56" s="291">
        <f t="shared" si="13"/>
        <v>0</v>
      </c>
      <c r="T56" s="291">
        <f t="shared" si="14"/>
        <v>0</v>
      </c>
      <c r="U56" s="291">
        <f t="shared" si="15"/>
        <v>0</v>
      </c>
      <c r="V56" s="881"/>
    </row>
    <row r="57" spans="1:22" ht="12.75">
      <c r="A57" s="1280"/>
      <c r="B57" s="446"/>
      <c r="C57" s="897"/>
      <c r="D57" s="897"/>
      <c r="E57" s="512"/>
      <c r="F57" s="512"/>
      <c r="G57" s="291">
        <f t="shared" si="2"/>
        <v>0</v>
      </c>
      <c r="H57" s="898">
        <f t="shared" si="3"/>
        <v>0</v>
      </c>
      <c r="I57" s="291">
        <f t="shared" si="4"/>
        <v>0</v>
      </c>
      <c r="J57" s="291">
        <f t="shared" si="5"/>
        <v>0</v>
      </c>
      <c r="K57" s="291">
        <f>ROUND(J57*$I$28,0)</f>
        <v>0</v>
      </c>
      <c r="L57" s="291">
        <f t="shared" si="7"/>
        <v>0</v>
      </c>
      <c r="M57" s="884">
        <f t="shared" si="8"/>
        <v>0.08180282570846481</v>
      </c>
      <c r="N57" s="899">
        <v>0</v>
      </c>
      <c r="O57" s="291">
        <f t="shared" si="9"/>
        <v>0</v>
      </c>
      <c r="P57" s="291">
        <f t="shared" si="10"/>
        <v>0</v>
      </c>
      <c r="Q57" s="291">
        <f t="shared" si="11"/>
        <v>0</v>
      </c>
      <c r="R57" s="291">
        <f t="shared" si="12"/>
        <v>0</v>
      </c>
      <c r="S57" s="291">
        <f t="shared" si="13"/>
        <v>0</v>
      </c>
      <c r="T57" s="291">
        <f t="shared" si="14"/>
        <v>0</v>
      </c>
      <c r="U57" s="291">
        <f t="shared" si="15"/>
        <v>0</v>
      </c>
      <c r="V57" s="881"/>
    </row>
    <row r="58" spans="1:22" ht="12.75">
      <c r="A58" s="1280"/>
      <c r="B58" s="446"/>
      <c r="C58" s="897"/>
      <c r="D58" s="897"/>
      <c r="E58" s="512"/>
      <c r="F58" s="512"/>
      <c r="G58" s="291">
        <f t="shared" si="2"/>
        <v>0</v>
      </c>
      <c r="H58" s="898">
        <f t="shared" si="3"/>
        <v>0</v>
      </c>
      <c r="I58" s="291">
        <f t="shared" si="4"/>
        <v>0</v>
      </c>
      <c r="J58" s="291">
        <f t="shared" si="5"/>
        <v>0</v>
      </c>
      <c r="K58" s="291">
        <f t="shared" si="6"/>
        <v>0</v>
      </c>
      <c r="L58" s="291">
        <f t="shared" si="7"/>
        <v>0</v>
      </c>
      <c r="M58" s="884">
        <f t="shared" si="8"/>
        <v>0.08180282570846481</v>
      </c>
      <c r="N58" s="899">
        <v>0</v>
      </c>
      <c r="O58" s="291">
        <f t="shared" si="9"/>
        <v>0</v>
      </c>
      <c r="P58" s="291">
        <f t="shared" si="10"/>
        <v>0</v>
      </c>
      <c r="Q58" s="291">
        <f t="shared" si="11"/>
        <v>0</v>
      </c>
      <c r="R58" s="291">
        <f t="shared" si="12"/>
        <v>0</v>
      </c>
      <c r="S58" s="291">
        <f t="shared" si="13"/>
        <v>0</v>
      </c>
      <c r="T58" s="291">
        <f t="shared" si="14"/>
        <v>0</v>
      </c>
      <c r="U58" s="291">
        <f t="shared" si="15"/>
        <v>0</v>
      </c>
      <c r="V58" s="881"/>
    </row>
    <row r="59" spans="1:22" ht="12.75">
      <c r="A59" s="1280"/>
      <c r="B59" s="446"/>
      <c r="C59" s="897"/>
      <c r="D59" s="897"/>
      <c r="E59" s="512"/>
      <c r="F59" s="512"/>
      <c r="G59" s="291">
        <f aca="true" t="shared" si="16" ref="G59:G64">E59-F59</f>
        <v>0</v>
      </c>
      <c r="H59" s="898">
        <f t="shared" si="3"/>
        <v>0</v>
      </c>
      <c r="I59" s="291">
        <f aca="true" t="shared" si="17" ref="I59:I64">ROUND(E59*H59*1.5,0)</f>
        <v>0</v>
      </c>
      <c r="J59" s="291">
        <f t="shared" si="5"/>
        <v>0</v>
      </c>
      <c r="K59" s="291">
        <f t="shared" si="6"/>
        <v>0</v>
      </c>
      <c r="L59" s="291">
        <f aca="true" t="shared" si="18" ref="L59:L64">ROUND(J59*$I$30,0)</f>
        <v>0</v>
      </c>
      <c r="M59" s="884">
        <f aca="true" t="shared" si="19" ref="M59:M64">+I$31</f>
        <v>0.08180282570846481</v>
      </c>
      <c r="N59" s="899">
        <v>0</v>
      </c>
      <c r="O59" s="291">
        <f aca="true" t="shared" si="20" ref="O59:O64">ROUND(N59*J59,0)</f>
        <v>0</v>
      </c>
      <c r="P59" s="291">
        <f aca="true" t="shared" si="21" ref="P59:P64">ROUND(O59+(M59*J59),0)</f>
        <v>0</v>
      </c>
      <c r="Q59" s="291">
        <f aca="true" t="shared" si="22" ref="Q59:Q64">ROUND(P59*I$24,0)</f>
        <v>0</v>
      </c>
      <c r="R59" s="291">
        <f aca="true" t="shared" si="23" ref="R59:R64">ROUND(+J59*$I$29,0)</f>
        <v>0</v>
      </c>
      <c r="S59" s="291">
        <f t="shared" si="13"/>
        <v>0</v>
      </c>
      <c r="T59" s="291">
        <f aca="true" t="shared" si="24" ref="T59:T64">ROUND(J59*I$34,0)</f>
        <v>0</v>
      </c>
      <c r="U59" s="291">
        <f t="shared" si="15"/>
        <v>0</v>
      </c>
      <c r="V59" s="881"/>
    </row>
    <row r="60" spans="1:22" ht="12.75">
      <c r="A60" s="1280"/>
      <c r="B60" s="446"/>
      <c r="C60" s="897"/>
      <c r="D60" s="897"/>
      <c r="E60" s="512"/>
      <c r="F60" s="512"/>
      <c r="G60" s="291">
        <f t="shared" si="16"/>
        <v>0</v>
      </c>
      <c r="H60" s="898">
        <f t="shared" si="3"/>
        <v>0</v>
      </c>
      <c r="I60" s="291">
        <f t="shared" si="17"/>
        <v>0</v>
      </c>
      <c r="J60" s="291">
        <f t="shared" si="5"/>
        <v>0</v>
      </c>
      <c r="K60" s="291">
        <f t="shared" si="6"/>
        <v>0</v>
      </c>
      <c r="L60" s="291">
        <f t="shared" si="18"/>
        <v>0</v>
      </c>
      <c r="M60" s="884">
        <f t="shared" si="19"/>
        <v>0.08180282570846481</v>
      </c>
      <c r="N60" s="899">
        <v>0</v>
      </c>
      <c r="O60" s="291">
        <f t="shared" si="20"/>
        <v>0</v>
      </c>
      <c r="P60" s="291">
        <f t="shared" si="21"/>
        <v>0</v>
      </c>
      <c r="Q60" s="291">
        <f t="shared" si="22"/>
        <v>0</v>
      </c>
      <c r="R60" s="291">
        <f t="shared" si="23"/>
        <v>0</v>
      </c>
      <c r="S60" s="291">
        <f t="shared" si="13"/>
        <v>0</v>
      </c>
      <c r="T60" s="291">
        <f t="shared" si="24"/>
        <v>0</v>
      </c>
      <c r="U60" s="291">
        <f t="shared" si="15"/>
        <v>0</v>
      </c>
      <c r="V60" s="881"/>
    </row>
    <row r="61" spans="1:22" ht="12.75">
      <c r="A61" s="1280"/>
      <c r="B61" s="446"/>
      <c r="C61" s="897"/>
      <c r="D61" s="897"/>
      <c r="E61" s="512"/>
      <c r="F61" s="512"/>
      <c r="G61" s="291">
        <f t="shared" si="16"/>
        <v>0</v>
      </c>
      <c r="H61" s="898">
        <f>IF(I$14=0,0,I$7/I$14)</f>
        <v>0</v>
      </c>
      <c r="I61" s="291">
        <f t="shared" si="17"/>
        <v>0</v>
      </c>
      <c r="J61" s="291">
        <f>MAX(E61-F61-I61,0)</f>
        <v>0</v>
      </c>
      <c r="K61" s="291">
        <f t="shared" si="6"/>
        <v>0</v>
      </c>
      <c r="L61" s="291">
        <f t="shared" si="18"/>
        <v>0</v>
      </c>
      <c r="M61" s="884">
        <f t="shared" si="19"/>
        <v>0.08180282570846481</v>
      </c>
      <c r="N61" s="899">
        <v>0</v>
      </c>
      <c r="O61" s="291">
        <f t="shared" si="20"/>
        <v>0</v>
      </c>
      <c r="P61" s="291">
        <f t="shared" si="21"/>
        <v>0</v>
      </c>
      <c r="Q61" s="291">
        <f t="shared" si="22"/>
        <v>0</v>
      </c>
      <c r="R61" s="291">
        <f t="shared" si="23"/>
        <v>0</v>
      </c>
      <c r="S61" s="291">
        <f>I61+K61+L61+P61+Q61+R61</f>
        <v>0</v>
      </c>
      <c r="T61" s="291">
        <f t="shared" si="24"/>
        <v>0</v>
      </c>
      <c r="U61" s="291">
        <f>S61+T61</f>
        <v>0</v>
      </c>
      <c r="V61" s="881"/>
    </row>
    <row r="62" spans="1:22" ht="12.75">
      <c r="A62" s="1280"/>
      <c r="B62" s="446"/>
      <c r="C62" s="897"/>
      <c r="D62" s="897"/>
      <c r="E62" s="512"/>
      <c r="F62" s="512"/>
      <c r="G62" s="291">
        <f t="shared" si="16"/>
        <v>0</v>
      </c>
      <c r="H62" s="898">
        <f>IF(I$14=0,0,I$7/I$14)</f>
        <v>0</v>
      </c>
      <c r="I62" s="291">
        <f t="shared" si="17"/>
        <v>0</v>
      </c>
      <c r="J62" s="291">
        <f>MAX(E62-F62-I62,0)</f>
        <v>0</v>
      </c>
      <c r="K62" s="291">
        <f t="shared" si="6"/>
        <v>0</v>
      </c>
      <c r="L62" s="291">
        <f t="shared" si="18"/>
        <v>0</v>
      </c>
      <c r="M62" s="884">
        <f t="shared" si="19"/>
        <v>0.08180282570846481</v>
      </c>
      <c r="N62" s="899">
        <v>0</v>
      </c>
      <c r="O62" s="291">
        <f t="shared" si="20"/>
        <v>0</v>
      </c>
      <c r="P62" s="291">
        <f t="shared" si="21"/>
        <v>0</v>
      </c>
      <c r="Q62" s="291">
        <f t="shared" si="22"/>
        <v>0</v>
      </c>
      <c r="R62" s="291">
        <f t="shared" si="23"/>
        <v>0</v>
      </c>
      <c r="S62" s="291">
        <f>I62+K62+L62+P62+Q62+R62</f>
        <v>0</v>
      </c>
      <c r="T62" s="291">
        <f t="shared" si="24"/>
        <v>0</v>
      </c>
      <c r="U62" s="291">
        <f>S62+T62</f>
        <v>0</v>
      </c>
      <c r="V62" s="881"/>
    </row>
    <row r="63" spans="1:22" ht="12.75">
      <c r="A63" s="1280"/>
      <c r="B63" s="446"/>
      <c r="C63" s="897"/>
      <c r="D63" s="897"/>
      <c r="E63" s="512"/>
      <c r="F63" s="512"/>
      <c r="G63" s="291">
        <f t="shared" si="16"/>
        <v>0</v>
      </c>
      <c r="H63" s="898">
        <f>IF(I$14=0,0,I$7/I$14)</f>
        <v>0</v>
      </c>
      <c r="I63" s="291">
        <f t="shared" si="17"/>
        <v>0</v>
      </c>
      <c r="J63" s="291">
        <f>MAX(E63-F63-I63,0)</f>
        <v>0</v>
      </c>
      <c r="K63" s="291">
        <f t="shared" si="6"/>
        <v>0</v>
      </c>
      <c r="L63" s="291">
        <f t="shared" si="18"/>
        <v>0</v>
      </c>
      <c r="M63" s="884">
        <f t="shared" si="19"/>
        <v>0.08180282570846481</v>
      </c>
      <c r="N63" s="899">
        <v>0</v>
      </c>
      <c r="O63" s="291">
        <f t="shared" si="20"/>
        <v>0</v>
      </c>
      <c r="P63" s="291">
        <f t="shared" si="21"/>
        <v>0</v>
      </c>
      <c r="Q63" s="291">
        <f t="shared" si="22"/>
        <v>0</v>
      </c>
      <c r="R63" s="291">
        <f t="shared" si="23"/>
        <v>0</v>
      </c>
      <c r="S63" s="291">
        <f>I63+K63+L63+P63+Q63+R63</f>
        <v>0</v>
      </c>
      <c r="T63" s="291">
        <f t="shared" si="24"/>
        <v>0</v>
      </c>
      <c r="U63" s="291">
        <f>S63+T63</f>
        <v>0</v>
      </c>
      <c r="V63" s="881"/>
    </row>
    <row r="64" spans="1:22" ht="12.75">
      <c r="A64" s="1280"/>
      <c r="B64" s="446"/>
      <c r="C64" s="897"/>
      <c r="D64" s="897"/>
      <c r="E64" s="512"/>
      <c r="F64" s="512"/>
      <c r="G64" s="291">
        <f t="shared" si="16"/>
        <v>0</v>
      </c>
      <c r="H64" s="898">
        <f t="shared" si="3"/>
        <v>0</v>
      </c>
      <c r="I64" s="291">
        <f t="shared" si="17"/>
        <v>0</v>
      </c>
      <c r="J64" s="291">
        <f t="shared" si="5"/>
        <v>0</v>
      </c>
      <c r="K64" s="291">
        <f t="shared" si="6"/>
        <v>0</v>
      </c>
      <c r="L64" s="291">
        <f t="shared" si="18"/>
        <v>0</v>
      </c>
      <c r="M64" s="884">
        <f t="shared" si="19"/>
        <v>0.08180282570846481</v>
      </c>
      <c r="N64" s="899">
        <v>0</v>
      </c>
      <c r="O64" s="291">
        <f t="shared" si="20"/>
        <v>0</v>
      </c>
      <c r="P64" s="291">
        <f t="shared" si="21"/>
        <v>0</v>
      </c>
      <c r="Q64" s="291">
        <f t="shared" si="22"/>
        <v>0</v>
      </c>
      <c r="R64" s="291">
        <f t="shared" si="23"/>
        <v>0</v>
      </c>
      <c r="S64" s="291">
        <f t="shared" si="13"/>
        <v>0</v>
      </c>
      <c r="T64" s="291">
        <f t="shared" si="24"/>
        <v>0</v>
      </c>
      <c r="U64" s="291">
        <f t="shared" si="15"/>
        <v>0</v>
      </c>
      <c r="V64" s="881"/>
    </row>
    <row r="65" spans="1:22" ht="12.75">
      <c r="A65" s="1281"/>
      <c r="B65" s="1068"/>
      <c r="C65" s="1068"/>
      <c r="D65" s="1068"/>
      <c r="E65" s="1069"/>
      <c r="F65" s="1069"/>
      <c r="G65" s="904"/>
      <c r="H65" s="1070"/>
      <c r="I65" s="904"/>
      <c r="J65" s="904"/>
      <c r="K65" s="904"/>
      <c r="L65" s="904"/>
      <c r="M65" s="1071"/>
      <c r="N65" s="1072"/>
      <c r="O65" s="904"/>
      <c r="P65" s="904"/>
      <c r="Q65" s="904"/>
      <c r="R65" s="904"/>
      <c r="S65" s="904"/>
      <c r="T65" s="904"/>
      <c r="U65" s="904"/>
      <c r="V65" s="881"/>
    </row>
    <row r="66" spans="1:22" ht="12.75">
      <c r="A66" s="901" t="s">
        <v>1144</v>
      </c>
      <c r="B66" s="1282" t="s">
        <v>1668</v>
      </c>
      <c r="E66" s="291">
        <f>SUM(E52:E65)</f>
        <v>0</v>
      </c>
      <c r="F66" s="291">
        <f>SUM(F52:F65)</f>
        <v>0</v>
      </c>
      <c r="G66" s="291">
        <f>SUM(G52:G65)</f>
        <v>0</v>
      </c>
      <c r="H66" s="881"/>
      <c r="I66" s="291">
        <f>SUM(I52:I65)</f>
        <v>0</v>
      </c>
      <c r="J66" s="291">
        <f>SUM(J52:J65)</f>
        <v>0</v>
      </c>
      <c r="K66" s="291">
        <f>SUM(K52:K65)</f>
        <v>0</v>
      </c>
      <c r="L66" s="291">
        <f>SUM(L52:L65)</f>
        <v>0</v>
      </c>
      <c r="M66" s="884"/>
      <c r="N66" s="884"/>
      <c r="O66" s="291">
        <f aca="true" t="shared" si="25" ref="O66:U66">SUM(O52:O65)</f>
        <v>0</v>
      </c>
      <c r="P66" s="291">
        <f t="shared" si="25"/>
        <v>0</v>
      </c>
      <c r="Q66" s="291">
        <f t="shared" si="25"/>
        <v>0</v>
      </c>
      <c r="R66" s="291">
        <f t="shared" si="25"/>
        <v>0</v>
      </c>
      <c r="S66" s="291">
        <f t="shared" si="25"/>
        <v>0</v>
      </c>
      <c r="T66" s="291">
        <f>SUM(T52:T65)</f>
        <v>0</v>
      </c>
      <c r="U66" s="291">
        <f t="shared" si="25"/>
        <v>0</v>
      </c>
      <c r="V66" s="881"/>
    </row>
    <row r="67" spans="1:22" ht="12.75">
      <c r="A67" s="901"/>
      <c r="B67" s="409"/>
      <c r="E67" s="291"/>
      <c r="F67" s="291"/>
      <c r="G67" s="291"/>
      <c r="H67" s="881"/>
      <c r="I67" s="291"/>
      <c r="J67" s="291"/>
      <c r="K67" s="291"/>
      <c r="L67" s="291"/>
      <c r="M67" s="884"/>
      <c r="N67" s="884"/>
      <c r="O67" s="884"/>
      <c r="P67" s="291"/>
      <c r="Q67" s="291"/>
      <c r="R67" s="291"/>
      <c r="S67" s="291"/>
      <c r="T67" s="291"/>
      <c r="U67" s="291"/>
      <c r="V67" s="881"/>
    </row>
    <row r="68" spans="1:22" ht="12.75">
      <c r="A68" s="901"/>
      <c r="B68" s="409"/>
      <c r="E68" s="291"/>
      <c r="F68" s="291"/>
      <c r="G68" s="291"/>
      <c r="H68" s="881"/>
      <c r="I68" s="291"/>
      <c r="J68" s="291"/>
      <c r="K68" s="291"/>
      <c r="L68" s="291"/>
      <c r="M68" s="884"/>
      <c r="N68" s="884"/>
      <c r="O68" s="884"/>
      <c r="P68" s="291"/>
      <c r="Q68" s="291"/>
      <c r="R68" s="291"/>
      <c r="S68" s="291"/>
      <c r="T68" s="291"/>
      <c r="U68" s="291"/>
      <c r="V68" s="881"/>
    </row>
    <row r="69" spans="1:22" ht="12.75">
      <c r="A69" s="901"/>
      <c r="B69" s="889"/>
      <c r="C69" s="889"/>
      <c r="D69" s="889"/>
      <c r="E69" s="890" t="s">
        <v>1494</v>
      </c>
      <c r="F69" s="890" t="s">
        <v>1536</v>
      </c>
      <c r="G69" s="890" t="s">
        <v>1013</v>
      </c>
      <c r="H69" s="890" t="s">
        <v>1490</v>
      </c>
      <c r="I69" s="890" t="s">
        <v>119</v>
      </c>
      <c r="J69" s="890" t="s">
        <v>1014</v>
      </c>
      <c r="K69" s="890" t="s">
        <v>1291</v>
      </c>
      <c r="L69" s="890" t="s">
        <v>1497</v>
      </c>
      <c r="M69" s="890" t="s">
        <v>767</v>
      </c>
      <c r="N69" s="890" t="s">
        <v>766</v>
      </c>
      <c r="O69" s="890" t="s">
        <v>1721</v>
      </c>
      <c r="P69" s="890" t="s">
        <v>1106</v>
      </c>
      <c r="Q69" s="890" t="s">
        <v>1499</v>
      </c>
      <c r="R69" s="890" t="s">
        <v>764</v>
      </c>
      <c r="S69" s="890" t="s">
        <v>1646</v>
      </c>
      <c r="T69" s="890" t="s">
        <v>1140</v>
      </c>
      <c r="U69" s="890" t="s">
        <v>764</v>
      </c>
      <c r="V69" s="881"/>
    </row>
    <row r="70" spans="1:22" ht="13.5" thickBot="1">
      <c r="A70" s="901"/>
      <c r="B70" s="891" t="s">
        <v>1743</v>
      </c>
      <c r="C70" s="891" t="s">
        <v>1493</v>
      </c>
      <c r="D70" s="871"/>
      <c r="E70" s="892" t="s">
        <v>1495</v>
      </c>
      <c r="F70" s="892" t="s">
        <v>1490</v>
      </c>
      <c r="G70" s="892" t="s">
        <v>1489</v>
      </c>
      <c r="H70" s="892" t="s">
        <v>277</v>
      </c>
      <c r="I70" s="892" t="s">
        <v>1490</v>
      </c>
      <c r="J70" s="892" t="s">
        <v>1489</v>
      </c>
      <c r="K70" s="892" t="s">
        <v>1481</v>
      </c>
      <c r="L70" s="892" t="s">
        <v>1498</v>
      </c>
      <c r="M70" s="892" t="s">
        <v>964</v>
      </c>
      <c r="N70" s="892" t="s">
        <v>600</v>
      </c>
      <c r="O70" s="892" t="s">
        <v>1169</v>
      </c>
      <c r="P70" s="892" t="s">
        <v>964</v>
      </c>
      <c r="Q70" s="892" t="s">
        <v>1498</v>
      </c>
      <c r="R70" s="892" t="s">
        <v>763</v>
      </c>
      <c r="S70" s="892" t="s">
        <v>1647</v>
      </c>
      <c r="T70" s="892" t="s">
        <v>1184</v>
      </c>
      <c r="U70" s="892" t="s">
        <v>1696</v>
      </c>
      <c r="V70" s="881"/>
    </row>
    <row r="71" spans="1:22" ht="12.75">
      <c r="A71" s="901"/>
      <c r="B71" s="893"/>
      <c r="C71" s="889"/>
      <c r="D71" s="890"/>
      <c r="E71" s="890"/>
      <c r="F71" s="890"/>
      <c r="G71" s="890" t="s">
        <v>612</v>
      </c>
      <c r="H71" s="890"/>
      <c r="I71" s="890" t="s">
        <v>1537</v>
      </c>
      <c r="J71" s="890" t="s">
        <v>993</v>
      </c>
      <c r="K71" s="890" t="s">
        <v>1018</v>
      </c>
      <c r="L71" s="890" t="s">
        <v>1019</v>
      </c>
      <c r="M71" s="890" t="s">
        <v>613</v>
      </c>
      <c r="N71" s="890"/>
      <c r="O71" s="890" t="s">
        <v>1252</v>
      </c>
      <c r="P71" s="890" t="s">
        <v>1254</v>
      </c>
      <c r="Q71" s="890" t="s">
        <v>1020</v>
      </c>
      <c r="R71" s="890" t="s">
        <v>1021</v>
      </c>
      <c r="S71" s="890" t="s">
        <v>987</v>
      </c>
      <c r="T71" s="890" t="s">
        <v>1142</v>
      </c>
      <c r="U71" s="890" t="s">
        <v>1649</v>
      </c>
      <c r="V71" s="881"/>
    </row>
    <row r="72" spans="2:22" ht="12.75">
      <c r="B72" s="902" t="s">
        <v>573</v>
      </c>
      <c r="C72" s="903"/>
      <c r="E72" s="291"/>
      <c r="F72" s="291"/>
      <c r="G72" s="291"/>
      <c r="H72" s="881"/>
      <c r="I72" s="291"/>
      <c r="J72" s="291"/>
      <c r="K72" s="291"/>
      <c r="L72" s="291"/>
      <c r="M72" s="291"/>
      <c r="N72" s="291"/>
      <c r="O72" s="291"/>
      <c r="P72" s="291"/>
      <c r="Q72" s="291"/>
      <c r="R72" s="291"/>
      <c r="S72" s="291"/>
      <c r="T72" s="291"/>
      <c r="U72" s="291"/>
      <c r="V72" s="881"/>
    </row>
    <row r="73" spans="1:22" ht="12.75">
      <c r="A73" s="1280" t="s">
        <v>1207</v>
      </c>
      <c r="B73" s="446"/>
      <c r="C73" s="446"/>
      <c r="D73" s="897"/>
      <c r="E73" s="512"/>
      <c r="F73" s="1283">
        <v>0</v>
      </c>
      <c r="G73" s="291">
        <f>E73</f>
        <v>0</v>
      </c>
      <c r="H73" s="899">
        <v>0</v>
      </c>
      <c r="I73" s="512">
        <f>'P-4 (BPF Projects)'!H41</f>
        <v>0</v>
      </c>
      <c r="J73" s="291">
        <f aca="true" t="shared" si="26" ref="J73:J92">MAX(E73-F73-I73,0)</f>
        <v>0</v>
      </c>
      <c r="K73" s="291">
        <f aca="true" t="shared" si="27" ref="K73:K92">ROUND(J73*$I$28,0)</f>
        <v>0</v>
      </c>
      <c r="L73" s="291">
        <f aca="true" t="shared" si="28" ref="L73:L92">ROUND(J73*$I$30,0)</f>
        <v>0</v>
      </c>
      <c r="M73" s="884">
        <f aca="true" t="shared" si="29" ref="M73:M92">+I$31</f>
        <v>0.08180282570846481</v>
      </c>
      <c r="N73" s="899">
        <v>0</v>
      </c>
      <c r="O73" s="291">
        <f aca="true" t="shared" si="30" ref="O73:O92">ROUND(N73*J73,0)</f>
        <v>0</v>
      </c>
      <c r="P73" s="291">
        <f>ROUND(O73+(M73*J73),0)</f>
        <v>0</v>
      </c>
      <c r="Q73" s="291">
        <f aca="true" t="shared" si="31" ref="Q73:Q92">ROUND(P73*I$24,0)</f>
        <v>0</v>
      </c>
      <c r="R73" s="291">
        <f aca="true" t="shared" si="32" ref="R73:R92">ROUND(+J73*$I$29,0)</f>
        <v>0</v>
      </c>
      <c r="S73" s="291">
        <f aca="true" t="shared" si="33" ref="S73:S92">I73+K73+L73+P73+Q73+R73</f>
        <v>0</v>
      </c>
      <c r="T73" s="291">
        <f aca="true" t="shared" si="34" ref="T73:T92">ROUND(J73*I$34,0)</f>
        <v>0</v>
      </c>
      <c r="U73" s="291">
        <f aca="true" t="shared" si="35" ref="U73:U92">S73+T73</f>
        <v>0</v>
      </c>
      <c r="V73" s="881"/>
    </row>
    <row r="74" spans="1:22" ht="12.75">
      <c r="A74" s="1280"/>
      <c r="B74" s="446"/>
      <c r="C74" s="446"/>
      <c r="D74" s="897"/>
      <c r="E74" s="512"/>
      <c r="F74" s="1283">
        <v>0</v>
      </c>
      <c r="G74" s="291">
        <f aca="true" t="shared" si="36" ref="G74:G92">E74</f>
        <v>0</v>
      </c>
      <c r="H74" s="899">
        <v>0</v>
      </c>
      <c r="I74" s="512">
        <f>'P-4 (BPF Projects)'!K41</f>
        <v>0</v>
      </c>
      <c r="J74" s="291">
        <f t="shared" si="26"/>
        <v>0</v>
      </c>
      <c r="K74" s="291">
        <f t="shared" si="27"/>
        <v>0</v>
      </c>
      <c r="L74" s="291">
        <f t="shared" si="28"/>
        <v>0</v>
      </c>
      <c r="M74" s="884">
        <f t="shared" si="29"/>
        <v>0.08180282570846481</v>
      </c>
      <c r="N74" s="899">
        <v>0</v>
      </c>
      <c r="O74" s="291">
        <f t="shared" si="30"/>
        <v>0</v>
      </c>
      <c r="P74" s="291">
        <f aca="true" t="shared" si="37" ref="P74:P92">ROUND(O74+(M74*J74),0)</f>
        <v>0</v>
      </c>
      <c r="Q74" s="291">
        <f t="shared" si="31"/>
        <v>0</v>
      </c>
      <c r="R74" s="291">
        <f t="shared" si="32"/>
        <v>0</v>
      </c>
      <c r="S74" s="291">
        <f t="shared" si="33"/>
        <v>0</v>
      </c>
      <c r="T74" s="291">
        <f t="shared" si="34"/>
        <v>0</v>
      </c>
      <c r="U74" s="291">
        <f t="shared" si="35"/>
        <v>0</v>
      </c>
      <c r="V74" s="881"/>
    </row>
    <row r="75" spans="1:22" ht="12.75">
      <c r="A75" s="1280"/>
      <c r="B75" s="446"/>
      <c r="C75" s="897"/>
      <c r="D75" s="897"/>
      <c r="E75" s="512"/>
      <c r="F75" s="1283">
        <v>0</v>
      </c>
      <c r="G75" s="291">
        <f t="shared" si="36"/>
        <v>0</v>
      </c>
      <c r="H75" s="899">
        <v>0</v>
      </c>
      <c r="I75" s="512">
        <f>'P-4 (BPF Projects)'!N41</f>
        <v>0</v>
      </c>
      <c r="J75" s="291">
        <f t="shared" si="26"/>
        <v>0</v>
      </c>
      <c r="K75" s="291">
        <f t="shared" si="27"/>
        <v>0</v>
      </c>
      <c r="L75" s="291">
        <f t="shared" si="28"/>
        <v>0</v>
      </c>
      <c r="M75" s="884">
        <f t="shared" si="29"/>
        <v>0.08180282570846481</v>
      </c>
      <c r="N75" s="899">
        <v>0</v>
      </c>
      <c r="O75" s="291">
        <f t="shared" si="30"/>
        <v>0</v>
      </c>
      <c r="P75" s="291">
        <f t="shared" si="37"/>
        <v>0</v>
      </c>
      <c r="Q75" s="291">
        <f t="shared" si="31"/>
        <v>0</v>
      </c>
      <c r="R75" s="291">
        <f t="shared" si="32"/>
        <v>0</v>
      </c>
      <c r="S75" s="291">
        <f t="shared" si="33"/>
        <v>0</v>
      </c>
      <c r="T75" s="291">
        <f t="shared" si="34"/>
        <v>0</v>
      </c>
      <c r="U75" s="291">
        <f t="shared" si="35"/>
        <v>0</v>
      </c>
      <c r="V75" s="881"/>
    </row>
    <row r="76" spans="1:22" ht="12.75">
      <c r="A76" s="1280"/>
      <c r="B76" s="446"/>
      <c r="C76" s="897"/>
      <c r="D76" s="897"/>
      <c r="E76" s="512"/>
      <c r="F76" s="1283">
        <v>0</v>
      </c>
      <c r="G76" s="291">
        <f t="shared" si="36"/>
        <v>0</v>
      </c>
      <c r="H76" s="899">
        <v>0</v>
      </c>
      <c r="I76" s="512">
        <f>+'P-4 (BPF Projects)'!Q41</f>
        <v>0</v>
      </c>
      <c r="J76" s="291">
        <f t="shared" si="26"/>
        <v>0</v>
      </c>
      <c r="K76" s="291">
        <f t="shared" si="27"/>
        <v>0</v>
      </c>
      <c r="L76" s="291">
        <f t="shared" si="28"/>
        <v>0</v>
      </c>
      <c r="M76" s="884">
        <f t="shared" si="29"/>
        <v>0.08180282570846481</v>
      </c>
      <c r="N76" s="899">
        <v>0</v>
      </c>
      <c r="O76" s="291">
        <f t="shared" si="30"/>
        <v>0</v>
      </c>
      <c r="P76" s="291">
        <f t="shared" si="37"/>
        <v>0</v>
      </c>
      <c r="Q76" s="291">
        <f t="shared" si="31"/>
        <v>0</v>
      </c>
      <c r="R76" s="291">
        <f t="shared" si="32"/>
        <v>0</v>
      </c>
      <c r="S76" s="291">
        <f t="shared" si="33"/>
        <v>0</v>
      </c>
      <c r="T76" s="291">
        <f t="shared" si="34"/>
        <v>0</v>
      </c>
      <c r="U76" s="291">
        <f t="shared" si="35"/>
        <v>0</v>
      </c>
      <c r="V76" s="881"/>
    </row>
    <row r="77" spans="1:22" ht="12.75">
      <c r="A77" s="1280"/>
      <c r="B77" s="446"/>
      <c r="C77" s="897"/>
      <c r="D77" s="897"/>
      <c r="E77" s="512"/>
      <c r="F77" s="1283">
        <v>0</v>
      </c>
      <c r="G77" s="291">
        <f t="shared" si="36"/>
        <v>0</v>
      </c>
      <c r="H77" s="899">
        <v>0</v>
      </c>
      <c r="I77" s="512">
        <f>+'P-4 (BPF Projects)'!V41</f>
        <v>0</v>
      </c>
      <c r="J77" s="291">
        <f t="shared" si="26"/>
        <v>0</v>
      </c>
      <c r="K77" s="291">
        <f t="shared" si="27"/>
        <v>0</v>
      </c>
      <c r="L77" s="291">
        <f t="shared" si="28"/>
        <v>0</v>
      </c>
      <c r="M77" s="884">
        <f t="shared" si="29"/>
        <v>0.08180282570846481</v>
      </c>
      <c r="N77" s="899">
        <v>0</v>
      </c>
      <c r="O77" s="291">
        <f t="shared" si="30"/>
        <v>0</v>
      </c>
      <c r="P77" s="291">
        <f t="shared" si="37"/>
        <v>0</v>
      </c>
      <c r="Q77" s="291">
        <f t="shared" si="31"/>
        <v>0</v>
      </c>
      <c r="R77" s="291">
        <f t="shared" si="32"/>
        <v>0</v>
      </c>
      <c r="S77" s="291">
        <f t="shared" si="33"/>
        <v>0</v>
      </c>
      <c r="T77" s="291">
        <f t="shared" si="34"/>
        <v>0</v>
      </c>
      <c r="U77" s="291">
        <f t="shared" si="35"/>
        <v>0</v>
      </c>
      <c r="V77" s="881"/>
    </row>
    <row r="78" spans="1:22" ht="12.75">
      <c r="A78" s="1280"/>
      <c r="B78" s="446"/>
      <c r="C78" s="897"/>
      <c r="D78" s="897"/>
      <c r="E78" s="512"/>
      <c r="F78" s="1283">
        <v>0</v>
      </c>
      <c r="G78" s="291">
        <f t="shared" si="36"/>
        <v>0</v>
      </c>
      <c r="H78" s="899">
        <v>0</v>
      </c>
      <c r="I78" s="512">
        <f>+'P-4 (BPF Projects)'!Y41</f>
        <v>0</v>
      </c>
      <c r="J78" s="291">
        <f t="shared" si="26"/>
        <v>0</v>
      </c>
      <c r="K78" s="291">
        <f t="shared" si="27"/>
        <v>0</v>
      </c>
      <c r="L78" s="291">
        <f t="shared" si="28"/>
        <v>0</v>
      </c>
      <c r="M78" s="884">
        <f t="shared" si="29"/>
        <v>0.08180282570846481</v>
      </c>
      <c r="N78" s="899">
        <v>0</v>
      </c>
      <c r="O78" s="291">
        <f t="shared" si="30"/>
        <v>0</v>
      </c>
      <c r="P78" s="291">
        <f t="shared" si="37"/>
        <v>0</v>
      </c>
      <c r="Q78" s="291">
        <f t="shared" si="31"/>
        <v>0</v>
      </c>
      <c r="R78" s="291">
        <f t="shared" si="32"/>
        <v>0</v>
      </c>
      <c r="S78" s="291">
        <f t="shared" si="33"/>
        <v>0</v>
      </c>
      <c r="T78" s="291">
        <f t="shared" si="34"/>
        <v>0</v>
      </c>
      <c r="U78" s="291">
        <f t="shared" si="35"/>
        <v>0</v>
      </c>
      <c r="V78" s="881"/>
    </row>
    <row r="79" spans="1:22" ht="12.75">
      <c r="A79" s="1280"/>
      <c r="B79" s="446"/>
      <c r="C79" s="897"/>
      <c r="D79" s="897"/>
      <c r="E79" s="512"/>
      <c r="F79" s="1283">
        <v>0</v>
      </c>
      <c r="G79" s="291">
        <f t="shared" si="36"/>
        <v>0</v>
      </c>
      <c r="H79" s="899">
        <v>0</v>
      </c>
      <c r="I79" s="512">
        <f>+'P-4 (BPF Projects)'!AB41</f>
        <v>0</v>
      </c>
      <c r="J79" s="291">
        <f t="shared" si="26"/>
        <v>0</v>
      </c>
      <c r="K79" s="291">
        <f t="shared" si="27"/>
        <v>0</v>
      </c>
      <c r="L79" s="291">
        <f t="shared" si="28"/>
        <v>0</v>
      </c>
      <c r="M79" s="884">
        <f t="shared" si="29"/>
        <v>0.08180282570846481</v>
      </c>
      <c r="N79" s="899">
        <v>0</v>
      </c>
      <c r="O79" s="291">
        <f t="shared" si="30"/>
        <v>0</v>
      </c>
      <c r="P79" s="291">
        <f t="shared" si="37"/>
        <v>0</v>
      </c>
      <c r="Q79" s="291">
        <f t="shared" si="31"/>
        <v>0</v>
      </c>
      <c r="R79" s="291">
        <f t="shared" si="32"/>
        <v>0</v>
      </c>
      <c r="S79" s="291">
        <f t="shared" si="33"/>
        <v>0</v>
      </c>
      <c r="T79" s="291">
        <f t="shared" si="34"/>
        <v>0</v>
      </c>
      <c r="U79" s="291">
        <f t="shared" si="35"/>
        <v>0</v>
      </c>
      <c r="V79" s="881"/>
    </row>
    <row r="80" spans="1:22" ht="12.75">
      <c r="A80" s="1280"/>
      <c r="B80" s="446"/>
      <c r="C80" s="897"/>
      <c r="D80" s="897"/>
      <c r="E80" s="512"/>
      <c r="F80" s="1283">
        <v>0</v>
      </c>
      <c r="G80" s="291">
        <f t="shared" si="36"/>
        <v>0</v>
      </c>
      <c r="H80" s="899">
        <v>0</v>
      </c>
      <c r="I80" s="512">
        <f>+'P-4 (BPF Projects)'!AE41</f>
        <v>0</v>
      </c>
      <c r="J80" s="291">
        <f t="shared" si="26"/>
        <v>0</v>
      </c>
      <c r="K80" s="291">
        <f t="shared" si="27"/>
        <v>0</v>
      </c>
      <c r="L80" s="291">
        <f t="shared" si="28"/>
        <v>0</v>
      </c>
      <c r="M80" s="884">
        <f t="shared" si="29"/>
        <v>0.08180282570846481</v>
      </c>
      <c r="N80" s="899">
        <v>0</v>
      </c>
      <c r="O80" s="291">
        <f t="shared" si="30"/>
        <v>0</v>
      </c>
      <c r="P80" s="291">
        <f t="shared" si="37"/>
        <v>0</v>
      </c>
      <c r="Q80" s="291">
        <f t="shared" si="31"/>
        <v>0</v>
      </c>
      <c r="R80" s="291">
        <f t="shared" si="32"/>
        <v>0</v>
      </c>
      <c r="S80" s="291">
        <f t="shared" si="33"/>
        <v>0</v>
      </c>
      <c r="T80" s="291">
        <f t="shared" si="34"/>
        <v>0</v>
      </c>
      <c r="U80" s="291">
        <f t="shared" si="35"/>
        <v>0</v>
      </c>
      <c r="V80" s="881"/>
    </row>
    <row r="81" spans="1:22" ht="12.75">
      <c r="A81" s="1280"/>
      <c r="B81" s="446"/>
      <c r="C81" s="897"/>
      <c r="D81" s="897"/>
      <c r="E81" s="512"/>
      <c r="F81" s="1283">
        <v>0</v>
      </c>
      <c r="G81" s="291">
        <f t="shared" si="36"/>
        <v>0</v>
      </c>
      <c r="H81" s="899">
        <v>0</v>
      </c>
      <c r="I81" s="512">
        <f>+'P-4 (BPF Projects)'!AH41</f>
        <v>0</v>
      </c>
      <c r="J81" s="291">
        <f t="shared" si="26"/>
        <v>0</v>
      </c>
      <c r="K81" s="291">
        <f t="shared" si="27"/>
        <v>0</v>
      </c>
      <c r="L81" s="291">
        <f t="shared" si="28"/>
        <v>0</v>
      </c>
      <c r="M81" s="884">
        <f t="shared" si="29"/>
        <v>0.08180282570846481</v>
      </c>
      <c r="N81" s="899">
        <v>0</v>
      </c>
      <c r="O81" s="291">
        <f t="shared" si="30"/>
        <v>0</v>
      </c>
      <c r="P81" s="291">
        <f t="shared" si="37"/>
        <v>0</v>
      </c>
      <c r="Q81" s="291">
        <f t="shared" si="31"/>
        <v>0</v>
      </c>
      <c r="R81" s="291">
        <f t="shared" si="32"/>
        <v>0</v>
      </c>
      <c r="S81" s="291">
        <f t="shared" si="33"/>
        <v>0</v>
      </c>
      <c r="T81" s="291">
        <f t="shared" si="34"/>
        <v>0</v>
      </c>
      <c r="U81" s="291">
        <f t="shared" si="35"/>
        <v>0</v>
      </c>
      <c r="V81" s="881"/>
    </row>
    <row r="82" spans="1:22" ht="12.75">
      <c r="A82" s="1280"/>
      <c r="B82" s="446"/>
      <c r="C82" s="897"/>
      <c r="D82" s="897"/>
      <c r="E82" s="512"/>
      <c r="F82" s="1283">
        <v>0</v>
      </c>
      <c r="G82" s="291">
        <f t="shared" si="36"/>
        <v>0</v>
      </c>
      <c r="H82" s="899">
        <v>0</v>
      </c>
      <c r="I82" s="512">
        <f>+'P-4 (BPF Projects)'!AM41</f>
        <v>0</v>
      </c>
      <c r="J82" s="291">
        <f t="shared" si="26"/>
        <v>0</v>
      </c>
      <c r="K82" s="291">
        <f t="shared" si="27"/>
        <v>0</v>
      </c>
      <c r="L82" s="291">
        <f t="shared" si="28"/>
        <v>0</v>
      </c>
      <c r="M82" s="884">
        <f t="shared" si="29"/>
        <v>0.08180282570846481</v>
      </c>
      <c r="N82" s="899">
        <v>0</v>
      </c>
      <c r="O82" s="291">
        <f t="shared" si="30"/>
        <v>0</v>
      </c>
      <c r="P82" s="291">
        <f t="shared" si="37"/>
        <v>0</v>
      </c>
      <c r="Q82" s="291">
        <f t="shared" si="31"/>
        <v>0</v>
      </c>
      <c r="R82" s="291">
        <f t="shared" si="32"/>
        <v>0</v>
      </c>
      <c r="S82" s="291">
        <f t="shared" si="33"/>
        <v>0</v>
      </c>
      <c r="T82" s="291">
        <f t="shared" si="34"/>
        <v>0</v>
      </c>
      <c r="U82" s="291">
        <f t="shared" si="35"/>
        <v>0</v>
      </c>
      <c r="V82" s="881"/>
    </row>
    <row r="83" spans="1:22" ht="12.75">
      <c r="A83" s="1280"/>
      <c r="B83" s="446"/>
      <c r="C83" s="897"/>
      <c r="D83" s="897"/>
      <c r="E83" s="512"/>
      <c r="F83" s="1283">
        <v>0</v>
      </c>
      <c r="G83" s="291">
        <f aca="true" t="shared" si="38" ref="G83:G88">E83</f>
        <v>0</v>
      </c>
      <c r="H83" s="899">
        <v>0</v>
      </c>
      <c r="I83" s="512">
        <f>'P-4 (BPF Projects)'!AP41</f>
        <v>0</v>
      </c>
      <c r="J83" s="291">
        <f aca="true" t="shared" si="39" ref="J83:J88">MAX(E83-F83-I83,0)</f>
        <v>0</v>
      </c>
      <c r="K83" s="291">
        <f t="shared" si="27"/>
        <v>0</v>
      </c>
      <c r="L83" s="291">
        <f aca="true" t="shared" si="40" ref="L83:L88">ROUND(J83*$I$30,0)</f>
        <v>0</v>
      </c>
      <c r="M83" s="884">
        <f aca="true" t="shared" si="41" ref="M83:M88">+I$31</f>
        <v>0.08180282570846481</v>
      </c>
      <c r="N83" s="899">
        <v>0</v>
      </c>
      <c r="O83" s="291">
        <f aca="true" t="shared" si="42" ref="O83:O88">ROUND(N83*J83,0)</f>
        <v>0</v>
      </c>
      <c r="P83" s="291">
        <f aca="true" t="shared" si="43" ref="P83:P88">ROUND(O83+(M83*J83),0)</f>
        <v>0</v>
      </c>
      <c r="Q83" s="291">
        <f aca="true" t="shared" si="44" ref="Q83:Q88">ROUND(P83*I$24,0)</f>
        <v>0</v>
      </c>
      <c r="R83" s="291">
        <f aca="true" t="shared" si="45" ref="R83:R88">ROUND(+J83*$I$29,0)</f>
        <v>0</v>
      </c>
      <c r="S83" s="291">
        <f aca="true" t="shared" si="46" ref="S83:S88">I83+K83+L83+P83+Q83+R83</f>
        <v>0</v>
      </c>
      <c r="T83" s="291">
        <f aca="true" t="shared" si="47" ref="T83:T88">ROUND(J83*I$34,0)</f>
        <v>0</v>
      </c>
      <c r="U83" s="291">
        <f aca="true" t="shared" si="48" ref="U83:U88">S83+T83</f>
        <v>0</v>
      </c>
      <c r="V83" s="881"/>
    </row>
    <row r="84" spans="1:22" ht="12.75">
      <c r="A84" s="1280"/>
      <c r="B84" s="446"/>
      <c r="C84" s="897"/>
      <c r="D84" s="897"/>
      <c r="E84" s="512"/>
      <c r="F84" s="1283">
        <v>0</v>
      </c>
      <c r="G84" s="291">
        <f t="shared" si="38"/>
        <v>0</v>
      </c>
      <c r="H84" s="899">
        <v>0</v>
      </c>
      <c r="I84" s="512">
        <f>'P-4 (BPF Projects)'!AS41</f>
        <v>0</v>
      </c>
      <c r="J84" s="291">
        <f t="shared" si="39"/>
        <v>0</v>
      </c>
      <c r="K84" s="291">
        <f t="shared" si="27"/>
        <v>0</v>
      </c>
      <c r="L84" s="291">
        <f t="shared" si="40"/>
        <v>0</v>
      </c>
      <c r="M84" s="884">
        <f t="shared" si="41"/>
        <v>0.08180282570846481</v>
      </c>
      <c r="N84" s="899">
        <v>0</v>
      </c>
      <c r="O84" s="291">
        <f t="shared" si="42"/>
        <v>0</v>
      </c>
      <c r="P84" s="291">
        <f t="shared" si="43"/>
        <v>0</v>
      </c>
      <c r="Q84" s="291">
        <f t="shared" si="44"/>
        <v>0</v>
      </c>
      <c r="R84" s="291">
        <f t="shared" si="45"/>
        <v>0</v>
      </c>
      <c r="S84" s="291">
        <f t="shared" si="46"/>
        <v>0</v>
      </c>
      <c r="T84" s="291">
        <f t="shared" si="47"/>
        <v>0</v>
      </c>
      <c r="U84" s="291">
        <f t="shared" si="48"/>
        <v>0</v>
      </c>
      <c r="V84" s="881"/>
    </row>
    <row r="85" spans="1:22" ht="12.75">
      <c r="A85" s="1280"/>
      <c r="B85" s="446"/>
      <c r="C85" s="897"/>
      <c r="D85" s="897"/>
      <c r="E85" s="512"/>
      <c r="F85" s="1283">
        <v>0</v>
      </c>
      <c r="G85" s="291">
        <f t="shared" si="38"/>
        <v>0</v>
      </c>
      <c r="H85" s="899">
        <v>0</v>
      </c>
      <c r="I85" s="512">
        <f>'P-4 (BPF Projects)'!AV41</f>
        <v>0</v>
      </c>
      <c r="J85" s="291">
        <f t="shared" si="39"/>
        <v>0</v>
      </c>
      <c r="K85" s="291">
        <f t="shared" si="27"/>
        <v>0</v>
      </c>
      <c r="L85" s="291">
        <f t="shared" si="40"/>
        <v>0</v>
      </c>
      <c r="M85" s="884">
        <f t="shared" si="41"/>
        <v>0.08180282570846481</v>
      </c>
      <c r="N85" s="899">
        <v>0</v>
      </c>
      <c r="O85" s="291">
        <f t="shared" si="42"/>
        <v>0</v>
      </c>
      <c r="P85" s="291">
        <f t="shared" si="43"/>
        <v>0</v>
      </c>
      <c r="Q85" s="291">
        <f t="shared" si="44"/>
        <v>0</v>
      </c>
      <c r="R85" s="291">
        <f t="shared" si="45"/>
        <v>0</v>
      </c>
      <c r="S85" s="291">
        <f t="shared" si="46"/>
        <v>0</v>
      </c>
      <c r="T85" s="291">
        <f t="shared" si="47"/>
        <v>0</v>
      </c>
      <c r="U85" s="291">
        <f t="shared" si="48"/>
        <v>0</v>
      </c>
      <c r="V85" s="881"/>
    </row>
    <row r="86" spans="1:22" ht="12.75">
      <c r="A86" s="1280"/>
      <c r="B86" s="446"/>
      <c r="C86" s="897"/>
      <c r="D86" s="897"/>
      <c r="E86" s="512"/>
      <c r="F86" s="1283">
        <v>0</v>
      </c>
      <c r="G86" s="291">
        <f t="shared" si="38"/>
        <v>0</v>
      </c>
      <c r="H86" s="899">
        <v>0</v>
      </c>
      <c r="I86" s="512">
        <f>'P-4 (BPF Projects)'!AY41</f>
        <v>0</v>
      </c>
      <c r="J86" s="291">
        <f t="shared" si="39"/>
        <v>0</v>
      </c>
      <c r="K86" s="291">
        <f t="shared" si="27"/>
        <v>0</v>
      </c>
      <c r="L86" s="291">
        <f t="shared" si="40"/>
        <v>0</v>
      </c>
      <c r="M86" s="884">
        <f t="shared" si="41"/>
        <v>0.08180282570846481</v>
      </c>
      <c r="N86" s="899">
        <v>0</v>
      </c>
      <c r="O86" s="291">
        <f t="shared" si="42"/>
        <v>0</v>
      </c>
      <c r="P86" s="291">
        <f t="shared" si="43"/>
        <v>0</v>
      </c>
      <c r="Q86" s="291">
        <f t="shared" si="44"/>
        <v>0</v>
      </c>
      <c r="R86" s="291">
        <f t="shared" si="45"/>
        <v>0</v>
      </c>
      <c r="S86" s="291">
        <f t="shared" si="46"/>
        <v>0</v>
      </c>
      <c r="T86" s="291">
        <f t="shared" si="47"/>
        <v>0</v>
      </c>
      <c r="U86" s="291">
        <f t="shared" si="48"/>
        <v>0</v>
      </c>
      <c r="V86" s="881"/>
    </row>
    <row r="87" spans="1:22" ht="12.75">
      <c r="A87" s="1280"/>
      <c r="B87" s="446"/>
      <c r="C87" s="897"/>
      <c r="D87" s="897"/>
      <c r="E87" s="512"/>
      <c r="F87" s="1283">
        <v>0</v>
      </c>
      <c r="G87" s="291">
        <f t="shared" si="38"/>
        <v>0</v>
      </c>
      <c r="H87" s="899">
        <v>0</v>
      </c>
      <c r="I87" s="512">
        <f>'P-4 (BPF Projects)'!BD41</f>
        <v>0</v>
      </c>
      <c r="J87" s="291">
        <f t="shared" si="39"/>
        <v>0</v>
      </c>
      <c r="K87" s="291">
        <f t="shared" si="27"/>
        <v>0</v>
      </c>
      <c r="L87" s="291">
        <f t="shared" si="40"/>
        <v>0</v>
      </c>
      <c r="M87" s="884">
        <f t="shared" si="41"/>
        <v>0.08180282570846481</v>
      </c>
      <c r="N87" s="899">
        <v>0</v>
      </c>
      <c r="O87" s="291">
        <f t="shared" si="42"/>
        <v>0</v>
      </c>
      <c r="P87" s="291">
        <f t="shared" si="43"/>
        <v>0</v>
      </c>
      <c r="Q87" s="291">
        <f t="shared" si="44"/>
        <v>0</v>
      </c>
      <c r="R87" s="291">
        <f t="shared" si="45"/>
        <v>0</v>
      </c>
      <c r="S87" s="291">
        <f t="shared" si="46"/>
        <v>0</v>
      </c>
      <c r="T87" s="291">
        <f t="shared" si="47"/>
        <v>0</v>
      </c>
      <c r="U87" s="291">
        <f t="shared" si="48"/>
        <v>0</v>
      </c>
      <c r="V87" s="881"/>
    </row>
    <row r="88" spans="1:22" ht="12.75">
      <c r="A88" s="1280"/>
      <c r="B88" s="446"/>
      <c r="C88" s="897"/>
      <c r="D88" s="897"/>
      <c r="E88" s="512"/>
      <c r="F88" s="1283">
        <v>0</v>
      </c>
      <c r="G88" s="291">
        <f t="shared" si="38"/>
        <v>0</v>
      </c>
      <c r="H88" s="899">
        <v>0</v>
      </c>
      <c r="I88" s="512">
        <f>'P-4 (BPF Projects)'!BG41</f>
        <v>0</v>
      </c>
      <c r="J88" s="291">
        <f t="shared" si="39"/>
        <v>0</v>
      </c>
      <c r="K88" s="291">
        <f t="shared" si="27"/>
        <v>0</v>
      </c>
      <c r="L88" s="291">
        <f t="shared" si="40"/>
        <v>0</v>
      </c>
      <c r="M88" s="884">
        <f t="shared" si="41"/>
        <v>0.08180282570846481</v>
      </c>
      <c r="N88" s="899">
        <v>0</v>
      </c>
      <c r="O88" s="291">
        <f t="shared" si="42"/>
        <v>0</v>
      </c>
      <c r="P88" s="291">
        <f t="shared" si="43"/>
        <v>0</v>
      </c>
      <c r="Q88" s="291">
        <f t="shared" si="44"/>
        <v>0</v>
      </c>
      <c r="R88" s="291">
        <f t="shared" si="45"/>
        <v>0</v>
      </c>
      <c r="S88" s="291">
        <f t="shared" si="46"/>
        <v>0</v>
      </c>
      <c r="T88" s="291">
        <f t="shared" si="47"/>
        <v>0</v>
      </c>
      <c r="U88" s="291">
        <f t="shared" si="48"/>
        <v>0</v>
      </c>
      <c r="V88" s="881"/>
    </row>
    <row r="89" spans="1:22" ht="12.75">
      <c r="A89" s="1280"/>
      <c r="B89" s="446"/>
      <c r="C89" s="897"/>
      <c r="D89" s="897"/>
      <c r="E89" s="512"/>
      <c r="F89" s="1283">
        <v>0</v>
      </c>
      <c r="G89" s="291">
        <f t="shared" si="36"/>
        <v>0</v>
      </c>
      <c r="H89" s="899">
        <v>0</v>
      </c>
      <c r="I89" s="512">
        <f>'P-4 (BPF Projects)'!BJ41</f>
        <v>0</v>
      </c>
      <c r="J89" s="291">
        <f t="shared" si="26"/>
        <v>0</v>
      </c>
      <c r="K89" s="291">
        <f t="shared" si="27"/>
        <v>0</v>
      </c>
      <c r="L89" s="291">
        <f t="shared" si="28"/>
        <v>0</v>
      </c>
      <c r="M89" s="884">
        <f t="shared" si="29"/>
        <v>0.08180282570846481</v>
      </c>
      <c r="N89" s="899">
        <v>0</v>
      </c>
      <c r="O89" s="291">
        <f t="shared" si="30"/>
        <v>0</v>
      </c>
      <c r="P89" s="291">
        <f t="shared" si="37"/>
        <v>0</v>
      </c>
      <c r="Q89" s="291">
        <f t="shared" si="31"/>
        <v>0</v>
      </c>
      <c r="R89" s="291">
        <f t="shared" si="32"/>
        <v>0</v>
      </c>
      <c r="S89" s="291">
        <f t="shared" si="33"/>
        <v>0</v>
      </c>
      <c r="T89" s="291">
        <f t="shared" si="34"/>
        <v>0</v>
      </c>
      <c r="U89" s="291">
        <f t="shared" si="35"/>
        <v>0</v>
      </c>
      <c r="V89" s="881"/>
    </row>
    <row r="90" spans="1:22" ht="12.75">
      <c r="A90" s="1280"/>
      <c r="B90" s="446" t="s">
        <v>1120</v>
      </c>
      <c r="C90" s="897" t="s">
        <v>1120</v>
      </c>
      <c r="D90" s="897"/>
      <c r="E90" s="512"/>
      <c r="F90" s="1283">
        <v>0</v>
      </c>
      <c r="G90" s="291">
        <f t="shared" si="36"/>
        <v>0</v>
      </c>
      <c r="H90" s="899">
        <v>0</v>
      </c>
      <c r="I90" s="512"/>
      <c r="J90" s="291">
        <f t="shared" si="26"/>
        <v>0</v>
      </c>
      <c r="K90" s="291">
        <f t="shared" si="27"/>
        <v>0</v>
      </c>
      <c r="L90" s="291">
        <f t="shared" si="28"/>
        <v>0</v>
      </c>
      <c r="M90" s="884">
        <f t="shared" si="29"/>
        <v>0.08180282570846481</v>
      </c>
      <c r="N90" s="899">
        <v>0</v>
      </c>
      <c r="O90" s="291">
        <f t="shared" si="30"/>
        <v>0</v>
      </c>
      <c r="P90" s="291">
        <f t="shared" si="37"/>
        <v>0</v>
      </c>
      <c r="Q90" s="291">
        <f t="shared" si="31"/>
        <v>0</v>
      </c>
      <c r="R90" s="291">
        <f t="shared" si="32"/>
        <v>0</v>
      </c>
      <c r="S90" s="291">
        <f t="shared" si="33"/>
        <v>0</v>
      </c>
      <c r="T90" s="291">
        <f t="shared" si="34"/>
        <v>0</v>
      </c>
      <c r="U90" s="291">
        <f t="shared" si="35"/>
        <v>0</v>
      </c>
      <c r="V90" s="881"/>
    </row>
    <row r="91" spans="1:22" ht="12.75">
      <c r="A91" s="1280"/>
      <c r="B91" s="446" t="s">
        <v>1120</v>
      </c>
      <c r="C91" s="897" t="s">
        <v>1120</v>
      </c>
      <c r="D91" s="897"/>
      <c r="E91" s="512"/>
      <c r="F91" s="1283">
        <v>0</v>
      </c>
      <c r="G91" s="291">
        <f t="shared" si="36"/>
        <v>0</v>
      </c>
      <c r="H91" s="899">
        <v>0</v>
      </c>
      <c r="I91" s="512"/>
      <c r="J91" s="291">
        <f t="shared" si="26"/>
        <v>0</v>
      </c>
      <c r="K91" s="291">
        <f t="shared" si="27"/>
        <v>0</v>
      </c>
      <c r="L91" s="291">
        <f t="shared" si="28"/>
        <v>0</v>
      </c>
      <c r="M91" s="884">
        <f t="shared" si="29"/>
        <v>0.08180282570846481</v>
      </c>
      <c r="N91" s="899">
        <v>0</v>
      </c>
      <c r="O91" s="291">
        <f t="shared" si="30"/>
        <v>0</v>
      </c>
      <c r="P91" s="291">
        <f t="shared" si="37"/>
        <v>0</v>
      </c>
      <c r="Q91" s="291">
        <f t="shared" si="31"/>
        <v>0</v>
      </c>
      <c r="R91" s="291">
        <f t="shared" si="32"/>
        <v>0</v>
      </c>
      <c r="S91" s="291">
        <f t="shared" si="33"/>
        <v>0</v>
      </c>
      <c r="T91" s="291">
        <f t="shared" si="34"/>
        <v>0</v>
      </c>
      <c r="U91" s="291">
        <f t="shared" si="35"/>
        <v>0</v>
      </c>
      <c r="V91" s="881"/>
    </row>
    <row r="92" spans="1:22" ht="12.75">
      <c r="A92" s="896"/>
      <c r="B92" s="446" t="s">
        <v>1120</v>
      </c>
      <c r="C92" s="897" t="s">
        <v>1120</v>
      </c>
      <c r="D92" s="897"/>
      <c r="E92" s="512"/>
      <c r="F92" s="1283">
        <v>0</v>
      </c>
      <c r="G92" s="291">
        <f t="shared" si="36"/>
        <v>0</v>
      </c>
      <c r="H92" s="899">
        <v>0</v>
      </c>
      <c r="I92" s="512"/>
      <c r="J92" s="291">
        <f t="shared" si="26"/>
        <v>0</v>
      </c>
      <c r="K92" s="291">
        <f t="shared" si="27"/>
        <v>0</v>
      </c>
      <c r="L92" s="291">
        <f t="shared" si="28"/>
        <v>0</v>
      </c>
      <c r="M92" s="884">
        <f t="shared" si="29"/>
        <v>0.08180282570846481</v>
      </c>
      <c r="N92" s="899">
        <v>0</v>
      </c>
      <c r="O92" s="291">
        <f t="shared" si="30"/>
        <v>0</v>
      </c>
      <c r="P92" s="291">
        <f t="shared" si="37"/>
        <v>0</v>
      </c>
      <c r="Q92" s="291">
        <f t="shared" si="31"/>
        <v>0</v>
      </c>
      <c r="R92" s="291">
        <f t="shared" si="32"/>
        <v>0</v>
      </c>
      <c r="S92" s="291">
        <f t="shared" si="33"/>
        <v>0</v>
      </c>
      <c r="T92" s="291">
        <f t="shared" si="34"/>
        <v>0</v>
      </c>
      <c r="U92" s="291">
        <f t="shared" si="35"/>
        <v>0</v>
      </c>
      <c r="V92" s="881"/>
    </row>
    <row r="93" spans="1:22" ht="12.75">
      <c r="A93" s="1281"/>
      <c r="B93" s="1068"/>
      <c r="C93" s="1068"/>
      <c r="D93" s="1068"/>
      <c r="E93" s="1069"/>
      <c r="F93" s="1284"/>
      <c r="G93" s="904"/>
      <c r="H93" s="1072"/>
      <c r="I93" s="1069"/>
      <c r="J93" s="904"/>
      <c r="K93" s="904"/>
      <c r="L93" s="904"/>
      <c r="M93" s="1071"/>
      <c r="N93" s="1072"/>
      <c r="O93" s="904"/>
      <c r="P93" s="904"/>
      <c r="Q93" s="904"/>
      <c r="R93" s="904"/>
      <c r="S93" s="904"/>
      <c r="T93" s="904"/>
      <c r="U93" s="904"/>
      <c r="V93" s="881"/>
    </row>
    <row r="94" spans="1:22" ht="12.75">
      <c r="A94" s="901" t="s">
        <v>1145</v>
      </c>
      <c r="B94" s="1282" t="s">
        <v>1669</v>
      </c>
      <c r="E94" s="291">
        <f>SUM(E73:E93)</f>
        <v>0</v>
      </c>
      <c r="F94" s="291">
        <f>SUM(F73:F93)</f>
        <v>0</v>
      </c>
      <c r="G94" s="291">
        <f>SUM(G73:G93)</f>
        <v>0</v>
      </c>
      <c r="H94" s="899"/>
      <c r="I94" s="291">
        <f>SUM(I73:I93)</f>
        <v>0</v>
      </c>
      <c r="J94" s="291">
        <f>SUM(J73:J93)</f>
        <v>0</v>
      </c>
      <c r="K94" s="291">
        <f>SUM(K73:K93)</f>
        <v>0</v>
      </c>
      <c r="L94" s="291">
        <f>SUM(L73:L93)</f>
        <v>0</v>
      </c>
      <c r="M94" s="884"/>
      <c r="N94" s="291"/>
      <c r="O94" s="291">
        <f aca="true" t="shared" si="49" ref="O94:T94">SUM(O73:O93)</f>
        <v>0</v>
      </c>
      <c r="P94" s="291">
        <f t="shared" si="49"/>
        <v>0</v>
      </c>
      <c r="Q94" s="291">
        <f t="shared" si="49"/>
        <v>0</v>
      </c>
      <c r="R94" s="291">
        <f t="shared" si="49"/>
        <v>0</v>
      </c>
      <c r="S94" s="291">
        <f t="shared" si="49"/>
        <v>0</v>
      </c>
      <c r="T94" s="291">
        <f t="shared" si="49"/>
        <v>0</v>
      </c>
      <c r="U94" s="291">
        <f>SUM(U73:U93)</f>
        <v>0</v>
      </c>
      <c r="V94" s="881"/>
    </row>
    <row r="95" spans="4:22" ht="12.75">
      <c r="D95" s="291"/>
      <c r="E95" s="291"/>
      <c r="F95" s="291"/>
      <c r="G95" s="291"/>
      <c r="H95" s="291"/>
      <c r="I95" s="291"/>
      <c r="J95" s="291"/>
      <c r="K95" s="291"/>
      <c r="L95" s="291"/>
      <c r="M95" s="291"/>
      <c r="N95" s="291"/>
      <c r="O95" s="291"/>
      <c r="P95" s="291"/>
      <c r="Q95" s="291"/>
      <c r="R95" s="292"/>
      <c r="S95" s="292"/>
      <c r="T95" s="292"/>
      <c r="U95" s="292"/>
      <c r="V95" s="881"/>
    </row>
    <row r="96" spans="1:22" ht="12.75">
      <c r="A96" s="901" t="s">
        <v>1672</v>
      </c>
      <c r="B96" s="1285" t="s">
        <v>1249</v>
      </c>
      <c r="C96" s="1076"/>
      <c r="D96" s="1077"/>
      <c r="E96" s="1077">
        <f aca="true" t="shared" si="50" ref="E96:L96">E94+E66</f>
        <v>0</v>
      </c>
      <c r="F96" s="1077">
        <f t="shared" si="50"/>
        <v>0</v>
      </c>
      <c r="G96" s="1077">
        <f t="shared" si="50"/>
        <v>0</v>
      </c>
      <c r="H96" s="1077"/>
      <c r="I96" s="1077">
        <f t="shared" si="50"/>
        <v>0</v>
      </c>
      <c r="J96" s="1077">
        <f t="shared" si="50"/>
        <v>0</v>
      </c>
      <c r="K96" s="1077">
        <f t="shared" si="50"/>
        <v>0</v>
      </c>
      <c r="L96" s="1077">
        <f t="shared" si="50"/>
        <v>0</v>
      </c>
      <c r="M96" s="1077"/>
      <c r="N96" s="1077"/>
      <c r="O96" s="1077">
        <f aca="true" t="shared" si="51" ref="O96:U96">O94+O66</f>
        <v>0</v>
      </c>
      <c r="P96" s="1077">
        <f t="shared" si="51"/>
        <v>0</v>
      </c>
      <c r="Q96" s="1077">
        <f t="shared" si="51"/>
        <v>0</v>
      </c>
      <c r="R96" s="1077">
        <f t="shared" si="51"/>
        <v>0</v>
      </c>
      <c r="S96" s="1077">
        <f>S94+S66</f>
        <v>0</v>
      </c>
      <c r="T96" s="1077">
        <f t="shared" si="51"/>
        <v>0</v>
      </c>
      <c r="U96" s="1077">
        <f t="shared" si="51"/>
        <v>0</v>
      </c>
      <c r="V96" s="881"/>
    </row>
    <row r="97" spans="4:21" ht="12.75">
      <c r="D97" s="291"/>
      <c r="E97" s="291"/>
      <c r="F97" s="291"/>
      <c r="G97" s="291"/>
      <c r="H97" s="291"/>
      <c r="I97" s="291"/>
      <c r="J97" s="291"/>
      <c r="K97" s="291"/>
      <c r="L97" s="291"/>
      <c r="M97" s="291"/>
      <c r="N97" s="291"/>
      <c r="O97" s="291"/>
      <c r="P97" s="291"/>
      <c r="Q97" s="291"/>
      <c r="R97" s="291"/>
      <c r="S97" s="291"/>
      <c r="T97" s="291"/>
      <c r="U97" s="881"/>
    </row>
    <row r="98" spans="2:21" ht="12.75">
      <c r="B98" s="902" t="s">
        <v>484</v>
      </c>
      <c r="D98" s="291"/>
      <c r="E98" s="291"/>
      <c r="F98" s="291"/>
      <c r="G98" s="291"/>
      <c r="H98" s="291"/>
      <c r="I98" s="291"/>
      <c r="J98" s="291"/>
      <c r="K98" s="291"/>
      <c r="L98" s="291"/>
      <c r="M98" s="291"/>
      <c r="N98" s="291"/>
      <c r="O98" s="291"/>
      <c r="P98" s="291"/>
      <c r="Q98" s="291"/>
      <c r="R98" s="291"/>
      <c r="S98" s="291"/>
      <c r="T98" s="291"/>
      <c r="U98" s="881"/>
    </row>
    <row r="99" spans="2:21" ht="12.75">
      <c r="B99" s="887"/>
      <c r="C99" s="887"/>
      <c r="D99" s="887"/>
      <c r="E99" s="887" t="s">
        <v>173</v>
      </c>
      <c r="F99" s="887" t="s">
        <v>171</v>
      </c>
      <c r="G99" s="887" t="s">
        <v>172</v>
      </c>
      <c r="H99" s="888" t="s">
        <v>601</v>
      </c>
      <c r="I99" s="888" t="s">
        <v>602</v>
      </c>
      <c r="J99" s="887" t="s">
        <v>603</v>
      </c>
      <c r="K99" s="888" t="s">
        <v>604</v>
      </c>
      <c r="L99" s="887" t="s">
        <v>605</v>
      </c>
      <c r="M99" s="887" t="s">
        <v>606</v>
      </c>
      <c r="N99" s="887" t="s">
        <v>607</v>
      </c>
      <c r="O99" s="887" t="s">
        <v>608</v>
      </c>
      <c r="P99" s="887" t="s">
        <v>609</v>
      </c>
      <c r="Q99" s="887" t="s">
        <v>610</v>
      </c>
      <c r="R99" s="887" t="s">
        <v>611</v>
      </c>
      <c r="S99" s="887" t="s">
        <v>1017</v>
      </c>
      <c r="T99" s="887" t="s">
        <v>1141</v>
      </c>
      <c r="U99" s="887" t="s">
        <v>1648</v>
      </c>
    </row>
    <row r="100" spans="2:21" ht="12.75">
      <c r="B100" s="889"/>
      <c r="C100" s="889"/>
      <c r="D100" s="889"/>
      <c r="E100" s="890" t="s">
        <v>1494</v>
      </c>
      <c r="F100" s="890" t="s">
        <v>1536</v>
      </c>
      <c r="G100" s="890" t="s">
        <v>1013</v>
      </c>
      <c r="H100" s="890" t="s">
        <v>1490</v>
      </c>
      <c r="I100" s="890" t="s">
        <v>119</v>
      </c>
      <c r="J100" s="890" t="s">
        <v>1014</v>
      </c>
      <c r="K100" s="890" t="s">
        <v>1291</v>
      </c>
      <c r="L100" s="890" t="s">
        <v>1497</v>
      </c>
      <c r="M100" s="890" t="s">
        <v>767</v>
      </c>
      <c r="N100" s="890" t="s">
        <v>766</v>
      </c>
      <c r="O100" s="890" t="s">
        <v>1721</v>
      </c>
      <c r="P100" s="890" t="s">
        <v>1106</v>
      </c>
      <c r="Q100" s="890" t="s">
        <v>1499</v>
      </c>
      <c r="R100" s="890" t="s">
        <v>764</v>
      </c>
      <c r="S100" s="890" t="s">
        <v>1646</v>
      </c>
      <c r="T100" s="890" t="s">
        <v>1140</v>
      </c>
      <c r="U100" s="890" t="s">
        <v>764</v>
      </c>
    </row>
    <row r="101" spans="2:21" ht="13.5" thickBot="1">
      <c r="B101" s="891" t="s">
        <v>1743</v>
      </c>
      <c r="C101" s="891" t="s">
        <v>1493</v>
      </c>
      <c r="D101" s="871"/>
      <c r="E101" s="892" t="s">
        <v>1495</v>
      </c>
      <c r="F101" s="892" t="s">
        <v>1490</v>
      </c>
      <c r="G101" s="892" t="s">
        <v>1489</v>
      </c>
      <c r="H101" s="892" t="s">
        <v>277</v>
      </c>
      <c r="I101" s="892" t="s">
        <v>1490</v>
      </c>
      <c r="J101" s="892" t="s">
        <v>1489</v>
      </c>
      <c r="K101" s="892" t="s">
        <v>1481</v>
      </c>
      <c r="L101" s="892" t="s">
        <v>1498</v>
      </c>
      <c r="M101" s="892" t="s">
        <v>964</v>
      </c>
      <c r="N101" s="892" t="s">
        <v>600</v>
      </c>
      <c r="O101" s="892" t="s">
        <v>1169</v>
      </c>
      <c r="P101" s="892" t="s">
        <v>964</v>
      </c>
      <c r="Q101" s="892" t="s">
        <v>1498</v>
      </c>
      <c r="R101" s="892" t="s">
        <v>763</v>
      </c>
      <c r="S101" s="892" t="s">
        <v>1647</v>
      </c>
      <c r="T101" s="892" t="s">
        <v>1184</v>
      </c>
      <c r="U101" s="892" t="s">
        <v>1696</v>
      </c>
    </row>
    <row r="102" spans="2:21" ht="12.75">
      <c r="B102" s="893"/>
      <c r="C102" s="889"/>
      <c r="D102" s="890"/>
      <c r="E102" s="890"/>
      <c r="F102" s="890"/>
      <c r="G102" s="890" t="s">
        <v>612</v>
      </c>
      <c r="H102" s="890" t="s">
        <v>1048</v>
      </c>
      <c r="I102" s="894" t="s">
        <v>1016</v>
      </c>
      <c r="J102" s="890" t="s">
        <v>1015</v>
      </c>
      <c r="K102" s="890" t="s">
        <v>1021</v>
      </c>
      <c r="L102" s="890" t="s">
        <v>1419</v>
      </c>
      <c r="M102" s="890" t="s">
        <v>1047</v>
      </c>
      <c r="N102" s="890" t="s">
        <v>1049</v>
      </c>
      <c r="O102" s="890" t="s">
        <v>1252</v>
      </c>
      <c r="P102" s="890" t="s">
        <v>1254</v>
      </c>
      <c r="Q102" s="890" t="s">
        <v>986</v>
      </c>
      <c r="R102" s="890" t="s">
        <v>1021</v>
      </c>
      <c r="S102" s="890" t="s">
        <v>987</v>
      </c>
      <c r="T102" s="890" t="s">
        <v>1142</v>
      </c>
      <c r="U102" s="890" t="s">
        <v>1649</v>
      </c>
    </row>
    <row r="103" spans="2:20" ht="12.75">
      <c r="B103" s="902" t="s">
        <v>574</v>
      </c>
      <c r="D103" s="291"/>
      <c r="E103" s="291"/>
      <c r="F103" s="291"/>
      <c r="G103" s="291"/>
      <c r="H103" s="291"/>
      <c r="I103" s="291"/>
      <c r="J103" s="291"/>
      <c r="K103" s="291"/>
      <c r="L103" s="291"/>
      <c r="M103" s="291"/>
      <c r="N103" s="291"/>
      <c r="O103" s="291"/>
      <c r="P103" s="291"/>
      <c r="Q103" s="291"/>
      <c r="R103" s="291"/>
      <c r="S103" s="291"/>
      <c r="T103" s="291"/>
    </row>
    <row r="104" spans="1:23" ht="12.75">
      <c r="A104" s="896" t="s">
        <v>1207</v>
      </c>
      <c r="B104" s="897"/>
      <c r="C104" s="897" t="s">
        <v>288</v>
      </c>
      <c r="D104" s="897"/>
      <c r="E104" s="512">
        <v>0</v>
      </c>
      <c r="F104" s="512">
        <v>0</v>
      </c>
      <c r="G104" s="291">
        <f>E104-F104</f>
        <v>0</v>
      </c>
      <c r="H104" s="905">
        <v>0</v>
      </c>
      <c r="I104" s="291">
        <f>ROUND(H104*E104,0)</f>
        <v>0</v>
      </c>
      <c r="J104" s="291">
        <f>MAX(E104-F104-I104,0)</f>
        <v>0</v>
      </c>
      <c r="K104" s="291">
        <f>ROUND(J104*$I$28,0)</f>
        <v>0</v>
      </c>
      <c r="L104" s="291">
        <f>ROUND(J104*$I$30,0)</f>
        <v>0</v>
      </c>
      <c r="M104" s="884">
        <f>+I$31</f>
        <v>0.08180282570846481</v>
      </c>
      <c r="N104" s="906">
        <v>0</v>
      </c>
      <c r="O104" s="291">
        <f>ROUND(N104*J104,0)</f>
        <v>0</v>
      </c>
      <c r="P104" s="291">
        <f>ROUND(O104+(M104*J104),0)</f>
        <v>0</v>
      </c>
      <c r="Q104" s="291">
        <f>ROUND(J104*$I$32,0)</f>
        <v>0</v>
      </c>
      <c r="R104" s="291">
        <f>ROUND(+J104*$I$29,0)</f>
        <v>0</v>
      </c>
      <c r="S104" s="291">
        <f>I104+K104+L104+P104+Q104+R104</f>
        <v>0</v>
      </c>
      <c r="T104" s="291">
        <f>ROUND(J104*I$34,0)</f>
        <v>0</v>
      </c>
      <c r="U104" s="291">
        <f>S104+T104</f>
        <v>0</v>
      </c>
      <c r="V104" s="881"/>
      <c r="W104" s="881"/>
    </row>
    <row r="105" spans="1:23" ht="12.75">
      <c r="A105" s="896" t="s">
        <v>1207</v>
      </c>
      <c r="B105" s="897"/>
      <c r="C105" s="897" t="s">
        <v>289</v>
      </c>
      <c r="D105" s="897"/>
      <c r="E105" s="512">
        <v>0</v>
      </c>
      <c r="F105" s="512">
        <v>0</v>
      </c>
      <c r="G105" s="291">
        <f>E105-F105</f>
        <v>0</v>
      </c>
      <c r="H105" s="905">
        <v>0</v>
      </c>
      <c r="I105" s="291">
        <f>ROUND(H105*E105,0)</f>
        <v>0</v>
      </c>
      <c r="J105" s="291">
        <f>MAX(E105-F105-I105,0)</f>
        <v>0</v>
      </c>
      <c r="K105" s="291">
        <f>ROUND(J105*$I$28,0)</f>
        <v>0</v>
      </c>
      <c r="L105" s="291">
        <f>ROUND(J105*$I$30,0)</f>
        <v>0</v>
      </c>
      <c r="M105" s="884">
        <f>+I$31</f>
        <v>0.08180282570846481</v>
      </c>
      <c r="N105" s="906">
        <v>0</v>
      </c>
      <c r="O105" s="291">
        <f>ROUND(N105*J105,0)</f>
        <v>0</v>
      </c>
      <c r="P105" s="291">
        <f>ROUND(O105+(M105*J105),0)</f>
        <v>0</v>
      </c>
      <c r="Q105" s="291">
        <f>ROUND(J105*$I$32,0)</f>
        <v>0</v>
      </c>
      <c r="R105" s="291">
        <f>ROUND(+J105*$I$29,0)</f>
        <v>0</v>
      </c>
      <c r="S105" s="291">
        <f>I105+K105+L105+P105+Q105+R105</f>
        <v>0</v>
      </c>
      <c r="T105" s="291">
        <f>ROUND(J105*I$34,0)</f>
        <v>0</v>
      </c>
      <c r="U105" s="291">
        <f>S105+T105</f>
        <v>0</v>
      </c>
      <c r="V105" s="881"/>
      <c r="W105" s="881"/>
    </row>
    <row r="106" spans="2:23" ht="12.75">
      <c r="B106" s="1073"/>
      <c r="C106" s="1074"/>
      <c r="D106" s="1073"/>
      <c r="E106" s="904"/>
      <c r="F106" s="904"/>
      <c r="G106" s="904"/>
      <c r="H106" s="910"/>
      <c r="I106" s="904"/>
      <c r="J106" s="904"/>
      <c r="K106" s="904"/>
      <c r="L106" s="904"/>
      <c r="M106" s="1071"/>
      <c r="N106" s="1071"/>
      <c r="O106" s="904"/>
      <c r="P106" s="904"/>
      <c r="Q106" s="904"/>
      <c r="R106" s="904"/>
      <c r="S106" s="904"/>
      <c r="T106" s="904"/>
      <c r="U106" s="904"/>
      <c r="V106" s="881"/>
      <c r="W106" s="881"/>
    </row>
    <row r="107" spans="1:23" ht="12.75">
      <c r="A107" s="887" t="s">
        <v>1673</v>
      </c>
      <c r="B107" s="1282" t="s">
        <v>1670</v>
      </c>
      <c r="C107" s="907"/>
      <c r="E107" s="291">
        <f>SUM(E104:E106)</f>
        <v>0</v>
      </c>
      <c r="F107" s="291">
        <f aca="true" t="shared" si="52" ref="F107:L107">SUM(F104:F106)</f>
        <v>0</v>
      </c>
      <c r="G107" s="291">
        <f t="shared" si="52"/>
        <v>0</v>
      </c>
      <c r="H107" s="291">
        <f t="shared" si="52"/>
        <v>0</v>
      </c>
      <c r="I107" s="291">
        <f t="shared" si="52"/>
        <v>0</v>
      </c>
      <c r="J107" s="291">
        <f t="shared" si="52"/>
        <v>0</v>
      </c>
      <c r="K107" s="291">
        <f t="shared" si="52"/>
        <v>0</v>
      </c>
      <c r="L107" s="291">
        <f t="shared" si="52"/>
        <v>0</v>
      </c>
      <c r="M107" s="884"/>
      <c r="N107" s="884"/>
      <c r="O107" s="291">
        <f aca="true" t="shared" si="53" ref="O107:U107">SUM(O104:O106)</f>
        <v>0</v>
      </c>
      <c r="P107" s="291">
        <f t="shared" si="53"/>
        <v>0</v>
      </c>
      <c r="Q107" s="291">
        <f t="shared" si="53"/>
        <v>0</v>
      </c>
      <c r="R107" s="291">
        <f t="shared" si="53"/>
        <v>0</v>
      </c>
      <c r="S107" s="291">
        <f t="shared" si="53"/>
        <v>0</v>
      </c>
      <c r="T107" s="291">
        <f t="shared" si="53"/>
        <v>0</v>
      </c>
      <c r="U107" s="291">
        <f t="shared" si="53"/>
        <v>0</v>
      </c>
      <c r="V107" s="881"/>
      <c r="W107" s="881"/>
    </row>
    <row r="108" spans="3:23" ht="12.75">
      <c r="C108" s="907"/>
      <c r="E108" s="291"/>
      <c r="F108" s="291"/>
      <c r="G108" s="291"/>
      <c r="H108" s="881"/>
      <c r="I108" s="291"/>
      <c r="J108" s="291"/>
      <c r="K108" s="291"/>
      <c r="L108" s="291"/>
      <c r="M108" s="884"/>
      <c r="N108" s="884"/>
      <c r="O108" s="291"/>
      <c r="P108" s="291"/>
      <c r="Q108" s="291"/>
      <c r="R108" s="291"/>
      <c r="S108" s="291"/>
      <c r="T108" s="291"/>
      <c r="U108" s="291"/>
      <c r="V108" s="881"/>
      <c r="W108" s="881"/>
    </row>
    <row r="109" spans="2:23" ht="12.75">
      <c r="B109" s="889"/>
      <c r="C109" s="889"/>
      <c r="D109" s="889"/>
      <c r="E109" s="890" t="s">
        <v>1494</v>
      </c>
      <c r="F109" s="890" t="s">
        <v>1536</v>
      </c>
      <c r="G109" s="890" t="s">
        <v>1013</v>
      </c>
      <c r="H109" s="890" t="s">
        <v>1490</v>
      </c>
      <c r="I109" s="890" t="s">
        <v>119</v>
      </c>
      <c r="J109" s="890" t="s">
        <v>1014</v>
      </c>
      <c r="K109" s="890" t="s">
        <v>1291</v>
      </c>
      <c r="L109" s="890" t="s">
        <v>1497</v>
      </c>
      <c r="M109" s="890" t="s">
        <v>767</v>
      </c>
      <c r="N109" s="890" t="s">
        <v>766</v>
      </c>
      <c r="O109" s="890" t="s">
        <v>1721</v>
      </c>
      <c r="P109" s="890" t="s">
        <v>1106</v>
      </c>
      <c r="Q109" s="890" t="s">
        <v>1499</v>
      </c>
      <c r="R109" s="890" t="s">
        <v>764</v>
      </c>
      <c r="S109" s="890" t="s">
        <v>1646</v>
      </c>
      <c r="T109" s="890" t="s">
        <v>1140</v>
      </c>
      <c r="U109" s="890" t="s">
        <v>764</v>
      </c>
      <c r="V109" s="881"/>
      <c r="W109" s="881"/>
    </row>
    <row r="110" spans="2:23" ht="13.5" thickBot="1">
      <c r="B110" s="891" t="s">
        <v>1743</v>
      </c>
      <c r="C110" s="891" t="s">
        <v>1493</v>
      </c>
      <c r="D110" s="871"/>
      <c r="E110" s="892" t="s">
        <v>1495</v>
      </c>
      <c r="F110" s="892" t="s">
        <v>1490</v>
      </c>
      <c r="G110" s="892" t="s">
        <v>1489</v>
      </c>
      <c r="H110" s="892" t="s">
        <v>277</v>
      </c>
      <c r="I110" s="892" t="s">
        <v>1490</v>
      </c>
      <c r="J110" s="892" t="s">
        <v>1489</v>
      </c>
      <c r="K110" s="892" t="s">
        <v>1481</v>
      </c>
      <c r="L110" s="892" t="s">
        <v>1498</v>
      </c>
      <c r="M110" s="892" t="s">
        <v>964</v>
      </c>
      <c r="N110" s="892" t="s">
        <v>600</v>
      </c>
      <c r="O110" s="892" t="s">
        <v>1169</v>
      </c>
      <c r="P110" s="892" t="s">
        <v>964</v>
      </c>
      <c r="Q110" s="892" t="s">
        <v>1498</v>
      </c>
      <c r="R110" s="892" t="s">
        <v>763</v>
      </c>
      <c r="S110" s="892" t="s">
        <v>1647</v>
      </c>
      <c r="T110" s="892" t="s">
        <v>1184</v>
      </c>
      <c r="U110" s="892" t="s">
        <v>1696</v>
      </c>
      <c r="V110" s="881"/>
      <c r="W110" s="881"/>
    </row>
    <row r="111" spans="2:23" ht="12.75">
      <c r="B111" s="893"/>
      <c r="C111" s="889"/>
      <c r="D111" s="890"/>
      <c r="E111" s="890"/>
      <c r="F111" s="890"/>
      <c r="G111" s="890" t="s">
        <v>612</v>
      </c>
      <c r="H111" s="890"/>
      <c r="I111" s="890" t="s">
        <v>1803</v>
      </c>
      <c r="J111" s="890" t="s">
        <v>993</v>
      </c>
      <c r="K111" s="890" t="s">
        <v>1018</v>
      </c>
      <c r="L111" s="890" t="s">
        <v>1019</v>
      </c>
      <c r="M111" s="890" t="s">
        <v>613</v>
      </c>
      <c r="N111" s="890"/>
      <c r="O111" s="890" t="s">
        <v>1252</v>
      </c>
      <c r="P111" s="890" t="s">
        <v>1254</v>
      </c>
      <c r="Q111" s="890" t="s">
        <v>1020</v>
      </c>
      <c r="R111" s="890" t="s">
        <v>1021</v>
      </c>
      <c r="S111" s="890" t="s">
        <v>987</v>
      </c>
      <c r="T111" s="890" t="s">
        <v>1142</v>
      </c>
      <c r="U111" s="890" t="s">
        <v>1649</v>
      </c>
      <c r="V111" s="881"/>
      <c r="W111" s="881"/>
    </row>
    <row r="112" spans="2:23" ht="12.75">
      <c r="B112" s="902" t="s">
        <v>576</v>
      </c>
      <c r="C112" s="907"/>
      <c r="E112" s="291"/>
      <c r="F112" s="291"/>
      <c r="G112" s="291"/>
      <c r="H112" s="881"/>
      <c r="I112" s="291"/>
      <c r="J112" s="291"/>
      <c r="K112" s="291"/>
      <c r="L112" s="291"/>
      <c r="M112" s="884"/>
      <c r="N112" s="884"/>
      <c r="O112" s="291"/>
      <c r="P112" s="291"/>
      <c r="Q112" s="291"/>
      <c r="R112" s="291"/>
      <c r="S112" s="291"/>
      <c r="T112" s="291"/>
      <c r="U112" s="291"/>
      <c r="V112" s="881"/>
      <c r="W112" s="881"/>
    </row>
    <row r="113" spans="1:23" ht="12.75">
      <c r="A113" s="896" t="s">
        <v>1207</v>
      </c>
      <c r="B113" s="897"/>
      <c r="C113" s="897" t="s">
        <v>278</v>
      </c>
      <c r="D113" s="897"/>
      <c r="E113" s="512">
        <v>0</v>
      </c>
      <c r="F113" s="1283">
        <v>0</v>
      </c>
      <c r="G113" s="291">
        <f>E113</f>
        <v>0</v>
      </c>
      <c r="H113" s="899">
        <v>0</v>
      </c>
      <c r="I113" s="512">
        <v>0</v>
      </c>
      <c r="J113" s="291">
        <f>MAX(E113-F113-I113,0)</f>
        <v>0</v>
      </c>
      <c r="K113" s="291">
        <f>ROUND(J113*$I$28,0)</f>
        <v>0</v>
      </c>
      <c r="L113" s="291">
        <f>ROUND(J113*$I$30,0)</f>
        <v>0</v>
      </c>
      <c r="M113" s="884">
        <f>+I$31</f>
        <v>0.08180282570846481</v>
      </c>
      <c r="N113" s="906">
        <v>0</v>
      </c>
      <c r="O113" s="291">
        <f>ROUND(N113*J113,0)</f>
        <v>0</v>
      </c>
      <c r="P113" s="291">
        <f>ROUND(O113+(M113*J113),0)</f>
        <v>0</v>
      </c>
      <c r="Q113" s="291">
        <f>ROUND(J113*$I$32,0)</f>
        <v>0</v>
      </c>
      <c r="R113" s="291">
        <f>ROUND(+J113*$I$29,0)</f>
        <v>0</v>
      </c>
      <c r="S113" s="291">
        <f>I113+K113+L113+P113+Q113+R113</f>
        <v>0</v>
      </c>
      <c r="T113" s="291">
        <f>ROUND(J113*I$34,0)</f>
        <v>0</v>
      </c>
      <c r="U113" s="291">
        <f>S113+T113</f>
        <v>0</v>
      </c>
      <c r="V113" s="881"/>
      <c r="W113" s="881"/>
    </row>
    <row r="114" spans="1:23" ht="12.75">
      <c r="A114" s="896" t="s">
        <v>1207</v>
      </c>
      <c r="B114" s="897"/>
      <c r="C114" s="897" t="s">
        <v>1241</v>
      </c>
      <c r="D114" s="897"/>
      <c r="E114" s="512">
        <v>0</v>
      </c>
      <c r="F114" s="1283">
        <v>0</v>
      </c>
      <c r="G114" s="291">
        <f>E114</f>
        <v>0</v>
      </c>
      <c r="H114" s="899">
        <v>0</v>
      </c>
      <c r="I114" s="512">
        <v>0</v>
      </c>
      <c r="J114" s="291">
        <f>MAX(E114-F114-I114,0)</f>
        <v>0</v>
      </c>
      <c r="K114" s="291">
        <f>ROUND(J114*$I$28,0)</f>
        <v>0</v>
      </c>
      <c r="L114" s="291">
        <f>ROUND(J114*$I$30,0)</f>
        <v>0</v>
      </c>
      <c r="M114" s="884">
        <f>+I$31</f>
        <v>0.08180282570846481</v>
      </c>
      <c r="N114" s="906">
        <v>0</v>
      </c>
      <c r="O114" s="291">
        <f>ROUND(N114*J114,0)</f>
        <v>0</v>
      </c>
      <c r="P114" s="291">
        <f>ROUND(O114+(M114*J114),0)</f>
        <v>0</v>
      </c>
      <c r="Q114" s="291">
        <f>ROUND(J114*$I$32,0)</f>
        <v>0</v>
      </c>
      <c r="R114" s="291">
        <f>ROUND(+J114*$I$29,0)</f>
        <v>0</v>
      </c>
      <c r="S114" s="291">
        <f>I114+K114+L114+P114+Q114+R114</f>
        <v>0</v>
      </c>
      <c r="T114" s="291">
        <f>ROUND(J114*I$34,0)</f>
        <v>0</v>
      </c>
      <c r="U114" s="291">
        <f>S114+T114</f>
        <v>0</v>
      </c>
      <c r="V114" s="881"/>
      <c r="W114" s="881"/>
    </row>
    <row r="115" spans="2:23" ht="12.75">
      <c r="B115" s="1073"/>
      <c r="C115" s="1073"/>
      <c r="D115" s="904"/>
      <c r="E115" s="904"/>
      <c r="F115" s="904"/>
      <c r="G115" s="904"/>
      <c r="H115" s="904"/>
      <c r="I115" s="904"/>
      <c r="J115" s="904"/>
      <c r="K115" s="904"/>
      <c r="L115" s="1073"/>
      <c r="M115" s="1073"/>
      <c r="N115" s="904"/>
      <c r="O115" s="904"/>
      <c r="P115" s="904"/>
      <c r="Q115" s="904"/>
      <c r="R115" s="904"/>
      <c r="S115" s="904"/>
      <c r="T115" s="904"/>
      <c r="U115" s="904"/>
      <c r="V115" s="292"/>
      <c r="W115" s="409"/>
    </row>
    <row r="116" spans="1:23" ht="12.75">
      <c r="A116" s="901" t="s">
        <v>1674</v>
      </c>
      <c r="B116" s="1282" t="s">
        <v>1671</v>
      </c>
      <c r="C116" s="907"/>
      <c r="E116" s="291">
        <f aca="true" t="shared" si="54" ref="E116:L116">SUM(E113:E115)</f>
        <v>0</v>
      </c>
      <c r="F116" s="291">
        <f t="shared" si="54"/>
        <v>0</v>
      </c>
      <c r="G116" s="291">
        <f t="shared" si="54"/>
        <v>0</v>
      </c>
      <c r="H116" s="291">
        <f t="shared" si="54"/>
        <v>0</v>
      </c>
      <c r="I116" s="291">
        <f t="shared" si="54"/>
        <v>0</v>
      </c>
      <c r="J116" s="291">
        <f t="shared" si="54"/>
        <v>0</v>
      </c>
      <c r="K116" s="291">
        <f t="shared" si="54"/>
        <v>0</v>
      </c>
      <c r="L116" s="291">
        <f t="shared" si="54"/>
        <v>0</v>
      </c>
      <c r="M116" s="884"/>
      <c r="N116" s="884"/>
      <c r="O116" s="291">
        <f aca="true" t="shared" si="55" ref="O116:U116">SUM(O113:O115)</f>
        <v>0</v>
      </c>
      <c r="P116" s="291">
        <f t="shared" si="55"/>
        <v>0</v>
      </c>
      <c r="Q116" s="291">
        <f t="shared" si="55"/>
        <v>0</v>
      </c>
      <c r="R116" s="291">
        <f t="shared" si="55"/>
        <v>0</v>
      </c>
      <c r="S116" s="291"/>
      <c r="T116" s="291">
        <f t="shared" si="55"/>
        <v>0</v>
      </c>
      <c r="U116" s="291">
        <f t="shared" si="55"/>
        <v>0</v>
      </c>
      <c r="V116" s="292"/>
      <c r="W116" s="409"/>
    </row>
    <row r="117" spans="4:23" ht="12.75">
      <c r="D117" s="291"/>
      <c r="E117" s="291"/>
      <c r="F117" s="291"/>
      <c r="G117" s="291"/>
      <c r="H117" s="291"/>
      <c r="I117" s="291"/>
      <c r="J117" s="291"/>
      <c r="K117" s="291"/>
      <c r="N117" s="291"/>
      <c r="O117" s="291"/>
      <c r="P117" s="291"/>
      <c r="Q117" s="291"/>
      <c r="R117" s="291"/>
      <c r="S117" s="291"/>
      <c r="T117" s="291"/>
      <c r="U117" s="291"/>
      <c r="V117" s="292"/>
      <c r="W117" s="409"/>
    </row>
    <row r="118" spans="1:23" ht="12.75">
      <c r="A118" s="901" t="s">
        <v>1675</v>
      </c>
      <c r="B118" s="1285" t="s">
        <v>1250</v>
      </c>
      <c r="C118" s="1076"/>
      <c r="D118" s="1077"/>
      <c r="E118" s="1077">
        <f aca="true" t="shared" si="56" ref="E118:L118">E107+E116</f>
        <v>0</v>
      </c>
      <c r="F118" s="1077">
        <f t="shared" si="56"/>
        <v>0</v>
      </c>
      <c r="G118" s="1077">
        <f t="shared" si="56"/>
        <v>0</v>
      </c>
      <c r="H118" s="1077">
        <f t="shared" si="56"/>
        <v>0</v>
      </c>
      <c r="I118" s="1077">
        <f t="shared" si="56"/>
        <v>0</v>
      </c>
      <c r="J118" s="1077">
        <f t="shared" si="56"/>
        <v>0</v>
      </c>
      <c r="K118" s="1077">
        <f t="shared" si="56"/>
        <v>0</v>
      </c>
      <c r="L118" s="1077">
        <f t="shared" si="56"/>
        <v>0</v>
      </c>
      <c r="M118" s="1077"/>
      <c r="N118" s="1077"/>
      <c r="O118" s="1077">
        <f aca="true" t="shared" si="57" ref="O118:U118">O107+O116</f>
        <v>0</v>
      </c>
      <c r="P118" s="1077">
        <f t="shared" si="57"/>
        <v>0</v>
      </c>
      <c r="Q118" s="1077">
        <f t="shared" si="57"/>
        <v>0</v>
      </c>
      <c r="R118" s="1077">
        <f t="shared" si="57"/>
        <v>0</v>
      </c>
      <c r="S118" s="1077"/>
      <c r="T118" s="1077">
        <f t="shared" si="57"/>
        <v>0</v>
      </c>
      <c r="U118" s="1077">
        <f t="shared" si="57"/>
        <v>0</v>
      </c>
      <c r="V118" s="292"/>
      <c r="W118" s="292"/>
    </row>
    <row r="119" spans="1:23" ht="12.75">
      <c r="A119" s="901"/>
      <c r="D119" s="291"/>
      <c r="E119" s="291"/>
      <c r="F119" s="291"/>
      <c r="G119" s="291"/>
      <c r="H119" s="291"/>
      <c r="I119" s="291"/>
      <c r="J119" s="291"/>
      <c r="K119" s="291"/>
      <c r="L119" s="291"/>
      <c r="M119" s="291"/>
      <c r="N119" s="291"/>
      <c r="O119" s="291"/>
      <c r="P119" s="291"/>
      <c r="Q119" s="291"/>
      <c r="R119" s="291"/>
      <c r="S119" s="291"/>
      <c r="T119" s="291"/>
      <c r="U119" s="291"/>
      <c r="V119" s="292"/>
      <c r="W119" s="292"/>
    </row>
    <row r="120" spans="1:23" ht="12.75">
      <c r="A120" s="901" t="s">
        <v>1676</v>
      </c>
      <c r="B120" s="902" t="s">
        <v>1251</v>
      </c>
      <c r="C120" s="902"/>
      <c r="D120" s="291"/>
      <c r="E120" s="291">
        <f>+E66+E107</f>
        <v>0</v>
      </c>
      <c r="F120" s="291">
        <f aca="true" t="shared" si="58" ref="F120:L120">+F66+F107</f>
        <v>0</v>
      </c>
      <c r="G120" s="291">
        <f t="shared" si="58"/>
        <v>0</v>
      </c>
      <c r="H120" s="291"/>
      <c r="I120" s="291">
        <f t="shared" si="58"/>
        <v>0</v>
      </c>
      <c r="J120" s="291">
        <f t="shared" si="58"/>
        <v>0</v>
      </c>
      <c r="K120" s="291">
        <f t="shared" si="58"/>
        <v>0</v>
      </c>
      <c r="L120" s="291">
        <f t="shared" si="58"/>
        <v>0</v>
      </c>
      <c r="M120" s="291"/>
      <c r="N120" s="291"/>
      <c r="O120" s="291">
        <f aca="true" t="shared" si="59" ref="O120:U120">+O66+O107</f>
        <v>0</v>
      </c>
      <c r="P120" s="291">
        <f t="shared" si="59"/>
        <v>0</v>
      </c>
      <c r="Q120" s="291">
        <f t="shared" si="59"/>
        <v>0</v>
      </c>
      <c r="R120" s="291">
        <f t="shared" si="59"/>
        <v>0</v>
      </c>
      <c r="S120" s="291">
        <f>+S66+S107</f>
        <v>0</v>
      </c>
      <c r="T120" s="291">
        <f t="shared" si="59"/>
        <v>0</v>
      </c>
      <c r="U120" s="291">
        <f t="shared" si="59"/>
        <v>0</v>
      </c>
      <c r="V120" s="292"/>
      <c r="W120" s="292"/>
    </row>
    <row r="121" spans="1:23" ht="12.75">
      <c r="A121" s="901" t="s">
        <v>1677</v>
      </c>
      <c r="B121" s="902" t="s">
        <v>1248</v>
      </c>
      <c r="D121" s="291"/>
      <c r="E121" s="291">
        <f>E94+E116</f>
        <v>0</v>
      </c>
      <c r="F121" s="291">
        <f aca="true" t="shared" si="60" ref="F121:L121">F94+F116</f>
        <v>0</v>
      </c>
      <c r="G121" s="291">
        <f t="shared" si="60"/>
        <v>0</v>
      </c>
      <c r="H121" s="291"/>
      <c r="I121" s="291">
        <f t="shared" si="60"/>
        <v>0</v>
      </c>
      <c r="J121" s="291">
        <f t="shared" si="60"/>
        <v>0</v>
      </c>
      <c r="K121" s="291">
        <f t="shared" si="60"/>
        <v>0</v>
      </c>
      <c r="L121" s="291">
        <f t="shared" si="60"/>
        <v>0</v>
      </c>
      <c r="M121" s="291"/>
      <c r="N121" s="291"/>
      <c r="O121" s="291">
        <f aca="true" t="shared" si="61" ref="O121:U121">O94+O116</f>
        <v>0</v>
      </c>
      <c r="P121" s="291">
        <f t="shared" si="61"/>
        <v>0</v>
      </c>
      <c r="Q121" s="291">
        <f t="shared" si="61"/>
        <v>0</v>
      </c>
      <c r="R121" s="291">
        <f t="shared" si="61"/>
        <v>0</v>
      </c>
      <c r="S121" s="291">
        <f>S94+S116</f>
        <v>0</v>
      </c>
      <c r="T121" s="291">
        <f t="shared" si="61"/>
        <v>0</v>
      </c>
      <c r="U121" s="291">
        <f t="shared" si="61"/>
        <v>0</v>
      </c>
      <c r="V121" s="292"/>
      <c r="W121" s="292"/>
    </row>
    <row r="122" spans="4:23" ht="12.75">
      <c r="D122" s="291"/>
      <c r="E122" s="291"/>
      <c r="F122" s="291"/>
      <c r="G122" s="291"/>
      <c r="H122" s="291"/>
      <c r="I122" s="291"/>
      <c r="J122" s="291"/>
      <c r="K122" s="291"/>
      <c r="L122" s="291"/>
      <c r="M122" s="291"/>
      <c r="N122" s="291"/>
      <c r="O122" s="291"/>
      <c r="P122" s="291"/>
      <c r="Q122" s="291"/>
      <c r="R122" s="292"/>
      <c r="S122" s="292"/>
      <c r="T122" s="292"/>
      <c r="U122" s="292"/>
      <c r="V122" s="292"/>
      <c r="W122" s="292"/>
    </row>
    <row r="123" spans="1:23" ht="13.5" thickBot="1">
      <c r="A123" s="901" t="s">
        <v>1247</v>
      </c>
      <c r="B123" s="1286" t="s">
        <v>1259</v>
      </c>
      <c r="C123" s="1287"/>
      <c r="D123" s="1288"/>
      <c r="E123" s="1289">
        <f aca="true" t="shared" si="62" ref="E123:L123">+E96+E118</f>
        <v>0</v>
      </c>
      <c r="F123" s="1289">
        <f t="shared" si="62"/>
        <v>0</v>
      </c>
      <c r="G123" s="1289">
        <f t="shared" si="62"/>
        <v>0</v>
      </c>
      <c r="H123" s="1289"/>
      <c r="I123" s="1289">
        <f t="shared" si="62"/>
        <v>0</v>
      </c>
      <c r="J123" s="1289">
        <f t="shared" si="62"/>
        <v>0</v>
      </c>
      <c r="K123" s="1289">
        <f t="shared" si="62"/>
        <v>0</v>
      </c>
      <c r="L123" s="1289">
        <f t="shared" si="62"/>
        <v>0</v>
      </c>
      <c r="M123" s="1288"/>
      <c r="N123" s="1289"/>
      <c r="O123" s="1289">
        <f aca="true" t="shared" si="63" ref="O123:U123">+O96+O118</f>
        <v>0</v>
      </c>
      <c r="P123" s="1289">
        <f t="shared" si="63"/>
        <v>0</v>
      </c>
      <c r="Q123" s="1289">
        <f t="shared" si="63"/>
        <v>0</v>
      </c>
      <c r="R123" s="1289">
        <f t="shared" si="63"/>
        <v>0</v>
      </c>
      <c r="S123" s="1289">
        <f>+S96+S118</f>
        <v>0</v>
      </c>
      <c r="T123" s="1289">
        <f t="shared" si="63"/>
        <v>0</v>
      </c>
      <c r="U123" s="1289">
        <f t="shared" si="63"/>
        <v>0</v>
      </c>
      <c r="V123" s="908"/>
      <c r="W123" s="908"/>
    </row>
    <row r="124" spans="22:23" ht="13.5" thickTop="1">
      <c r="V124" s="409"/>
      <c r="W124" s="409"/>
    </row>
    <row r="126" ht="12.75">
      <c r="B126" s="902"/>
    </row>
    <row r="128" spans="6:24" ht="12.75">
      <c r="F128" s="291"/>
      <c r="G128" s="291"/>
      <c r="H128" s="291"/>
      <c r="I128" s="291"/>
      <c r="J128" s="291"/>
      <c r="K128" s="291"/>
      <c r="L128" s="291"/>
      <c r="M128" s="291"/>
      <c r="N128" s="291"/>
      <c r="O128" s="291"/>
      <c r="P128" s="291"/>
      <c r="Q128" s="291"/>
      <c r="R128" s="291"/>
      <c r="S128" s="291"/>
      <c r="T128" s="291"/>
      <c r="U128" s="291"/>
      <c r="V128" s="291"/>
      <c r="W128" s="291"/>
      <c r="X128" s="881"/>
    </row>
  </sheetData>
  <sheetProtection/>
  <printOptions horizontalCentered="1"/>
  <pageMargins left="0.18" right="0.25" top="0.62" bottom="0.75" header="0.5" footer="0.5"/>
  <pageSetup fitToHeight="3" fitToWidth="1" horizontalDpi="600" verticalDpi="600" orientation="landscape" scale="38" r:id="rId1"/>
  <headerFooter alignWithMargins="0">
    <oddFooter>&amp;L&amp;D&amp;R&amp;F</oddFooter>
  </headerFooter>
  <rowBreaks count="1" manualBreakCount="1">
    <brk id="35" max="255" man="1"/>
  </rowBreaks>
</worksheet>
</file>

<file path=xl/worksheets/sheet18.xml><?xml version="1.0" encoding="utf-8"?>
<worksheet xmlns="http://schemas.openxmlformats.org/spreadsheetml/2006/main" xmlns:r="http://schemas.openxmlformats.org/officeDocument/2006/relationships">
  <sheetPr>
    <tabColor indexed="22"/>
  </sheetPr>
  <dimension ref="A1:V140"/>
  <sheetViews>
    <sheetView zoomScale="50" zoomScaleNormal="50" workbookViewId="0" topLeftCell="A22">
      <selection activeCell="F47" sqref="F47"/>
    </sheetView>
  </sheetViews>
  <sheetFormatPr defaultColWidth="8.88671875" defaultRowHeight="15"/>
  <cols>
    <col min="1" max="1" width="6.77734375" style="290" customWidth="1"/>
    <col min="2" max="2" width="17.10546875" style="290" customWidth="1"/>
    <col min="3" max="3" width="13.3359375" style="290" customWidth="1"/>
    <col min="4" max="4" width="15.3359375" style="290" customWidth="1"/>
    <col min="5" max="5" width="13.77734375" style="290" customWidth="1"/>
    <col min="6" max="6" width="14.77734375" style="290" bestFit="1" customWidth="1"/>
    <col min="7" max="7" width="12.6640625" style="290" customWidth="1"/>
    <col min="8" max="8" width="13.99609375" style="290" bestFit="1" customWidth="1"/>
    <col min="9" max="9" width="15.6640625" style="290" bestFit="1" customWidth="1"/>
    <col min="10" max="10" width="14.3359375" style="290" bestFit="1" customWidth="1"/>
    <col min="11" max="11" width="11.77734375" style="290" customWidth="1"/>
    <col min="12" max="12" width="12.5546875" style="290" bestFit="1" customWidth="1"/>
    <col min="13" max="13" width="14.3359375" style="290" bestFit="1" customWidth="1"/>
    <col min="14" max="14" width="15.4453125" style="290" bestFit="1" customWidth="1"/>
    <col min="15" max="15" width="17.88671875" style="290" bestFit="1" customWidth="1"/>
    <col min="16" max="16" width="11.77734375" style="290" customWidth="1"/>
    <col min="17" max="17" width="14.3359375" style="290" bestFit="1" customWidth="1"/>
    <col min="18" max="20" width="14.5546875" style="290" customWidth="1"/>
    <col min="21" max="21" width="15.21484375" style="290" customWidth="1"/>
    <col min="22" max="16384" width="8.88671875" style="290" customWidth="1"/>
  </cols>
  <sheetData>
    <row r="1" spans="2:21" ht="20.25">
      <c r="B1" s="868" t="s">
        <v>283</v>
      </c>
      <c r="U1" s="869" t="s">
        <v>1690</v>
      </c>
    </row>
    <row r="2" ht="18">
      <c r="B2" s="870" t="s">
        <v>37</v>
      </c>
    </row>
    <row r="3" ht="15">
      <c r="B3" s="238" t="str">
        <f>+PTitle</f>
        <v>For the 12 months ended - December 31, 20xx</v>
      </c>
    </row>
    <row r="6" ht="13.5" thickBot="1">
      <c r="I6" s="871" t="s">
        <v>783</v>
      </c>
    </row>
    <row r="7" spans="1:9" ht="12.75">
      <c r="A7" s="872">
        <v>1</v>
      </c>
      <c r="B7" s="290" t="s">
        <v>1533</v>
      </c>
      <c r="E7" s="873" t="s">
        <v>1534</v>
      </c>
      <c r="I7" s="874">
        <f>'P-1 (Trans Plant)'!I91</f>
        <v>0</v>
      </c>
    </row>
    <row r="8" ht="12.75">
      <c r="A8" s="872"/>
    </row>
    <row r="9" spans="1:9" ht="12.75">
      <c r="A9" s="872">
        <f>A7+1</f>
        <v>2</v>
      </c>
      <c r="B9" s="290" t="s">
        <v>762</v>
      </c>
      <c r="E9" s="290" t="s">
        <v>55</v>
      </c>
      <c r="I9" s="875">
        <f>'Projected Gross Rev Req'!L16</f>
        <v>0</v>
      </c>
    </row>
    <row r="10" spans="1:9" ht="12.75">
      <c r="A10" s="872">
        <f>A9+1</f>
        <v>3</v>
      </c>
      <c r="B10" s="290" t="s">
        <v>989</v>
      </c>
      <c r="E10" s="290" t="s">
        <v>54</v>
      </c>
      <c r="I10" s="877">
        <f>'Projected Gross Rev Req'!G236</f>
        <v>0</v>
      </c>
    </row>
    <row r="11" spans="1:9" ht="12.75">
      <c r="A11" s="872">
        <f>A10+1</f>
        <v>4</v>
      </c>
      <c r="B11" s="290" t="s">
        <v>762</v>
      </c>
      <c r="E11" s="290" t="s">
        <v>991</v>
      </c>
      <c r="I11" s="291">
        <f>+I9-I10</f>
        <v>0</v>
      </c>
    </row>
    <row r="12" ht="12.75">
      <c r="A12" s="872"/>
    </row>
    <row r="13" spans="1:9" ht="12.75">
      <c r="A13" s="872">
        <f>A11+1</f>
        <v>5</v>
      </c>
      <c r="B13" s="290" t="s">
        <v>1691</v>
      </c>
      <c r="E13" s="290" t="s">
        <v>992</v>
      </c>
      <c r="I13" s="875">
        <f>'Projected Gross Rev Req'!L37</f>
        <v>-100715527.83728606</v>
      </c>
    </row>
    <row r="14" spans="1:9" ht="12.75">
      <c r="A14" s="872">
        <f aca="true" t="shared" si="0" ref="A14:A24">A13+1</f>
        <v>6</v>
      </c>
      <c r="B14" s="290" t="s">
        <v>1532</v>
      </c>
      <c r="E14" s="873" t="s">
        <v>1024</v>
      </c>
      <c r="I14" s="877">
        <f>'P-1 (Trans Plant)'!H92</f>
        <v>0</v>
      </c>
    </row>
    <row r="15" spans="1:9" ht="12.75">
      <c r="A15" s="872">
        <f t="shared" si="0"/>
        <v>7</v>
      </c>
      <c r="B15" s="290" t="s">
        <v>818</v>
      </c>
      <c r="E15" s="290" t="s">
        <v>56</v>
      </c>
      <c r="I15" s="877">
        <f>'Projected Gross Rev Req'!L28</f>
        <v>0</v>
      </c>
    </row>
    <row r="16" spans="1:9" ht="12.75">
      <c r="A16" s="872">
        <f t="shared" si="0"/>
        <v>8</v>
      </c>
      <c r="B16" s="290" t="s">
        <v>1143</v>
      </c>
      <c r="E16" s="290" t="s">
        <v>1146</v>
      </c>
      <c r="I16" s="876">
        <f>I15-J114</f>
        <v>0</v>
      </c>
    </row>
    <row r="17" spans="1:9" ht="12.75">
      <c r="A17" s="872">
        <f t="shared" si="0"/>
        <v>9</v>
      </c>
      <c r="B17" s="290" t="s">
        <v>1692</v>
      </c>
      <c r="E17" s="290" t="s">
        <v>1050</v>
      </c>
      <c r="I17" s="877">
        <f>'Projected Gross Rev Req'!L78</f>
        <v>547617.0302380899</v>
      </c>
    </row>
    <row r="18" spans="1:9" ht="12.75">
      <c r="A18" s="872">
        <f t="shared" si="0"/>
        <v>10</v>
      </c>
      <c r="B18" s="290" t="s">
        <v>441</v>
      </c>
      <c r="E18" s="290" t="s">
        <v>1651</v>
      </c>
      <c r="I18" s="877">
        <f>-'Projected Net Rev Req'!J20</f>
        <v>-17939732.004723042</v>
      </c>
    </row>
    <row r="19" spans="1:9" ht="12.75">
      <c r="A19" s="872">
        <f t="shared" si="0"/>
        <v>11</v>
      </c>
      <c r="B19" s="290" t="s">
        <v>440</v>
      </c>
      <c r="E19" s="290" t="s">
        <v>1051</v>
      </c>
      <c r="I19" s="877">
        <f>'Projected Gross Rev Req'!L97</f>
        <v>144207.597207841</v>
      </c>
    </row>
    <row r="20" spans="1:9" ht="12.75">
      <c r="A20" s="872">
        <f t="shared" si="0"/>
        <v>12</v>
      </c>
      <c r="B20" s="290" t="s">
        <v>1693</v>
      </c>
      <c r="E20" s="290" t="s">
        <v>1053</v>
      </c>
      <c r="I20" s="877">
        <f>'Projected Gross Rev Req'!L112-I22</f>
        <v>-7220267.562662601</v>
      </c>
    </row>
    <row r="21" spans="1:9" ht="12.75">
      <c r="A21" s="872">
        <f t="shared" si="0"/>
        <v>13</v>
      </c>
      <c r="B21" s="290" t="s">
        <v>965</v>
      </c>
      <c r="E21" s="290" t="s">
        <v>57</v>
      </c>
      <c r="I21" s="877">
        <f>'Projected Gross Rev Req'!L110</f>
        <v>0</v>
      </c>
    </row>
    <row r="22" spans="1:9" ht="12.75">
      <c r="A22" s="872">
        <f t="shared" si="0"/>
        <v>14</v>
      </c>
      <c r="B22" s="290" t="s">
        <v>1169</v>
      </c>
      <c r="E22" s="290" t="s">
        <v>1052</v>
      </c>
      <c r="I22" s="877">
        <f>'Projected Gross Rev Req'!J238</f>
        <v>0</v>
      </c>
    </row>
    <row r="23" spans="1:9" ht="12.75">
      <c r="A23" s="872">
        <f t="shared" si="0"/>
        <v>15</v>
      </c>
      <c r="B23" s="290" t="s">
        <v>1694</v>
      </c>
      <c r="E23" s="290" t="s">
        <v>70</v>
      </c>
      <c r="I23" s="877">
        <f>'Projected Gross Rev Req'!G236</f>
        <v>0</v>
      </c>
    </row>
    <row r="24" spans="1:9" ht="12.75">
      <c r="A24" s="872">
        <f t="shared" si="0"/>
        <v>16</v>
      </c>
      <c r="B24" s="290" t="s">
        <v>817</v>
      </c>
      <c r="E24" s="290" t="s">
        <v>985</v>
      </c>
      <c r="I24" s="878">
        <f>IF('Projected Gross Rev Req'!L112=0,0,'Projected Gross Rev Req'!L110/'Projected Gross Rev Req'!L112)</f>
        <v>0</v>
      </c>
    </row>
    <row r="25" spans="1:9" ht="12.75">
      <c r="A25" s="879" t="s">
        <v>1137</v>
      </c>
      <c r="B25" s="290" t="s">
        <v>1135</v>
      </c>
      <c r="E25" s="290" t="s">
        <v>1136</v>
      </c>
      <c r="I25" s="874">
        <f>'TU (True-up)'!J77</f>
        <v>0</v>
      </c>
    </row>
    <row r="26" spans="1:9" ht="12.75">
      <c r="A26" s="872"/>
      <c r="I26" s="880"/>
    </row>
    <row r="27" spans="1:9" ht="12.75">
      <c r="A27" s="872">
        <f>A24+1</f>
        <v>17</v>
      </c>
      <c r="B27" s="290" t="s">
        <v>765</v>
      </c>
      <c r="E27" s="290" t="s">
        <v>71</v>
      </c>
      <c r="I27" s="881">
        <f>IF(I15=0,0,I13/I15)</f>
        <v>0</v>
      </c>
    </row>
    <row r="28" spans="1:9" ht="12.75">
      <c r="A28" s="872">
        <f aca="true" t="shared" si="1" ref="A28:A34">A27+1</f>
        <v>18</v>
      </c>
      <c r="B28" s="290" t="s">
        <v>984</v>
      </c>
      <c r="E28" s="290" t="s">
        <v>72</v>
      </c>
      <c r="I28" s="881">
        <f>IF(I15=0,0,I17/I15)</f>
        <v>0</v>
      </c>
    </row>
    <row r="29" spans="1:11" ht="12.75">
      <c r="A29" s="872">
        <f t="shared" si="1"/>
        <v>19</v>
      </c>
      <c r="B29" s="290" t="s">
        <v>980</v>
      </c>
      <c r="E29" s="290" t="s">
        <v>990</v>
      </c>
      <c r="I29" s="881">
        <f>IF(I15=0,0,I18/I15)</f>
        <v>0</v>
      </c>
      <c r="K29" s="881"/>
    </row>
    <row r="30" spans="1:9" ht="12.75">
      <c r="A30" s="872">
        <f t="shared" si="1"/>
        <v>20</v>
      </c>
      <c r="B30" s="290" t="s">
        <v>983</v>
      </c>
      <c r="E30" s="290" t="s">
        <v>73</v>
      </c>
      <c r="I30" s="881">
        <f>IF(I15=0,0,I19/I15)</f>
        <v>0</v>
      </c>
    </row>
    <row r="31" spans="1:9" ht="12.75">
      <c r="A31" s="872">
        <f t="shared" si="1"/>
        <v>21</v>
      </c>
      <c r="B31" s="290" t="s">
        <v>982</v>
      </c>
      <c r="E31" s="290" t="s">
        <v>74</v>
      </c>
      <c r="I31" s="882">
        <f>PRet</f>
        <v>0.08180282570846481</v>
      </c>
    </row>
    <row r="32" spans="1:9" ht="12.75">
      <c r="A32" s="872">
        <f t="shared" si="1"/>
        <v>22</v>
      </c>
      <c r="B32" s="290" t="s">
        <v>981</v>
      </c>
      <c r="E32" s="290" t="s">
        <v>75</v>
      </c>
      <c r="I32" s="881">
        <f>IF(I15=0,0,I21/I15)</f>
        <v>0</v>
      </c>
    </row>
    <row r="33" spans="1:9" ht="12.75">
      <c r="A33" s="872">
        <f t="shared" si="1"/>
        <v>23</v>
      </c>
      <c r="B33" s="290" t="s">
        <v>76</v>
      </c>
      <c r="E33" s="290" t="s">
        <v>80</v>
      </c>
      <c r="I33" s="883">
        <f>+'Actual Gross Rev'!H236</f>
        <v>0.48070650467017034</v>
      </c>
    </row>
    <row r="34" spans="1:9" ht="12.75">
      <c r="A34" s="872">
        <f t="shared" si="1"/>
        <v>24</v>
      </c>
      <c r="B34" s="290" t="s">
        <v>1138</v>
      </c>
      <c r="E34" s="290" t="s">
        <v>1139</v>
      </c>
      <c r="I34" s="884">
        <f>IF(J114=0,0,I25/J114)</f>
        <v>0</v>
      </c>
    </row>
    <row r="36" spans="2:21" ht="20.25">
      <c r="B36" s="868" t="str">
        <f>+B1</f>
        <v>Worksheet EPP - Economic Portfolio Project (EPP) Summary</v>
      </c>
      <c r="Q36" s="869"/>
      <c r="U36" s="869" t="s">
        <v>1695</v>
      </c>
    </row>
    <row r="37" ht="18">
      <c r="B37" s="870" t="str">
        <f>+B2</f>
        <v>Revenue Requirement of SPP Economic Portfolio Funded Projects (EPP) included in Westar's Projected Revenue Requirements [Note:(E)]</v>
      </c>
    </row>
    <row r="38" ht="15">
      <c r="B38" s="418" t="str">
        <f>+B3</f>
        <v>For the 12 months ended - December 31, 20xx</v>
      </c>
    </row>
    <row r="40" ht="12.75">
      <c r="B40" s="290" t="s">
        <v>835</v>
      </c>
    </row>
    <row r="41" ht="12.75">
      <c r="B41" s="290" t="s">
        <v>614</v>
      </c>
    </row>
    <row r="42" ht="12.75">
      <c r="B42" s="290" t="s">
        <v>837</v>
      </c>
    </row>
    <row r="43" ht="12.75">
      <c r="B43" s="290" t="s">
        <v>971</v>
      </c>
    </row>
    <row r="44" ht="12.75">
      <c r="B44" s="290" t="s">
        <v>36</v>
      </c>
    </row>
    <row r="46" spans="2:21" ht="12.75">
      <c r="B46" s="887"/>
      <c r="C46" s="887"/>
      <c r="D46" s="887"/>
      <c r="E46" s="887" t="s">
        <v>173</v>
      </c>
      <c r="F46" s="887" t="s">
        <v>171</v>
      </c>
      <c r="G46" s="887" t="s">
        <v>172</v>
      </c>
      <c r="H46" s="888" t="s">
        <v>601</v>
      </c>
      <c r="I46" s="888" t="s">
        <v>602</v>
      </c>
      <c r="J46" s="887" t="s">
        <v>603</v>
      </c>
      <c r="K46" s="888" t="s">
        <v>604</v>
      </c>
      <c r="L46" s="887" t="s">
        <v>605</v>
      </c>
      <c r="M46" s="887" t="s">
        <v>606</v>
      </c>
      <c r="N46" s="887" t="s">
        <v>607</v>
      </c>
      <c r="O46" s="887" t="s">
        <v>608</v>
      </c>
      <c r="P46" s="887" t="s">
        <v>609</v>
      </c>
      <c r="Q46" s="887" t="s">
        <v>610</v>
      </c>
      <c r="R46" s="887" t="s">
        <v>611</v>
      </c>
      <c r="S46" s="887" t="s">
        <v>1017</v>
      </c>
      <c r="T46" s="887" t="s">
        <v>1141</v>
      </c>
      <c r="U46" s="887" t="s">
        <v>1648</v>
      </c>
    </row>
    <row r="47" spans="2:21" ht="12.75">
      <c r="B47" s="889"/>
      <c r="C47" s="889"/>
      <c r="D47" s="889"/>
      <c r="E47" s="890" t="s">
        <v>1494</v>
      </c>
      <c r="F47" s="890" t="s">
        <v>1496</v>
      </c>
      <c r="G47" s="890" t="s">
        <v>1013</v>
      </c>
      <c r="H47" s="890" t="s">
        <v>1490</v>
      </c>
      <c r="I47" s="890" t="s">
        <v>119</v>
      </c>
      <c r="J47" s="890" t="s">
        <v>1014</v>
      </c>
      <c r="K47" s="890" t="s">
        <v>1291</v>
      </c>
      <c r="L47" s="890" t="s">
        <v>1497</v>
      </c>
      <c r="M47" s="890" t="s">
        <v>767</v>
      </c>
      <c r="N47" s="890" t="s">
        <v>766</v>
      </c>
      <c r="O47" s="890" t="s">
        <v>1721</v>
      </c>
      <c r="P47" s="890" t="s">
        <v>1106</v>
      </c>
      <c r="Q47" s="890" t="s">
        <v>1499</v>
      </c>
      <c r="R47" s="890" t="s">
        <v>764</v>
      </c>
      <c r="S47" s="890" t="s">
        <v>1646</v>
      </c>
      <c r="T47" s="890" t="s">
        <v>1140</v>
      </c>
      <c r="U47" s="890" t="s">
        <v>764</v>
      </c>
    </row>
    <row r="48" spans="2:21" ht="13.5" thickBot="1">
      <c r="B48" s="891" t="s">
        <v>1743</v>
      </c>
      <c r="C48" s="891" t="s">
        <v>1493</v>
      </c>
      <c r="D48" s="871"/>
      <c r="E48" s="892" t="s">
        <v>1495</v>
      </c>
      <c r="F48" s="892" t="s">
        <v>1490</v>
      </c>
      <c r="G48" s="892" t="s">
        <v>1489</v>
      </c>
      <c r="H48" s="892" t="s">
        <v>277</v>
      </c>
      <c r="I48" s="892" t="s">
        <v>1490</v>
      </c>
      <c r="J48" s="892" t="s">
        <v>1489</v>
      </c>
      <c r="K48" s="892" t="s">
        <v>1481</v>
      </c>
      <c r="L48" s="892" t="s">
        <v>1498</v>
      </c>
      <c r="M48" s="892" t="s">
        <v>964</v>
      </c>
      <c r="N48" s="892" t="s">
        <v>600</v>
      </c>
      <c r="O48" s="892" t="s">
        <v>1169</v>
      </c>
      <c r="P48" s="892" t="s">
        <v>964</v>
      </c>
      <c r="Q48" s="892" t="s">
        <v>1498</v>
      </c>
      <c r="R48" s="892" t="s">
        <v>763</v>
      </c>
      <c r="S48" s="892" t="s">
        <v>1647</v>
      </c>
      <c r="T48" s="892" t="s">
        <v>1184</v>
      </c>
      <c r="U48" s="892" t="s">
        <v>1696</v>
      </c>
    </row>
    <row r="49" spans="2:21" ht="12.75">
      <c r="B49" s="893"/>
      <c r="C49" s="889"/>
      <c r="D49" s="890"/>
      <c r="E49" s="890"/>
      <c r="F49" s="890"/>
      <c r="G49" s="890" t="s">
        <v>612</v>
      </c>
      <c r="H49" s="890" t="s">
        <v>988</v>
      </c>
      <c r="I49" s="894" t="s">
        <v>1016</v>
      </c>
      <c r="J49" s="890" t="s">
        <v>1015</v>
      </c>
      <c r="K49" s="890" t="s">
        <v>1021</v>
      </c>
      <c r="L49" s="890" t="s">
        <v>1419</v>
      </c>
      <c r="M49" s="890" t="s">
        <v>1047</v>
      </c>
      <c r="N49" s="890"/>
      <c r="O49" s="890" t="s">
        <v>1252</v>
      </c>
      <c r="P49" s="890" t="s">
        <v>1253</v>
      </c>
      <c r="Q49" s="890" t="s">
        <v>986</v>
      </c>
      <c r="R49" s="890" t="s">
        <v>1019</v>
      </c>
      <c r="S49" s="890" t="s">
        <v>987</v>
      </c>
      <c r="T49" s="890" t="s">
        <v>1142</v>
      </c>
      <c r="U49" s="890" t="s">
        <v>1649</v>
      </c>
    </row>
    <row r="50" spans="2:20" ht="12.75">
      <c r="B50" s="893" t="s">
        <v>836</v>
      </c>
      <c r="C50" s="889"/>
      <c r="D50" s="889"/>
      <c r="E50" s="889"/>
      <c r="F50" s="889"/>
      <c r="G50" s="889"/>
      <c r="H50" s="889"/>
      <c r="I50" s="889"/>
      <c r="J50" s="889"/>
      <c r="K50" s="889"/>
      <c r="L50" s="889"/>
      <c r="M50" s="889"/>
      <c r="N50" s="889"/>
      <c r="O50" s="889"/>
      <c r="P50" s="889"/>
      <c r="Q50" s="889"/>
      <c r="R50" s="889"/>
      <c r="S50" s="889"/>
      <c r="T50" s="889"/>
    </row>
    <row r="51" ht="12.75">
      <c r="B51" s="895" t="s">
        <v>285</v>
      </c>
    </row>
    <row r="52" spans="1:22" ht="12.75">
      <c r="A52" s="896" t="s">
        <v>1261</v>
      </c>
      <c r="B52" s="446" t="s">
        <v>284</v>
      </c>
      <c r="C52" s="446" t="s">
        <v>1225</v>
      </c>
      <c r="D52" s="897"/>
      <c r="E52" s="512">
        <v>0</v>
      </c>
      <c r="F52" s="512">
        <v>0</v>
      </c>
      <c r="G52" s="291">
        <f aca="true" t="shared" si="2" ref="G52:G57">E52-F52</f>
        <v>0</v>
      </c>
      <c r="H52" s="898">
        <f aca="true" t="shared" si="3" ref="H52:H57">IF(I$14=0,0,I$7/I$14)</f>
        <v>0</v>
      </c>
      <c r="I52" s="291">
        <f aca="true" t="shared" si="4" ref="I52:I57">ROUND(E52*H52*1.5,0)</f>
        <v>0</v>
      </c>
      <c r="J52" s="291">
        <f aca="true" t="shared" si="5" ref="J52:J57">MAX(E52-F52-I52,0)</f>
        <v>0</v>
      </c>
      <c r="K52" s="291">
        <f aca="true" t="shared" si="6" ref="K52:K57">ROUND(J52*$I$28,0)</f>
        <v>0</v>
      </c>
      <c r="L52" s="291">
        <f aca="true" t="shared" si="7" ref="L52:L57">ROUND(J52*$I$30,0)</f>
        <v>0</v>
      </c>
      <c r="M52" s="884">
        <f aca="true" t="shared" si="8" ref="M52:M57">+I$31</f>
        <v>0.08180282570846481</v>
      </c>
      <c r="N52" s="899">
        <v>0</v>
      </c>
      <c r="O52" s="291">
        <f aca="true" t="shared" si="9" ref="O52:O57">ROUND(N52*J52,0)</f>
        <v>0</v>
      </c>
      <c r="P52" s="291">
        <f aca="true" t="shared" si="10" ref="P52:P57">ROUND(O52+(M52*J52),0)</f>
        <v>0</v>
      </c>
      <c r="Q52" s="291">
        <f aca="true" t="shared" si="11" ref="Q52:Q57">ROUND(P52*I$24,0)</f>
        <v>0</v>
      </c>
      <c r="R52" s="291">
        <f aca="true" t="shared" si="12" ref="R52:R57">ROUND(+J52*$I$29,0)</f>
        <v>0</v>
      </c>
      <c r="S52" s="291">
        <f aca="true" t="shared" si="13" ref="S52:S57">I52+K52+L52+P52+Q52+R52</f>
        <v>0</v>
      </c>
      <c r="T52" s="291">
        <f aca="true" t="shared" si="14" ref="T52:T57">ROUND(J52*I$34,0)</f>
        <v>0</v>
      </c>
      <c r="U52" s="291">
        <f aca="true" t="shared" si="15" ref="U52:U57">S52+T52</f>
        <v>0</v>
      </c>
      <c r="V52" s="881"/>
    </row>
    <row r="53" spans="1:22" ht="12.75">
      <c r="A53" s="896" t="s">
        <v>1261</v>
      </c>
      <c r="B53" s="446" t="s">
        <v>284</v>
      </c>
      <c r="C53" s="446" t="s">
        <v>1229</v>
      </c>
      <c r="D53" s="446"/>
      <c r="E53" s="512">
        <v>0</v>
      </c>
      <c r="F53" s="512">
        <v>0</v>
      </c>
      <c r="G53" s="291">
        <f t="shared" si="2"/>
        <v>0</v>
      </c>
      <c r="H53" s="898">
        <f t="shared" si="3"/>
        <v>0</v>
      </c>
      <c r="I53" s="291">
        <f t="shared" si="4"/>
        <v>0</v>
      </c>
      <c r="J53" s="291">
        <f t="shared" si="5"/>
        <v>0</v>
      </c>
      <c r="K53" s="291">
        <f t="shared" si="6"/>
        <v>0</v>
      </c>
      <c r="L53" s="291">
        <f t="shared" si="7"/>
        <v>0</v>
      </c>
      <c r="M53" s="884">
        <f t="shared" si="8"/>
        <v>0.08180282570846481</v>
      </c>
      <c r="N53" s="899">
        <v>0</v>
      </c>
      <c r="O53" s="291">
        <f t="shared" si="9"/>
        <v>0</v>
      </c>
      <c r="P53" s="291">
        <f t="shared" si="10"/>
        <v>0</v>
      </c>
      <c r="Q53" s="291">
        <f t="shared" si="11"/>
        <v>0</v>
      </c>
      <c r="R53" s="291">
        <f t="shared" si="12"/>
        <v>0</v>
      </c>
      <c r="S53" s="291">
        <f t="shared" si="13"/>
        <v>0</v>
      </c>
      <c r="T53" s="291">
        <f t="shared" si="14"/>
        <v>0</v>
      </c>
      <c r="U53" s="291">
        <f t="shared" si="15"/>
        <v>0</v>
      </c>
      <c r="V53" s="881"/>
    </row>
    <row r="54" spans="1:22" ht="12.75">
      <c r="A54" s="896" t="s">
        <v>1261</v>
      </c>
      <c r="B54" s="446" t="s">
        <v>284</v>
      </c>
      <c r="C54" s="446" t="s">
        <v>1226</v>
      </c>
      <c r="D54" s="446"/>
      <c r="E54" s="512">
        <v>0</v>
      </c>
      <c r="F54" s="512">
        <v>0</v>
      </c>
      <c r="G54" s="291">
        <f>E54-F54</f>
        <v>0</v>
      </c>
      <c r="H54" s="898">
        <f t="shared" si="3"/>
        <v>0</v>
      </c>
      <c r="I54" s="291">
        <f t="shared" si="4"/>
        <v>0</v>
      </c>
      <c r="J54" s="291">
        <f t="shared" si="5"/>
        <v>0</v>
      </c>
      <c r="K54" s="291">
        <f t="shared" si="6"/>
        <v>0</v>
      </c>
      <c r="L54" s="291">
        <f t="shared" si="7"/>
        <v>0</v>
      </c>
      <c r="M54" s="884">
        <f t="shared" si="8"/>
        <v>0.08180282570846481</v>
      </c>
      <c r="N54" s="899">
        <v>0</v>
      </c>
      <c r="O54" s="291">
        <f t="shared" si="9"/>
        <v>0</v>
      </c>
      <c r="P54" s="291">
        <f t="shared" si="10"/>
        <v>0</v>
      </c>
      <c r="Q54" s="291">
        <f t="shared" si="11"/>
        <v>0</v>
      </c>
      <c r="R54" s="291">
        <f t="shared" si="12"/>
        <v>0</v>
      </c>
      <c r="S54" s="291">
        <f t="shared" si="13"/>
        <v>0</v>
      </c>
      <c r="T54" s="291">
        <f t="shared" si="14"/>
        <v>0</v>
      </c>
      <c r="U54" s="291">
        <f t="shared" si="15"/>
        <v>0</v>
      </c>
      <c r="V54" s="881"/>
    </row>
    <row r="55" spans="1:22" ht="12.75">
      <c r="A55" s="896" t="s">
        <v>1261</v>
      </c>
      <c r="B55" s="446" t="s">
        <v>284</v>
      </c>
      <c r="C55" s="897" t="s">
        <v>1227</v>
      </c>
      <c r="D55" s="897"/>
      <c r="E55" s="512">
        <v>0</v>
      </c>
      <c r="F55" s="512">
        <v>0</v>
      </c>
      <c r="G55" s="291">
        <f t="shared" si="2"/>
        <v>0</v>
      </c>
      <c r="H55" s="898">
        <f t="shared" si="3"/>
        <v>0</v>
      </c>
      <c r="I55" s="291">
        <f t="shared" si="4"/>
        <v>0</v>
      </c>
      <c r="J55" s="291">
        <f t="shared" si="5"/>
        <v>0</v>
      </c>
      <c r="K55" s="291">
        <f t="shared" si="6"/>
        <v>0</v>
      </c>
      <c r="L55" s="291">
        <f t="shared" si="7"/>
        <v>0</v>
      </c>
      <c r="M55" s="884">
        <f t="shared" si="8"/>
        <v>0.08180282570846481</v>
      </c>
      <c r="N55" s="899">
        <v>0</v>
      </c>
      <c r="O55" s="291">
        <f t="shared" si="9"/>
        <v>0</v>
      </c>
      <c r="P55" s="291">
        <f t="shared" si="10"/>
        <v>0</v>
      </c>
      <c r="Q55" s="291">
        <f t="shared" si="11"/>
        <v>0</v>
      </c>
      <c r="R55" s="291">
        <f t="shared" si="12"/>
        <v>0</v>
      </c>
      <c r="S55" s="291">
        <f t="shared" si="13"/>
        <v>0</v>
      </c>
      <c r="T55" s="291">
        <f t="shared" si="14"/>
        <v>0</v>
      </c>
      <c r="U55" s="291">
        <f t="shared" si="15"/>
        <v>0</v>
      </c>
      <c r="V55" s="881"/>
    </row>
    <row r="56" spans="1:22" ht="12.75">
      <c r="A56" s="896" t="s">
        <v>1261</v>
      </c>
      <c r="B56" s="446" t="s">
        <v>284</v>
      </c>
      <c r="C56" s="897" t="s">
        <v>1228</v>
      </c>
      <c r="D56" s="897"/>
      <c r="E56" s="512">
        <v>0</v>
      </c>
      <c r="F56" s="512">
        <v>0</v>
      </c>
      <c r="G56" s="291">
        <f t="shared" si="2"/>
        <v>0</v>
      </c>
      <c r="H56" s="898">
        <f t="shared" si="3"/>
        <v>0</v>
      </c>
      <c r="I56" s="291">
        <f t="shared" si="4"/>
        <v>0</v>
      </c>
      <c r="J56" s="291">
        <f t="shared" si="5"/>
        <v>0</v>
      </c>
      <c r="K56" s="291">
        <f t="shared" si="6"/>
        <v>0</v>
      </c>
      <c r="L56" s="291">
        <f t="shared" si="7"/>
        <v>0</v>
      </c>
      <c r="M56" s="884">
        <f t="shared" si="8"/>
        <v>0.08180282570846481</v>
      </c>
      <c r="N56" s="899">
        <v>0</v>
      </c>
      <c r="O56" s="291">
        <f t="shared" si="9"/>
        <v>0</v>
      </c>
      <c r="P56" s="291">
        <f t="shared" si="10"/>
        <v>0</v>
      </c>
      <c r="Q56" s="291">
        <f t="shared" si="11"/>
        <v>0</v>
      </c>
      <c r="R56" s="291">
        <f t="shared" si="12"/>
        <v>0</v>
      </c>
      <c r="S56" s="291">
        <f t="shared" si="13"/>
        <v>0</v>
      </c>
      <c r="T56" s="291">
        <f t="shared" si="14"/>
        <v>0</v>
      </c>
      <c r="U56" s="291">
        <f t="shared" si="15"/>
        <v>0</v>
      </c>
      <c r="V56" s="881"/>
    </row>
    <row r="57" spans="1:22" ht="12.75">
      <c r="A57" s="896" t="s">
        <v>1261</v>
      </c>
      <c r="B57" s="446"/>
      <c r="C57" s="897"/>
      <c r="D57" s="897"/>
      <c r="E57" s="512"/>
      <c r="F57" s="512"/>
      <c r="G57" s="291">
        <f t="shared" si="2"/>
        <v>0</v>
      </c>
      <c r="H57" s="898">
        <f t="shared" si="3"/>
        <v>0</v>
      </c>
      <c r="I57" s="291">
        <f t="shared" si="4"/>
        <v>0</v>
      </c>
      <c r="J57" s="291">
        <f t="shared" si="5"/>
        <v>0</v>
      </c>
      <c r="K57" s="291">
        <f t="shared" si="6"/>
        <v>0</v>
      </c>
      <c r="L57" s="291">
        <f t="shared" si="7"/>
        <v>0</v>
      </c>
      <c r="M57" s="884">
        <f t="shared" si="8"/>
        <v>0.08180282570846481</v>
      </c>
      <c r="N57" s="899">
        <v>0</v>
      </c>
      <c r="O57" s="291">
        <f t="shared" si="9"/>
        <v>0</v>
      </c>
      <c r="P57" s="291">
        <f t="shared" si="10"/>
        <v>0</v>
      </c>
      <c r="Q57" s="291">
        <f t="shared" si="11"/>
        <v>0</v>
      </c>
      <c r="R57" s="291">
        <f t="shared" si="12"/>
        <v>0</v>
      </c>
      <c r="S57" s="291">
        <f t="shared" si="13"/>
        <v>0</v>
      </c>
      <c r="T57" s="291">
        <f t="shared" si="14"/>
        <v>0</v>
      </c>
      <c r="U57" s="291">
        <f t="shared" si="15"/>
        <v>0</v>
      </c>
      <c r="V57" s="881"/>
    </row>
    <row r="58" spans="1:22" ht="12.75">
      <c r="A58" s="901"/>
      <c r="B58" s="1073"/>
      <c r="C58" s="1073"/>
      <c r="D58" s="1073"/>
      <c r="E58" s="904"/>
      <c r="F58" s="904"/>
      <c r="G58" s="904"/>
      <c r="H58" s="1070"/>
      <c r="I58" s="904"/>
      <c r="J58" s="904"/>
      <c r="K58" s="904"/>
      <c r="L58" s="904"/>
      <c r="M58" s="1071"/>
      <c r="N58" s="1072"/>
      <c r="O58" s="1071"/>
      <c r="P58" s="904"/>
      <c r="Q58" s="904"/>
      <c r="R58" s="904"/>
      <c r="S58" s="904"/>
      <c r="T58" s="904"/>
      <c r="U58" s="904"/>
      <c r="V58" s="881"/>
    </row>
    <row r="59" spans="1:22" ht="12.75">
      <c r="A59" s="901" t="s">
        <v>1144</v>
      </c>
      <c r="B59" s="1282" t="s">
        <v>1245</v>
      </c>
      <c r="E59" s="291">
        <f>SUM(E52:E57)</f>
        <v>0</v>
      </c>
      <c r="F59" s="291">
        <f>SUM(F52:F57)</f>
        <v>0</v>
      </c>
      <c r="G59" s="291">
        <f>SUM(G52:G57)</f>
        <v>0</v>
      </c>
      <c r="H59" s="898"/>
      <c r="I59" s="291">
        <f>SUM(I52:I57)</f>
        <v>0</v>
      </c>
      <c r="J59" s="291">
        <f>SUM(J52:J57)</f>
        <v>0</v>
      </c>
      <c r="K59" s="291">
        <f>SUM(K52:K57)</f>
        <v>0</v>
      </c>
      <c r="L59" s="291">
        <f>SUM(L52:L57)</f>
        <v>0</v>
      </c>
      <c r="M59" s="884"/>
      <c r="N59" s="291">
        <f>SUM(N52:N57)</f>
        <v>0</v>
      </c>
      <c r="O59" s="884"/>
      <c r="P59" s="291">
        <f>SUM(P52:P57)</f>
        <v>0</v>
      </c>
      <c r="Q59" s="291">
        <f>SUM(Q52:Q57)</f>
        <v>0</v>
      </c>
      <c r="R59" s="291">
        <f>SUM(R52:R57)</f>
        <v>0</v>
      </c>
      <c r="S59" s="291"/>
      <c r="T59" s="291">
        <f>SUM(T52:T57)</f>
        <v>0</v>
      </c>
      <c r="U59" s="291">
        <f>SUM(U52:U57)</f>
        <v>0</v>
      </c>
      <c r="V59" s="881"/>
    </row>
    <row r="60" spans="1:22" ht="12.75">
      <c r="A60" s="901"/>
      <c r="B60" s="409"/>
      <c r="E60" s="291"/>
      <c r="F60" s="291"/>
      <c r="G60" s="291"/>
      <c r="H60" s="898"/>
      <c r="I60" s="291"/>
      <c r="J60" s="291"/>
      <c r="K60" s="291"/>
      <c r="L60" s="291"/>
      <c r="M60" s="884"/>
      <c r="N60" s="899"/>
      <c r="O60" s="884"/>
      <c r="P60" s="291"/>
      <c r="Q60" s="291"/>
      <c r="R60" s="291"/>
      <c r="S60" s="291"/>
      <c r="T60" s="291"/>
      <c r="U60" s="291"/>
      <c r="V60" s="881"/>
    </row>
    <row r="61" spans="1:22" ht="12.75">
      <c r="A61" s="901"/>
      <c r="B61" s="409"/>
      <c r="E61" s="291"/>
      <c r="F61" s="291"/>
      <c r="G61" s="291"/>
      <c r="H61" s="898"/>
      <c r="I61" s="291"/>
      <c r="J61" s="291"/>
      <c r="K61" s="291"/>
      <c r="L61" s="291"/>
      <c r="M61" s="884"/>
      <c r="N61" s="899"/>
      <c r="O61" s="884"/>
      <c r="P61" s="291"/>
      <c r="Q61" s="291"/>
      <c r="R61" s="291"/>
      <c r="S61" s="291"/>
      <c r="T61" s="291"/>
      <c r="U61" s="291"/>
      <c r="V61" s="881"/>
    </row>
    <row r="62" spans="1:22" ht="12.75">
      <c r="A62" s="901"/>
      <c r="B62" s="889"/>
      <c r="C62" s="889"/>
      <c r="D62" s="889"/>
      <c r="E62" s="890" t="s">
        <v>1494</v>
      </c>
      <c r="F62" s="890" t="s">
        <v>1536</v>
      </c>
      <c r="G62" s="890" t="s">
        <v>1013</v>
      </c>
      <c r="H62" s="890" t="s">
        <v>1490</v>
      </c>
      <c r="I62" s="890" t="s">
        <v>119</v>
      </c>
      <c r="J62" s="890" t="s">
        <v>1014</v>
      </c>
      <c r="K62" s="890" t="s">
        <v>1291</v>
      </c>
      <c r="L62" s="890" t="s">
        <v>1497</v>
      </c>
      <c r="M62" s="890" t="s">
        <v>767</v>
      </c>
      <c r="N62" s="890" t="s">
        <v>766</v>
      </c>
      <c r="O62" s="890" t="s">
        <v>1721</v>
      </c>
      <c r="P62" s="890" t="s">
        <v>1106</v>
      </c>
      <c r="Q62" s="890" t="s">
        <v>1499</v>
      </c>
      <c r="R62" s="890" t="s">
        <v>764</v>
      </c>
      <c r="S62" s="890" t="s">
        <v>1646</v>
      </c>
      <c r="T62" s="890" t="s">
        <v>1140</v>
      </c>
      <c r="U62" s="890" t="s">
        <v>764</v>
      </c>
      <c r="V62" s="881"/>
    </row>
    <row r="63" spans="1:22" ht="13.5" thickBot="1">
      <c r="A63" s="901"/>
      <c r="B63" s="891" t="s">
        <v>1743</v>
      </c>
      <c r="C63" s="891" t="s">
        <v>1493</v>
      </c>
      <c r="D63" s="871"/>
      <c r="E63" s="892" t="s">
        <v>1495</v>
      </c>
      <c r="F63" s="892" t="s">
        <v>1490</v>
      </c>
      <c r="G63" s="892" t="s">
        <v>1489</v>
      </c>
      <c r="H63" s="892" t="s">
        <v>277</v>
      </c>
      <c r="I63" s="892" t="s">
        <v>1490</v>
      </c>
      <c r="J63" s="892" t="s">
        <v>1489</v>
      </c>
      <c r="K63" s="892" t="s">
        <v>1481</v>
      </c>
      <c r="L63" s="892" t="s">
        <v>1498</v>
      </c>
      <c r="M63" s="892" t="s">
        <v>964</v>
      </c>
      <c r="N63" s="892" t="s">
        <v>600</v>
      </c>
      <c r="O63" s="892" t="s">
        <v>1169</v>
      </c>
      <c r="P63" s="892" t="s">
        <v>964</v>
      </c>
      <c r="Q63" s="892" t="s">
        <v>1498</v>
      </c>
      <c r="R63" s="892" t="s">
        <v>763</v>
      </c>
      <c r="S63" s="892" t="s">
        <v>1647</v>
      </c>
      <c r="T63" s="892" t="s">
        <v>1184</v>
      </c>
      <c r="U63" s="892" t="s">
        <v>1696</v>
      </c>
      <c r="V63" s="881"/>
    </row>
    <row r="64" spans="1:22" ht="12.75">
      <c r="A64" s="901"/>
      <c r="B64" s="893"/>
      <c r="C64" s="889"/>
      <c r="D64" s="890"/>
      <c r="E64" s="890"/>
      <c r="F64" s="890"/>
      <c r="G64" s="890" t="s">
        <v>612</v>
      </c>
      <c r="H64" s="890"/>
      <c r="I64" s="890" t="s">
        <v>81</v>
      </c>
      <c r="J64" s="890" t="s">
        <v>993</v>
      </c>
      <c r="K64" s="890" t="s">
        <v>1018</v>
      </c>
      <c r="L64" s="890" t="s">
        <v>1019</v>
      </c>
      <c r="M64" s="890" t="s">
        <v>613</v>
      </c>
      <c r="N64" s="890"/>
      <c r="O64" s="890" t="s">
        <v>1252</v>
      </c>
      <c r="P64" s="890" t="s">
        <v>1253</v>
      </c>
      <c r="Q64" s="890" t="s">
        <v>1020</v>
      </c>
      <c r="R64" s="890" t="s">
        <v>1021</v>
      </c>
      <c r="S64" s="890" t="s">
        <v>987</v>
      </c>
      <c r="T64" s="890" t="s">
        <v>1142</v>
      </c>
      <c r="U64" s="890" t="s">
        <v>1649</v>
      </c>
      <c r="V64" s="881"/>
    </row>
    <row r="65" spans="1:21" ht="12.75">
      <c r="A65" s="887"/>
      <c r="B65" s="902" t="s">
        <v>286</v>
      </c>
      <c r="C65" s="903"/>
      <c r="E65" s="291"/>
      <c r="F65" s="291"/>
      <c r="G65" s="291"/>
      <c r="H65" s="291"/>
      <c r="I65" s="881"/>
      <c r="J65" s="291"/>
      <c r="K65" s="291"/>
      <c r="L65" s="909"/>
      <c r="M65" s="291"/>
      <c r="N65" s="291"/>
      <c r="O65" s="291"/>
      <c r="P65" s="291"/>
      <c r="Q65" s="291"/>
      <c r="R65" s="291"/>
      <c r="S65" s="291"/>
      <c r="T65" s="291"/>
      <c r="U65" s="881"/>
    </row>
    <row r="66" spans="1:22" ht="12.75">
      <c r="A66" s="896" t="s">
        <v>1261</v>
      </c>
      <c r="B66" s="446" t="s">
        <v>284</v>
      </c>
      <c r="C66" s="446" t="s">
        <v>1233</v>
      </c>
      <c r="D66" s="897"/>
      <c r="E66" s="512">
        <v>0</v>
      </c>
      <c r="F66" s="1290">
        <v>0</v>
      </c>
      <c r="G66" s="291">
        <f aca="true" t="shared" si="16" ref="G66:G72">E66-F66</f>
        <v>0</v>
      </c>
      <c r="H66" s="899">
        <v>0</v>
      </c>
      <c r="I66" s="512">
        <v>0</v>
      </c>
      <c r="J66" s="291">
        <f aca="true" t="shared" si="17" ref="J66:J72">MAX(E66-F66-I66,0)</f>
        <v>0</v>
      </c>
      <c r="K66" s="291">
        <f aca="true" t="shared" si="18" ref="K66:K72">ROUND(J66*$I$28,0)</f>
        <v>0</v>
      </c>
      <c r="L66" s="291">
        <f aca="true" t="shared" si="19" ref="L66:L72">ROUND(J66*$I$30,0)</f>
        <v>0</v>
      </c>
      <c r="M66" s="884">
        <f aca="true" t="shared" si="20" ref="M66:M72">+I$31</f>
        <v>0.08180282570846481</v>
      </c>
      <c r="N66" s="899">
        <v>0</v>
      </c>
      <c r="O66" s="291">
        <f aca="true" t="shared" si="21" ref="O66:O71">ROUND(N66*J66,0)</f>
        <v>0</v>
      </c>
      <c r="P66" s="291">
        <f aca="true" t="shared" si="22" ref="P66:P72">ROUND(O66+(M66*J66),0)</f>
        <v>0</v>
      </c>
      <c r="Q66" s="291">
        <f aca="true" t="shared" si="23" ref="Q66:Q72">ROUND(P66*I$24,0)</f>
        <v>0</v>
      </c>
      <c r="R66" s="291">
        <f aca="true" t="shared" si="24" ref="R66:R72">ROUND(+J66*$I$29,0)</f>
        <v>0</v>
      </c>
      <c r="S66" s="291">
        <f aca="true" t="shared" si="25" ref="S66:S72">I66+K66+L66+P66+Q66+R66</f>
        <v>0</v>
      </c>
      <c r="T66" s="291">
        <f aca="true" t="shared" si="26" ref="T66:T72">ROUND(J66*I$34,0)</f>
        <v>0</v>
      </c>
      <c r="U66" s="291">
        <f aca="true" t="shared" si="27" ref="U66:U72">S66+T66</f>
        <v>0</v>
      </c>
      <c r="V66" s="881"/>
    </row>
    <row r="67" spans="1:22" ht="12.75">
      <c r="A67" s="896" t="s">
        <v>1261</v>
      </c>
      <c r="B67" s="446" t="s">
        <v>284</v>
      </c>
      <c r="C67" s="446" t="s">
        <v>1235</v>
      </c>
      <c r="D67" s="897"/>
      <c r="E67" s="512">
        <v>0</v>
      </c>
      <c r="F67" s="1290">
        <v>0</v>
      </c>
      <c r="G67" s="291">
        <f t="shared" si="16"/>
        <v>0</v>
      </c>
      <c r="H67" s="899">
        <v>0</v>
      </c>
      <c r="I67" s="512">
        <v>0</v>
      </c>
      <c r="J67" s="291">
        <f t="shared" si="17"/>
        <v>0</v>
      </c>
      <c r="K67" s="291">
        <f t="shared" si="18"/>
        <v>0</v>
      </c>
      <c r="L67" s="291">
        <f t="shared" si="19"/>
        <v>0</v>
      </c>
      <c r="M67" s="884">
        <f t="shared" si="20"/>
        <v>0.08180282570846481</v>
      </c>
      <c r="N67" s="899">
        <v>0</v>
      </c>
      <c r="O67" s="291">
        <f t="shared" si="21"/>
        <v>0</v>
      </c>
      <c r="P67" s="291">
        <f t="shared" si="22"/>
        <v>0</v>
      </c>
      <c r="Q67" s="291">
        <f t="shared" si="23"/>
        <v>0</v>
      </c>
      <c r="R67" s="291">
        <f t="shared" si="24"/>
        <v>0</v>
      </c>
      <c r="S67" s="291">
        <f t="shared" si="25"/>
        <v>0</v>
      </c>
      <c r="T67" s="291">
        <f t="shared" si="26"/>
        <v>0</v>
      </c>
      <c r="U67" s="291">
        <f t="shared" si="27"/>
        <v>0</v>
      </c>
      <c r="V67" s="881"/>
    </row>
    <row r="68" spans="1:22" ht="12.75">
      <c r="A68" s="896" t="s">
        <v>1261</v>
      </c>
      <c r="B68" s="446" t="s">
        <v>284</v>
      </c>
      <c r="C68" s="446" t="s">
        <v>1236</v>
      </c>
      <c r="D68" s="897"/>
      <c r="E68" s="512">
        <v>0</v>
      </c>
      <c r="F68" s="1290">
        <v>0</v>
      </c>
      <c r="G68" s="291">
        <f t="shared" si="16"/>
        <v>0</v>
      </c>
      <c r="H68" s="899">
        <v>0</v>
      </c>
      <c r="I68" s="512">
        <v>0</v>
      </c>
      <c r="J68" s="291">
        <f t="shared" si="17"/>
        <v>0</v>
      </c>
      <c r="K68" s="291">
        <f t="shared" si="18"/>
        <v>0</v>
      </c>
      <c r="L68" s="291">
        <f t="shared" si="19"/>
        <v>0</v>
      </c>
      <c r="M68" s="884">
        <f t="shared" si="20"/>
        <v>0.08180282570846481</v>
      </c>
      <c r="N68" s="899">
        <v>0</v>
      </c>
      <c r="O68" s="291">
        <f t="shared" si="21"/>
        <v>0</v>
      </c>
      <c r="P68" s="291">
        <f t="shared" si="22"/>
        <v>0</v>
      </c>
      <c r="Q68" s="291">
        <f t="shared" si="23"/>
        <v>0</v>
      </c>
      <c r="R68" s="291">
        <f t="shared" si="24"/>
        <v>0</v>
      </c>
      <c r="S68" s="291">
        <f t="shared" si="25"/>
        <v>0</v>
      </c>
      <c r="T68" s="291">
        <f t="shared" si="26"/>
        <v>0</v>
      </c>
      <c r="U68" s="291">
        <f t="shared" si="27"/>
        <v>0</v>
      </c>
      <c r="V68" s="881"/>
    </row>
    <row r="69" spans="1:22" ht="12.75">
      <c r="A69" s="896" t="s">
        <v>1261</v>
      </c>
      <c r="B69" s="446" t="s">
        <v>284</v>
      </c>
      <c r="C69" s="446" t="s">
        <v>1237</v>
      </c>
      <c r="D69" s="897"/>
      <c r="E69" s="512">
        <v>0</v>
      </c>
      <c r="F69" s="1290">
        <v>0</v>
      </c>
      <c r="G69" s="291">
        <f t="shared" si="16"/>
        <v>0</v>
      </c>
      <c r="H69" s="899">
        <v>0</v>
      </c>
      <c r="I69" s="512">
        <v>0</v>
      </c>
      <c r="J69" s="291">
        <f t="shared" si="17"/>
        <v>0</v>
      </c>
      <c r="K69" s="291">
        <f t="shared" si="18"/>
        <v>0</v>
      </c>
      <c r="L69" s="291">
        <f t="shared" si="19"/>
        <v>0</v>
      </c>
      <c r="M69" s="884">
        <f t="shared" si="20"/>
        <v>0.08180282570846481</v>
      </c>
      <c r="N69" s="899">
        <v>0</v>
      </c>
      <c r="O69" s="291">
        <f t="shared" si="21"/>
        <v>0</v>
      </c>
      <c r="P69" s="291">
        <f t="shared" si="22"/>
        <v>0</v>
      </c>
      <c r="Q69" s="291">
        <f t="shared" si="23"/>
        <v>0</v>
      </c>
      <c r="R69" s="291">
        <f t="shared" si="24"/>
        <v>0</v>
      </c>
      <c r="S69" s="291">
        <f t="shared" si="25"/>
        <v>0</v>
      </c>
      <c r="T69" s="291">
        <f t="shared" si="26"/>
        <v>0</v>
      </c>
      <c r="U69" s="291">
        <f t="shared" si="27"/>
        <v>0</v>
      </c>
      <c r="V69" s="881"/>
    </row>
    <row r="70" spans="1:22" ht="12.75">
      <c r="A70" s="896" t="s">
        <v>1261</v>
      </c>
      <c r="B70" s="446" t="s">
        <v>284</v>
      </c>
      <c r="C70" s="446" t="s">
        <v>1234</v>
      </c>
      <c r="D70" s="897"/>
      <c r="E70" s="512">
        <v>0</v>
      </c>
      <c r="F70" s="1290">
        <v>0</v>
      </c>
      <c r="G70" s="291">
        <f t="shared" si="16"/>
        <v>0</v>
      </c>
      <c r="H70" s="899">
        <v>0</v>
      </c>
      <c r="I70" s="512">
        <v>0</v>
      </c>
      <c r="J70" s="291">
        <f t="shared" si="17"/>
        <v>0</v>
      </c>
      <c r="K70" s="291">
        <f t="shared" si="18"/>
        <v>0</v>
      </c>
      <c r="L70" s="291">
        <f t="shared" si="19"/>
        <v>0</v>
      </c>
      <c r="M70" s="884">
        <f t="shared" si="20"/>
        <v>0.08180282570846481</v>
      </c>
      <c r="N70" s="899">
        <v>0</v>
      </c>
      <c r="O70" s="291">
        <f t="shared" si="21"/>
        <v>0</v>
      </c>
      <c r="P70" s="291">
        <f t="shared" si="22"/>
        <v>0</v>
      </c>
      <c r="Q70" s="291">
        <f t="shared" si="23"/>
        <v>0</v>
      </c>
      <c r="R70" s="291">
        <f t="shared" si="24"/>
        <v>0</v>
      </c>
      <c r="S70" s="291">
        <f t="shared" si="25"/>
        <v>0</v>
      </c>
      <c r="T70" s="291">
        <f t="shared" si="26"/>
        <v>0</v>
      </c>
      <c r="U70" s="291">
        <f t="shared" si="27"/>
        <v>0</v>
      </c>
      <c r="V70" s="881"/>
    </row>
    <row r="71" spans="1:22" ht="12.75">
      <c r="A71" s="896" t="s">
        <v>1261</v>
      </c>
      <c r="B71" s="446"/>
      <c r="C71" s="897"/>
      <c r="D71" s="897"/>
      <c r="E71" s="512"/>
      <c r="F71" s="1290">
        <v>0</v>
      </c>
      <c r="G71" s="291">
        <f t="shared" si="16"/>
        <v>0</v>
      </c>
      <c r="H71" s="899">
        <v>0</v>
      </c>
      <c r="I71" s="512"/>
      <c r="J71" s="291">
        <f t="shared" si="17"/>
        <v>0</v>
      </c>
      <c r="K71" s="291">
        <f t="shared" si="18"/>
        <v>0</v>
      </c>
      <c r="L71" s="291">
        <f t="shared" si="19"/>
        <v>0</v>
      </c>
      <c r="M71" s="884">
        <f t="shared" si="20"/>
        <v>0.08180282570846481</v>
      </c>
      <c r="N71" s="899">
        <v>0</v>
      </c>
      <c r="O71" s="291">
        <f t="shared" si="21"/>
        <v>0</v>
      </c>
      <c r="P71" s="291">
        <f t="shared" si="22"/>
        <v>0</v>
      </c>
      <c r="Q71" s="291">
        <f t="shared" si="23"/>
        <v>0</v>
      </c>
      <c r="R71" s="291">
        <f t="shared" si="24"/>
        <v>0</v>
      </c>
      <c r="S71" s="291">
        <f t="shared" si="25"/>
        <v>0</v>
      </c>
      <c r="T71" s="291">
        <f t="shared" si="26"/>
        <v>0</v>
      </c>
      <c r="U71" s="291">
        <f t="shared" si="27"/>
        <v>0</v>
      </c>
      <c r="V71" s="881"/>
    </row>
    <row r="72" spans="1:22" ht="12.75">
      <c r="A72" s="896" t="s">
        <v>1261</v>
      </c>
      <c r="B72" s="897"/>
      <c r="C72" s="897"/>
      <c r="D72" s="897"/>
      <c r="E72" s="512"/>
      <c r="F72" s="1290">
        <v>0</v>
      </c>
      <c r="G72" s="291">
        <f t="shared" si="16"/>
        <v>0</v>
      </c>
      <c r="H72" s="899">
        <v>0</v>
      </c>
      <c r="I72" s="512"/>
      <c r="J72" s="291">
        <f t="shared" si="17"/>
        <v>0</v>
      </c>
      <c r="K72" s="291">
        <f t="shared" si="18"/>
        <v>0</v>
      </c>
      <c r="L72" s="291">
        <f t="shared" si="19"/>
        <v>0</v>
      </c>
      <c r="M72" s="884">
        <f t="shared" si="20"/>
        <v>0.08180282570846481</v>
      </c>
      <c r="N72" s="899">
        <v>0</v>
      </c>
      <c r="O72" s="291">
        <f>ROUND(N72*J72,0)</f>
        <v>0</v>
      </c>
      <c r="P72" s="291">
        <f t="shared" si="22"/>
        <v>0</v>
      </c>
      <c r="Q72" s="291">
        <f t="shared" si="23"/>
        <v>0</v>
      </c>
      <c r="R72" s="291">
        <f t="shared" si="24"/>
        <v>0</v>
      </c>
      <c r="S72" s="291">
        <f t="shared" si="25"/>
        <v>0</v>
      </c>
      <c r="T72" s="291">
        <f t="shared" si="26"/>
        <v>0</v>
      </c>
      <c r="U72" s="291">
        <f t="shared" si="27"/>
        <v>0</v>
      </c>
      <c r="V72" s="881"/>
    </row>
    <row r="73" spans="1:21" ht="12.75">
      <c r="A73" s="887"/>
      <c r="B73" s="1073"/>
      <c r="C73" s="1073"/>
      <c r="D73" s="904"/>
      <c r="E73" s="904"/>
      <c r="F73" s="904"/>
      <c r="G73" s="904"/>
      <c r="H73" s="904"/>
      <c r="I73" s="904"/>
      <c r="J73" s="904"/>
      <c r="K73" s="904"/>
      <c r="L73" s="1075"/>
      <c r="M73" s="904"/>
      <c r="N73" s="904"/>
      <c r="O73" s="904"/>
      <c r="P73" s="904"/>
      <c r="Q73" s="904"/>
      <c r="R73" s="910"/>
      <c r="S73" s="910"/>
      <c r="T73" s="910"/>
      <c r="U73" s="910"/>
    </row>
    <row r="74" spans="1:21" ht="12.75">
      <c r="A74" s="887" t="s">
        <v>1145</v>
      </c>
      <c r="B74" s="1282" t="s">
        <v>1257</v>
      </c>
      <c r="D74" s="291"/>
      <c r="E74" s="291">
        <f>SUM(E66:E72)</f>
        <v>0</v>
      </c>
      <c r="F74" s="291">
        <f>SUM(F66:F72)</f>
        <v>0</v>
      </c>
      <c r="G74" s="291">
        <f>SUM(G66:G72)</f>
        <v>0</v>
      </c>
      <c r="H74" s="291"/>
      <c r="I74" s="291">
        <f>SUM(I66:I72)</f>
        <v>0</v>
      </c>
      <c r="J74" s="291">
        <f>SUM(J66:J72)</f>
        <v>0</v>
      </c>
      <c r="K74" s="291">
        <f>SUM(K66:K72)</f>
        <v>0</v>
      </c>
      <c r="L74" s="291">
        <f>SUM(L66:L72)</f>
        <v>0</v>
      </c>
      <c r="M74" s="291"/>
      <c r="N74" s="291"/>
      <c r="O74" s="291">
        <f aca="true" t="shared" si="28" ref="O74:U74">SUM(O66:O72)</f>
        <v>0</v>
      </c>
      <c r="P74" s="291">
        <f t="shared" si="28"/>
        <v>0</v>
      </c>
      <c r="Q74" s="291">
        <f t="shared" si="28"/>
        <v>0</v>
      </c>
      <c r="R74" s="291">
        <f t="shared" si="28"/>
        <v>0</v>
      </c>
      <c r="S74" s="291">
        <f>SUM(S66:S72)</f>
        <v>0</v>
      </c>
      <c r="T74" s="291">
        <f t="shared" si="28"/>
        <v>0</v>
      </c>
      <c r="U74" s="291">
        <f t="shared" si="28"/>
        <v>0</v>
      </c>
    </row>
    <row r="75" spans="1:21" ht="12.75">
      <c r="A75" s="887"/>
      <c r="D75" s="291"/>
      <c r="E75" s="291"/>
      <c r="F75" s="291"/>
      <c r="G75" s="291"/>
      <c r="H75" s="291"/>
      <c r="I75" s="291"/>
      <c r="J75" s="291"/>
      <c r="K75" s="291"/>
      <c r="L75" s="909"/>
      <c r="M75" s="291"/>
      <c r="N75" s="291"/>
      <c r="O75" s="291"/>
      <c r="P75" s="291"/>
      <c r="Q75" s="292"/>
      <c r="R75" s="880"/>
      <c r="S75" s="880"/>
      <c r="T75" s="880"/>
      <c r="U75" s="880"/>
    </row>
    <row r="76" spans="1:21" ht="12.75">
      <c r="A76" s="901" t="s">
        <v>1672</v>
      </c>
      <c r="B76" s="1285" t="s">
        <v>1256</v>
      </c>
      <c r="C76" s="1076"/>
      <c r="D76" s="1077"/>
      <c r="E76" s="1077">
        <f aca="true" t="shared" si="29" ref="E76:L76">E59+E74</f>
        <v>0</v>
      </c>
      <c r="F76" s="1077">
        <f t="shared" si="29"/>
        <v>0</v>
      </c>
      <c r="G76" s="1077">
        <f t="shared" si="29"/>
        <v>0</v>
      </c>
      <c r="H76" s="1077"/>
      <c r="I76" s="1077">
        <f t="shared" si="29"/>
        <v>0</v>
      </c>
      <c r="J76" s="1077">
        <f t="shared" si="29"/>
        <v>0</v>
      </c>
      <c r="K76" s="1077">
        <f t="shared" si="29"/>
        <v>0</v>
      </c>
      <c r="L76" s="1077">
        <f t="shared" si="29"/>
        <v>0</v>
      </c>
      <c r="M76" s="1077"/>
      <c r="N76" s="1077"/>
      <c r="O76" s="1077">
        <f aca="true" t="shared" si="30" ref="O76:T76">O59+O74</f>
        <v>0</v>
      </c>
      <c r="P76" s="1077">
        <f t="shared" si="30"/>
        <v>0</v>
      </c>
      <c r="Q76" s="1077">
        <f t="shared" si="30"/>
        <v>0</v>
      </c>
      <c r="R76" s="1077">
        <f t="shared" si="30"/>
        <v>0</v>
      </c>
      <c r="S76" s="1077">
        <f>S59+S74</f>
        <v>0</v>
      </c>
      <c r="T76" s="1077">
        <f t="shared" si="30"/>
        <v>0</v>
      </c>
      <c r="U76" s="1077">
        <f>U59+U74</f>
        <v>0</v>
      </c>
    </row>
    <row r="77" spans="1:20" ht="12.75">
      <c r="A77" s="887"/>
      <c r="D77" s="291"/>
      <c r="E77" s="291"/>
      <c r="F77" s="291"/>
      <c r="G77" s="291"/>
      <c r="H77" s="291"/>
      <c r="I77" s="291"/>
      <c r="J77" s="291"/>
      <c r="K77" s="291"/>
      <c r="L77" s="909"/>
      <c r="M77" s="291"/>
      <c r="N77" s="291"/>
      <c r="O77" s="291"/>
      <c r="P77" s="291"/>
      <c r="Q77" s="291"/>
      <c r="R77" s="881"/>
      <c r="S77" s="881"/>
      <c r="T77" s="881"/>
    </row>
    <row r="78" spans="1:20" ht="12.75">
      <c r="A78" s="887"/>
      <c r="B78" s="902" t="s">
        <v>484</v>
      </c>
      <c r="D78" s="291"/>
      <c r="E78" s="291"/>
      <c r="F78" s="291"/>
      <c r="G78" s="291"/>
      <c r="H78" s="291"/>
      <c r="I78" s="291"/>
      <c r="J78" s="291"/>
      <c r="K78" s="291"/>
      <c r="L78" s="909"/>
      <c r="M78" s="291"/>
      <c r="N78" s="291"/>
      <c r="O78" s="291"/>
      <c r="P78" s="291"/>
      <c r="Q78" s="291"/>
      <c r="R78" s="881"/>
      <c r="S78" s="881"/>
      <c r="T78" s="881"/>
    </row>
    <row r="79" spans="1:21" ht="12.75">
      <c r="A79" s="887"/>
      <c r="B79" s="887"/>
      <c r="C79" s="887"/>
      <c r="D79" s="887"/>
      <c r="E79" s="887" t="s">
        <v>173</v>
      </c>
      <c r="F79" s="887" t="s">
        <v>171</v>
      </c>
      <c r="G79" s="887" t="s">
        <v>172</v>
      </c>
      <c r="H79" s="888" t="s">
        <v>601</v>
      </c>
      <c r="I79" s="888" t="s">
        <v>602</v>
      </c>
      <c r="J79" s="887" t="s">
        <v>603</v>
      </c>
      <c r="K79" s="888" t="s">
        <v>604</v>
      </c>
      <c r="L79" s="887" t="s">
        <v>605</v>
      </c>
      <c r="M79" s="887" t="s">
        <v>606</v>
      </c>
      <c r="N79" s="887" t="s">
        <v>607</v>
      </c>
      <c r="O79" s="887" t="s">
        <v>608</v>
      </c>
      <c r="P79" s="887" t="s">
        <v>609</v>
      </c>
      <c r="Q79" s="887" t="s">
        <v>610</v>
      </c>
      <c r="R79" s="887" t="s">
        <v>611</v>
      </c>
      <c r="S79" s="887" t="s">
        <v>1017</v>
      </c>
      <c r="T79" s="887" t="s">
        <v>1141</v>
      </c>
      <c r="U79" s="887" t="s">
        <v>1648</v>
      </c>
    </row>
    <row r="80" spans="1:21" ht="12.75">
      <c r="A80" s="887"/>
      <c r="B80" s="889"/>
      <c r="C80" s="889"/>
      <c r="D80" s="889"/>
      <c r="E80" s="890" t="s">
        <v>1494</v>
      </c>
      <c r="F80" s="890" t="s">
        <v>1536</v>
      </c>
      <c r="G80" s="890" t="s">
        <v>1013</v>
      </c>
      <c r="H80" s="890" t="s">
        <v>1490</v>
      </c>
      <c r="I80" s="890" t="s">
        <v>119</v>
      </c>
      <c r="J80" s="890" t="s">
        <v>1014</v>
      </c>
      <c r="K80" s="890" t="s">
        <v>1291</v>
      </c>
      <c r="L80" s="890" t="s">
        <v>1497</v>
      </c>
      <c r="M80" s="890" t="s">
        <v>767</v>
      </c>
      <c r="N80" s="890" t="s">
        <v>766</v>
      </c>
      <c r="O80" s="890" t="s">
        <v>1721</v>
      </c>
      <c r="P80" s="890" t="s">
        <v>1106</v>
      </c>
      <c r="Q80" s="890" t="s">
        <v>1499</v>
      </c>
      <c r="R80" s="890" t="s">
        <v>764</v>
      </c>
      <c r="S80" s="890" t="s">
        <v>1646</v>
      </c>
      <c r="T80" s="890" t="s">
        <v>1140</v>
      </c>
      <c r="U80" s="890" t="s">
        <v>764</v>
      </c>
    </row>
    <row r="81" spans="1:21" ht="13.5" thickBot="1">
      <c r="A81" s="887"/>
      <c r="B81" s="891" t="s">
        <v>1743</v>
      </c>
      <c r="C81" s="891" t="s">
        <v>1493</v>
      </c>
      <c r="D81" s="871"/>
      <c r="E81" s="892" t="s">
        <v>1495</v>
      </c>
      <c r="F81" s="892" t="s">
        <v>1490</v>
      </c>
      <c r="G81" s="892" t="s">
        <v>1489</v>
      </c>
      <c r="H81" s="892" t="s">
        <v>277</v>
      </c>
      <c r="I81" s="892" t="s">
        <v>1490</v>
      </c>
      <c r="J81" s="892" t="s">
        <v>1489</v>
      </c>
      <c r="K81" s="892" t="s">
        <v>1481</v>
      </c>
      <c r="L81" s="892" t="s">
        <v>1498</v>
      </c>
      <c r="M81" s="892" t="s">
        <v>964</v>
      </c>
      <c r="N81" s="892" t="s">
        <v>600</v>
      </c>
      <c r="O81" s="892" t="s">
        <v>1169</v>
      </c>
      <c r="P81" s="892" t="s">
        <v>964</v>
      </c>
      <c r="Q81" s="892" t="s">
        <v>1498</v>
      </c>
      <c r="R81" s="892" t="s">
        <v>763</v>
      </c>
      <c r="S81" s="892" t="s">
        <v>1647</v>
      </c>
      <c r="T81" s="892" t="s">
        <v>1184</v>
      </c>
      <c r="U81" s="892" t="s">
        <v>1696</v>
      </c>
    </row>
    <row r="82" spans="1:21" ht="12.75">
      <c r="A82" s="887"/>
      <c r="B82" s="893"/>
      <c r="C82" s="889"/>
      <c r="D82" s="890"/>
      <c r="E82" s="890"/>
      <c r="F82" s="890"/>
      <c r="G82" s="890" t="s">
        <v>612</v>
      </c>
      <c r="H82" s="890" t="s">
        <v>1048</v>
      </c>
      <c r="I82" s="894" t="s">
        <v>1016</v>
      </c>
      <c r="J82" s="890" t="s">
        <v>1015</v>
      </c>
      <c r="K82" s="890" t="s">
        <v>1021</v>
      </c>
      <c r="L82" s="890" t="s">
        <v>1419</v>
      </c>
      <c r="M82" s="890" t="s">
        <v>1047</v>
      </c>
      <c r="N82" s="890" t="s">
        <v>1049</v>
      </c>
      <c r="O82" s="890" t="s">
        <v>1252</v>
      </c>
      <c r="P82" s="890" t="s">
        <v>1253</v>
      </c>
      <c r="Q82" s="890" t="s">
        <v>986</v>
      </c>
      <c r="R82" s="890" t="s">
        <v>1021</v>
      </c>
      <c r="S82" s="890" t="s">
        <v>987</v>
      </c>
      <c r="T82" s="890" t="s">
        <v>1142</v>
      </c>
      <c r="U82" s="890" t="s">
        <v>1649</v>
      </c>
    </row>
    <row r="83" spans="1:20" ht="12.75">
      <c r="A83" s="887"/>
      <c r="B83" s="902" t="s">
        <v>834</v>
      </c>
      <c r="D83" s="291"/>
      <c r="E83" s="291"/>
      <c r="F83" s="291"/>
      <c r="G83" s="291"/>
      <c r="H83" s="291"/>
      <c r="I83" s="291"/>
      <c r="J83" s="291"/>
      <c r="K83" s="291"/>
      <c r="L83" s="909"/>
      <c r="M83" s="291"/>
      <c r="N83" s="291"/>
      <c r="O83" s="291"/>
      <c r="P83" s="291"/>
      <c r="Q83" s="291"/>
      <c r="T83" s="291"/>
    </row>
    <row r="84" spans="1:22" ht="12.75">
      <c r="A84" s="896" t="s">
        <v>1261</v>
      </c>
      <c r="B84" s="897"/>
      <c r="C84" s="897" t="s">
        <v>293</v>
      </c>
      <c r="D84" s="897"/>
      <c r="E84" s="512">
        <v>0</v>
      </c>
      <c r="F84" s="512">
        <v>0</v>
      </c>
      <c r="G84" s="291">
        <f>E84-F84</f>
        <v>0</v>
      </c>
      <c r="H84" s="905">
        <v>0</v>
      </c>
      <c r="I84" s="291">
        <f>H84*E84</f>
        <v>0</v>
      </c>
      <c r="J84" s="291">
        <f>MAX(E84-F84-I84,0)</f>
        <v>0</v>
      </c>
      <c r="K84" s="291">
        <f>ROUND(J84*$I$28,0)</f>
        <v>0</v>
      </c>
      <c r="L84" s="291">
        <f>ROUND(J84*$I$30,0)</f>
        <v>0</v>
      </c>
      <c r="M84" s="884">
        <f>+I$31</f>
        <v>0.08180282570846481</v>
      </c>
      <c r="N84" s="906">
        <v>0</v>
      </c>
      <c r="O84" s="291">
        <f>ROUND(N84*J84,0)</f>
        <v>0</v>
      </c>
      <c r="P84" s="291">
        <f>ROUND(O84+(M84*J84),0)</f>
        <v>0</v>
      </c>
      <c r="Q84" s="291">
        <f>ROUND(J84*$I$32,0)</f>
        <v>0</v>
      </c>
      <c r="R84" s="291">
        <f>ROUND(+J84*$I$29,0)</f>
        <v>0</v>
      </c>
      <c r="S84" s="291">
        <f>I84+K84+L84+P84+Q84+R84</f>
        <v>0</v>
      </c>
      <c r="T84" s="291">
        <f>ROUND(J84*I$34,0)</f>
        <v>0</v>
      </c>
      <c r="U84" s="291">
        <f>S84+T84</f>
        <v>0</v>
      </c>
      <c r="V84" s="881"/>
    </row>
    <row r="85" spans="1:22" ht="12.75">
      <c r="A85" s="896" t="s">
        <v>1261</v>
      </c>
      <c r="B85" s="897"/>
      <c r="C85" s="897" t="s">
        <v>292</v>
      </c>
      <c r="D85" s="897"/>
      <c r="E85" s="512">
        <v>0</v>
      </c>
      <c r="F85" s="512">
        <v>0</v>
      </c>
      <c r="G85" s="291">
        <f>E85-F85</f>
        <v>0</v>
      </c>
      <c r="H85" s="905">
        <v>0</v>
      </c>
      <c r="I85" s="291">
        <f>H85*E85</f>
        <v>0</v>
      </c>
      <c r="J85" s="291">
        <f>MAX(E85-F85-I85,0)</f>
        <v>0</v>
      </c>
      <c r="K85" s="291">
        <f>ROUND(J85*$I$28,0)</f>
        <v>0</v>
      </c>
      <c r="L85" s="291">
        <f>ROUND(J85*$I$30,0)</f>
        <v>0</v>
      </c>
      <c r="M85" s="884">
        <f>+I$31</f>
        <v>0.08180282570846481</v>
      </c>
      <c r="N85" s="906">
        <v>0</v>
      </c>
      <c r="O85" s="291">
        <f>ROUND(N85*J85,0)</f>
        <v>0</v>
      </c>
      <c r="P85" s="291">
        <f>ROUND(O85+(M85*J85),0)</f>
        <v>0</v>
      </c>
      <c r="Q85" s="291">
        <f>ROUND(J85*$I$32,0)</f>
        <v>0</v>
      </c>
      <c r="R85" s="291">
        <f>ROUND(+J85*$I$29,0)</f>
        <v>0</v>
      </c>
      <c r="S85" s="291">
        <f>I85+K85+L85+P85+Q85+R85</f>
        <v>0</v>
      </c>
      <c r="T85" s="291">
        <f>ROUND(J85*I$34,0)</f>
        <v>0</v>
      </c>
      <c r="U85" s="291">
        <f>S85+T85</f>
        <v>0</v>
      </c>
      <c r="V85" s="881"/>
    </row>
    <row r="86" spans="1:22" ht="12.75">
      <c r="A86" s="896" t="s">
        <v>1261</v>
      </c>
      <c r="B86" s="897"/>
      <c r="C86" s="897"/>
      <c r="D86" s="897"/>
      <c r="E86" s="512"/>
      <c r="F86" s="512"/>
      <c r="G86" s="291">
        <f>E86-F86</f>
        <v>0</v>
      </c>
      <c r="H86" s="905"/>
      <c r="I86" s="291">
        <f>H86*E86</f>
        <v>0</v>
      </c>
      <c r="J86" s="291">
        <f>MAX(E86-F86-I86,0)</f>
        <v>0</v>
      </c>
      <c r="K86" s="291">
        <f>ROUND(J86*$I$28,0)</f>
        <v>0</v>
      </c>
      <c r="L86" s="291">
        <f>ROUND(J86*$I$30,0)</f>
        <v>0</v>
      </c>
      <c r="M86" s="884">
        <f>+I$31</f>
        <v>0.08180282570846481</v>
      </c>
      <c r="N86" s="906"/>
      <c r="O86" s="291">
        <f>ROUND(N86*J86,0)</f>
        <v>0</v>
      </c>
      <c r="P86" s="291">
        <f>ROUND(O86+(M86*J86),0)</f>
        <v>0</v>
      </c>
      <c r="Q86" s="291">
        <f>ROUND(J86*$I$32,0)</f>
        <v>0</v>
      </c>
      <c r="R86" s="291">
        <f>ROUND(+J86*$I$29,0)</f>
        <v>0</v>
      </c>
      <c r="S86" s="291">
        <f>I86+K86+L86+P86+Q86+R86</f>
        <v>0</v>
      </c>
      <c r="T86" s="291">
        <f>ROUND(J86*I$34,0)</f>
        <v>0</v>
      </c>
      <c r="U86" s="291">
        <f>S86+T86</f>
        <v>0</v>
      </c>
      <c r="V86" s="881"/>
    </row>
    <row r="87" spans="1:22" ht="12.75">
      <c r="A87" s="887"/>
      <c r="B87" s="1073"/>
      <c r="C87" s="1074"/>
      <c r="D87" s="1073"/>
      <c r="E87" s="904"/>
      <c r="F87" s="904"/>
      <c r="G87" s="904"/>
      <c r="H87" s="904"/>
      <c r="I87" s="910"/>
      <c r="J87" s="904"/>
      <c r="K87" s="904"/>
      <c r="L87" s="1078"/>
      <c r="M87" s="1071"/>
      <c r="N87" s="1078"/>
      <c r="O87" s="904"/>
      <c r="P87" s="904"/>
      <c r="Q87" s="904"/>
      <c r="R87" s="904"/>
      <c r="S87" s="904"/>
      <c r="T87" s="904"/>
      <c r="U87" s="910"/>
      <c r="V87" s="881"/>
    </row>
    <row r="88" spans="1:22" ht="12.75">
      <c r="A88" s="901" t="s">
        <v>1673</v>
      </c>
      <c r="B88" s="1282" t="s">
        <v>1246</v>
      </c>
      <c r="E88" s="291">
        <f>SUM(E84:E86)</f>
        <v>0</v>
      </c>
      <c r="F88" s="291">
        <f>SUM(F84:F86)</f>
        <v>0</v>
      </c>
      <c r="G88" s="291">
        <f>SUM(G84:G86)</f>
        <v>0</v>
      </c>
      <c r="H88" s="291"/>
      <c r="I88" s="291">
        <f>SUM(I84:I86)</f>
        <v>0</v>
      </c>
      <c r="J88" s="291">
        <f>SUM(J84:J86)</f>
        <v>0</v>
      </c>
      <c r="K88" s="291">
        <f>SUM(K84:K86)</f>
        <v>0</v>
      </c>
      <c r="L88" s="291">
        <f>SUM(L84:L86)</f>
        <v>0</v>
      </c>
      <c r="M88" s="884"/>
      <c r="N88" s="911"/>
      <c r="O88" s="291">
        <f aca="true" t="shared" si="31" ref="O88:U88">SUM(O84:O86)</f>
        <v>0</v>
      </c>
      <c r="P88" s="291">
        <f t="shared" si="31"/>
        <v>0</v>
      </c>
      <c r="Q88" s="291">
        <f t="shared" si="31"/>
        <v>0</v>
      </c>
      <c r="R88" s="291">
        <f t="shared" si="31"/>
        <v>0</v>
      </c>
      <c r="S88" s="291">
        <f t="shared" si="31"/>
        <v>0</v>
      </c>
      <c r="T88" s="291">
        <f t="shared" si="31"/>
        <v>0</v>
      </c>
      <c r="U88" s="291">
        <f t="shared" si="31"/>
        <v>0</v>
      </c>
      <c r="V88" s="881"/>
    </row>
    <row r="89" spans="1:22" ht="12.75">
      <c r="A89" s="887"/>
      <c r="C89" s="907"/>
      <c r="E89" s="291"/>
      <c r="F89" s="291"/>
      <c r="G89" s="291"/>
      <c r="H89" s="291"/>
      <c r="I89" s="881"/>
      <c r="J89" s="291"/>
      <c r="K89" s="291"/>
      <c r="L89" s="911"/>
      <c r="M89" s="884"/>
      <c r="N89" s="911"/>
      <c r="O89" s="291"/>
      <c r="P89" s="291"/>
      <c r="Q89" s="291"/>
      <c r="R89" s="291"/>
      <c r="S89" s="291"/>
      <c r="T89" s="291"/>
      <c r="U89" s="881"/>
      <c r="V89" s="881"/>
    </row>
    <row r="90" spans="1:22" ht="12.75">
      <c r="A90" s="887"/>
      <c r="C90" s="907"/>
      <c r="E90" s="291"/>
      <c r="F90" s="291"/>
      <c r="G90" s="291"/>
      <c r="H90" s="291"/>
      <c r="I90" s="881"/>
      <c r="J90" s="291"/>
      <c r="K90" s="291"/>
      <c r="L90" s="911"/>
      <c r="M90" s="884"/>
      <c r="N90" s="911"/>
      <c r="O90" s="291"/>
      <c r="P90" s="291"/>
      <c r="Q90" s="291"/>
      <c r="R90" s="291"/>
      <c r="S90" s="291"/>
      <c r="T90" s="291"/>
      <c r="U90" s="881"/>
      <c r="V90" s="881"/>
    </row>
    <row r="91" spans="1:22" ht="12.75">
      <c r="A91" s="887"/>
      <c r="B91" s="889"/>
      <c r="C91" s="889"/>
      <c r="D91" s="889"/>
      <c r="E91" s="890" t="s">
        <v>1494</v>
      </c>
      <c r="F91" s="890" t="s">
        <v>1536</v>
      </c>
      <c r="G91" s="890" t="s">
        <v>1013</v>
      </c>
      <c r="H91" s="890" t="s">
        <v>1490</v>
      </c>
      <c r="I91" s="890" t="s">
        <v>119</v>
      </c>
      <c r="J91" s="890" t="s">
        <v>1014</v>
      </c>
      <c r="K91" s="890" t="s">
        <v>1291</v>
      </c>
      <c r="L91" s="890" t="s">
        <v>1497</v>
      </c>
      <c r="M91" s="890" t="s">
        <v>767</v>
      </c>
      <c r="N91" s="890" t="s">
        <v>766</v>
      </c>
      <c r="O91" s="890" t="s">
        <v>1721</v>
      </c>
      <c r="P91" s="890" t="s">
        <v>1106</v>
      </c>
      <c r="Q91" s="890" t="s">
        <v>1499</v>
      </c>
      <c r="R91" s="890" t="s">
        <v>764</v>
      </c>
      <c r="S91" s="890" t="s">
        <v>1646</v>
      </c>
      <c r="T91" s="890" t="s">
        <v>1140</v>
      </c>
      <c r="U91" s="890" t="s">
        <v>764</v>
      </c>
      <c r="V91" s="881"/>
    </row>
    <row r="92" spans="1:22" ht="13.5" thickBot="1">
      <c r="A92" s="887"/>
      <c r="B92" s="891" t="s">
        <v>1743</v>
      </c>
      <c r="C92" s="891" t="s">
        <v>1493</v>
      </c>
      <c r="D92" s="871"/>
      <c r="E92" s="892" t="s">
        <v>1495</v>
      </c>
      <c r="F92" s="892" t="s">
        <v>1490</v>
      </c>
      <c r="G92" s="892" t="s">
        <v>1489</v>
      </c>
      <c r="H92" s="892" t="s">
        <v>277</v>
      </c>
      <c r="I92" s="892" t="s">
        <v>1490</v>
      </c>
      <c r="J92" s="892" t="s">
        <v>1489</v>
      </c>
      <c r="K92" s="892" t="s">
        <v>1481</v>
      </c>
      <c r="L92" s="892" t="s">
        <v>1498</v>
      </c>
      <c r="M92" s="892" t="s">
        <v>964</v>
      </c>
      <c r="N92" s="892" t="s">
        <v>600</v>
      </c>
      <c r="O92" s="892" t="s">
        <v>1169</v>
      </c>
      <c r="P92" s="892" t="s">
        <v>964</v>
      </c>
      <c r="Q92" s="892" t="s">
        <v>1498</v>
      </c>
      <c r="R92" s="892" t="s">
        <v>763</v>
      </c>
      <c r="S92" s="892" t="s">
        <v>1647</v>
      </c>
      <c r="T92" s="892" t="s">
        <v>1184</v>
      </c>
      <c r="U92" s="892" t="s">
        <v>1696</v>
      </c>
      <c r="V92" s="881"/>
    </row>
    <row r="93" spans="1:22" ht="12.75">
      <c r="A93" s="887"/>
      <c r="B93" s="893"/>
      <c r="C93" s="889"/>
      <c r="D93" s="890"/>
      <c r="E93" s="890"/>
      <c r="F93" s="890"/>
      <c r="G93" s="890" t="s">
        <v>612</v>
      </c>
      <c r="H93" s="890"/>
      <c r="I93" s="890" t="s">
        <v>1803</v>
      </c>
      <c r="J93" s="890" t="s">
        <v>993</v>
      </c>
      <c r="K93" s="890" t="s">
        <v>1018</v>
      </c>
      <c r="L93" s="890" t="s">
        <v>1019</v>
      </c>
      <c r="M93" s="890" t="s">
        <v>613</v>
      </c>
      <c r="N93" s="890"/>
      <c r="O93" s="890" t="s">
        <v>1252</v>
      </c>
      <c r="P93" s="890" t="s">
        <v>1253</v>
      </c>
      <c r="Q93" s="890" t="s">
        <v>1020</v>
      </c>
      <c r="R93" s="890" t="s">
        <v>1021</v>
      </c>
      <c r="S93" s="890" t="s">
        <v>987</v>
      </c>
      <c r="T93" s="890" t="s">
        <v>1142</v>
      </c>
      <c r="U93" s="890" t="s">
        <v>1649</v>
      </c>
      <c r="V93" s="881"/>
    </row>
    <row r="94" spans="1:22" ht="12.75">
      <c r="A94" s="887"/>
      <c r="B94" s="902" t="s">
        <v>576</v>
      </c>
      <c r="C94" s="907"/>
      <c r="E94" s="291"/>
      <c r="F94" s="291"/>
      <c r="G94" s="291"/>
      <c r="H94" s="291"/>
      <c r="I94" s="881"/>
      <c r="J94" s="291"/>
      <c r="K94" s="291"/>
      <c r="L94" s="911"/>
      <c r="M94" s="884"/>
      <c r="N94" s="911"/>
      <c r="O94" s="291"/>
      <c r="P94" s="291"/>
      <c r="Q94" s="291"/>
      <c r="R94" s="291"/>
      <c r="S94" s="291"/>
      <c r="T94" s="291"/>
      <c r="U94" s="881"/>
      <c r="V94" s="881"/>
    </row>
    <row r="95" spans="1:22" ht="12.75">
      <c r="A95" s="896" t="s">
        <v>1261</v>
      </c>
      <c r="B95" s="897"/>
      <c r="C95" s="897" t="s">
        <v>279</v>
      </c>
      <c r="D95" s="897"/>
      <c r="E95" s="512"/>
      <c r="F95" s="1290">
        <v>0</v>
      </c>
      <c r="G95" s="291">
        <f>E95-F95</f>
        <v>0</v>
      </c>
      <c r="H95" s="899">
        <v>0</v>
      </c>
      <c r="I95" s="512">
        <v>0</v>
      </c>
      <c r="J95" s="291">
        <f>MAX(E95-F95-I95,0)</f>
        <v>0</v>
      </c>
      <c r="K95" s="291">
        <f>ROUND(J95*$I$28,0)</f>
        <v>0</v>
      </c>
      <c r="L95" s="291">
        <f>ROUND(J95*$I$30,0)</f>
        <v>0</v>
      </c>
      <c r="M95" s="884">
        <f>+I$31</f>
        <v>0.08180282570846481</v>
      </c>
      <c r="N95" s="906">
        <v>0</v>
      </c>
      <c r="O95" s="291">
        <f>ROUND(N95*J95,0)</f>
        <v>0</v>
      </c>
      <c r="P95" s="291">
        <f>ROUND(O95+(M95*J95),0)</f>
        <v>0</v>
      </c>
      <c r="Q95" s="291">
        <f>ROUND(J95*$I$32,0)</f>
        <v>0</v>
      </c>
      <c r="R95" s="291">
        <f>ROUND(+J95*$I$29,0)</f>
        <v>0</v>
      </c>
      <c r="S95" s="291">
        <f>I95+K95+L95+P95+Q95+R95</f>
        <v>0</v>
      </c>
      <c r="T95" s="291">
        <f>ROUND(J95*I$34,0)</f>
        <v>0</v>
      </c>
      <c r="U95" s="291">
        <f>S95+T95</f>
        <v>0</v>
      </c>
      <c r="V95" s="881"/>
    </row>
    <row r="96" spans="1:22" ht="12.75">
      <c r="A96" s="896" t="s">
        <v>1261</v>
      </c>
      <c r="B96" s="897"/>
      <c r="C96" s="897" t="s">
        <v>1242</v>
      </c>
      <c r="D96" s="897"/>
      <c r="E96" s="512"/>
      <c r="F96" s="1290">
        <v>0</v>
      </c>
      <c r="G96" s="291">
        <f>E96-F96</f>
        <v>0</v>
      </c>
      <c r="H96" s="899">
        <v>0</v>
      </c>
      <c r="I96" s="512">
        <v>0</v>
      </c>
      <c r="J96" s="291">
        <f>MAX(E96-F96-I96,0)</f>
        <v>0</v>
      </c>
      <c r="K96" s="291">
        <f>ROUND(J96*$I$28,0)</f>
        <v>0</v>
      </c>
      <c r="L96" s="291">
        <f>ROUND(J96*$I$30,0)</f>
        <v>0</v>
      </c>
      <c r="M96" s="884">
        <f>+I$31</f>
        <v>0.08180282570846481</v>
      </c>
      <c r="N96" s="906">
        <v>0</v>
      </c>
      <c r="O96" s="291">
        <f>ROUND(N96*J96,0)</f>
        <v>0</v>
      </c>
      <c r="P96" s="291">
        <f>ROUND(O96+(M96*J96),0)</f>
        <v>0</v>
      </c>
      <c r="Q96" s="291">
        <f>ROUND(J96*$I$32,0)</f>
        <v>0</v>
      </c>
      <c r="R96" s="291">
        <f>ROUND(+J96*$I$29,0)</f>
        <v>0</v>
      </c>
      <c r="S96" s="291">
        <f>I96+K96+L96+P96+Q96+R96</f>
        <v>0</v>
      </c>
      <c r="T96" s="291">
        <f>ROUND(J96*I$34,0)</f>
        <v>0</v>
      </c>
      <c r="U96" s="291">
        <f>S96+T96</f>
        <v>0</v>
      </c>
      <c r="V96" s="881"/>
    </row>
    <row r="97" spans="1:22" ht="12.75">
      <c r="A97" s="896" t="s">
        <v>1261</v>
      </c>
      <c r="B97" s="897"/>
      <c r="C97" s="897"/>
      <c r="D97" s="897"/>
      <c r="E97" s="512"/>
      <c r="F97" s="1290">
        <v>0</v>
      </c>
      <c r="G97" s="291">
        <f>E97-F97</f>
        <v>0</v>
      </c>
      <c r="H97" s="899">
        <v>0</v>
      </c>
      <c r="I97" s="512"/>
      <c r="J97" s="291">
        <f>MAX(E97-F97-I97,0)</f>
        <v>0</v>
      </c>
      <c r="K97" s="291">
        <f>ROUND(J97*$I$28,0)</f>
        <v>0</v>
      </c>
      <c r="L97" s="291">
        <f>ROUND(J97*$I$30,0)</f>
        <v>0</v>
      </c>
      <c r="M97" s="884">
        <f>+I$31</f>
        <v>0.08180282570846481</v>
      </c>
      <c r="N97" s="906"/>
      <c r="O97" s="291">
        <f>ROUND(N97*J97,0)</f>
        <v>0</v>
      </c>
      <c r="P97" s="291">
        <f>ROUND(O97+(M97*J97),0)</f>
        <v>0</v>
      </c>
      <c r="Q97" s="291">
        <f>ROUND(J97*$I$32,0)</f>
        <v>0</v>
      </c>
      <c r="R97" s="291">
        <f>ROUND(+J97*$I$29,0)</f>
        <v>0</v>
      </c>
      <c r="S97" s="291">
        <f>I97+K97+L97+P97+Q97+R97</f>
        <v>0</v>
      </c>
      <c r="T97" s="291">
        <f>ROUND(J97*I$34,0)</f>
        <v>0</v>
      </c>
      <c r="U97" s="291">
        <f>S97+T97</f>
        <v>0</v>
      </c>
      <c r="V97" s="881"/>
    </row>
    <row r="98" spans="1:21" ht="12.75">
      <c r="A98" s="1079"/>
      <c r="B98" s="1073"/>
      <c r="C98" s="1073"/>
      <c r="D98" s="904"/>
      <c r="E98" s="904"/>
      <c r="F98" s="904"/>
      <c r="G98" s="904"/>
      <c r="H98" s="904"/>
      <c r="I98" s="904"/>
      <c r="J98" s="904"/>
      <c r="K98" s="904"/>
      <c r="L98" s="1073"/>
      <c r="M98" s="1073"/>
      <c r="N98" s="904"/>
      <c r="O98" s="904"/>
      <c r="P98" s="904"/>
      <c r="Q98" s="904"/>
      <c r="R98" s="904"/>
      <c r="S98" s="904"/>
      <c r="T98" s="904"/>
      <c r="U98" s="904"/>
    </row>
    <row r="99" spans="1:21" ht="12.75">
      <c r="A99" s="901" t="s">
        <v>1674</v>
      </c>
      <c r="B99" s="1282" t="s">
        <v>1258</v>
      </c>
      <c r="E99" s="291">
        <f>SUM(E95:E97)</f>
        <v>0</v>
      </c>
      <c r="F99" s="291">
        <f>SUM(F95:F97)</f>
        <v>0</v>
      </c>
      <c r="G99" s="291">
        <f>SUM(G95:G97)</f>
        <v>0</v>
      </c>
      <c r="H99" s="291"/>
      <c r="I99" s="291">
        <f>SUM(I95:I97)</f>
        <v>0</v>
      </c>
      <c r="J99" s="291">
        <f>SUM(J95:J97)</f>
        <v>0</v>
      </c>
      <c r="K99" s="291">
        <f>SUM(K95:K97)</f>
        <v>0</v>
      </c>
      <c r="L99" s="291">
        <f>SUM(L95:L97)</f>
        <v>0</v>
      </c>
      <c r="M99" s="884"/>
      <c r="N99" s="911"/>
      <c r="O99" s="291">
        <f aca="true" t="shared" si="32" ref="O99:U99">SUM(O95:O97)</f>
        <v>0</v>
      </c>
      <c r="P99" s="291">
        <f t="shared" si="32"/>
        <v>0</v>
      </c>
      <c r="Q99" s="291">
        <f t="shared" si="32"/>
        <v>0</v>
      </c>
      <c r="R99" s="291">
        <f t="shared" si="32"/>
        <v>0</v>
      </c>
      <c r="S99" s="291">
        <f>SUM(S95:S97)</f>
        <v>0</v>
      </c>
      <c r="T99" s="291">
        <f t="shared" si="32"/>
        <v>0</v>
      </c>
      <c r="U99" s="291">
        <f t="shared" si="32"/>
        <v>0</v>
      </c>
    </row>
    <row r="100" spans="1:21" ht="12.75">
      <c r="A100" s="887"/>
      <c r="D100" s="291"/>
      <c r="E100" s="291"/>
      <c r="F100" s="291"/>
      <c r="G100" s="291"/>
      <c r="H100" s="291"/>
      <c r="I100" s="291"/>
      <c r="J100" s="291"/>
      <c r="K100" s="291"/>
      <c r="N100" s="291"/>
      <c r="O100" s="291"/>
      <c r="P100" s="291"/>
      <c r="Q100" s="291"/>
      <c r="R100" s="291"/>
      <c r="S100" s="291"/>
      <c r="T100" s="291"/>
      <c r="U100" s="291"/>
    </row>
    <row r="101" spans="1:21" ht="12.75">
      <c r="A101" s="1291" t="s">
        <v>1675</v>
      </c>
      <c r="B101" s="1285" t="s">
        <v>1250</v>
      </c>
      <c r="C101" s="1076"/>
      <c r="D101" s="1077"/>
      <c r="E101" s="1077">
        <f>E99+E88</f>
        <v>0</v>
      </c>
      <c r="F101" s="1077">
        <f>F99+F88</f>
        <v>0</v>
      </c>
      <c r="G101" s="1077">
        <f>G99+G88</f>
        <v>0</v>
      </c>
      <c r="H101" s="1077"/>
      <c r="I101" s="1077">
        <f>I99+I88</f>
        <v>0</v>
      </c>
      <c r="J101" s="1077">
        <f>J99+J88</f>
        <v>0</v>
      </c>
      <c r="K101" s="1077">
        <f>K99+K88</f>
        <v>0</v>
      </c>
      <c r="L101" s="1077">
        <f>L99+L88</f>
        <v>0</v>
      </c>
      <c r="M101" s="1077"/>
      <c r="N101" s="1077"/>
      <c r="O101" s="1077">
        <f aca="true" t="shared" si="33" ref="O101:U101">O99+O88</f>
        <v>0</v>
      </c>
      <c r="P101" s="1077">
        <f t="shared" si="33"/>
        <v>0</v>
      </c>
      <c r="Q101" s="1077">
        <f t="shared" si="33"/>
        <v>0</v>
      </c>
      <c r="R101" s="1077">
        <f t="shared" si="33"/>
        <v>0</v>
      </c>
      <c r="S101" s="1077">
        <f>S99+S88</f>
        <v>0</v>
      </c>
      <c r="T101" s="1077">
        <f t="shared" si="33"/>
        <v>0</v>
      </c>
      <c r="U101" s="1077">
        <f t="shared" si="33"/>
        <v>0</v>
      </c>
    </row>
    <row r="102" spans="1:21" ht="12.75">
      <c r="A102" s="887"/>
      <c r="D102" s="291"/>
      <c r="E102" s="291"/>
      <c r="F102" s="291"/>
      <c r="G102" s="291"/>
      <c r="H102" s="291"/>
      <c r="I102" s="291"/>
      <c r="J102" s="291"/>
      <c r="K102" s="291"/>
      <c r="L102" s="291"/>
      <c r="M102" s="291"/>
      <c r="N102" s="291"/>
      <c r="O102" s="291"/>
      <c r="P102" s="291"/>
      <c r="Q102" s="291"/>
      <c r="R102" s="292"/>
      <c r="S102" s="292"/>
      <c r="T102" s="292"/>
      <c r="U102" s="292"/>
    </row>
    <row r="103" spans="1:21" ht="12.75">
      <c r="A103" s="901" t="s">
        <v>1676</v>
      </c>
      <c r="B103" s="902" t="s">
        <v>1251</v>
      </c>
      <c r="C103" s="902"/>
      <c r="D103" s="291"/>
      <c r="E103" s="291">
        <f>E59+E88</f>
        <v>0</v>
      </c>
      <c r="F103" s="291">
        <f>F59+F88</f>
        <v>0</v>
      </c>
      <c r="G103" s="291">
        <f>G59+G88</f>
        <v>0</v>
      </c>
      <c r="H103" s="291"/>
      <c r="I103" s="291">
        <f>I59+I88</f>
        <v>0</v>
      </c>
      <c r="J103" s="291">
        <f>J59+J88</f>
        <v>0</v>
      </c>
      <c r="K103" s="291">
        <f>K59+K88</f>
        <v>0</v>
      </c>
      <c r="L103" s="291">
        <f>L59+L88</f>
        <v>0</v>
      </c>
      <c r="M103" s="291"/>
      <c r="N103" s="291"/>
      <c r="O103" s="291">
        <f aca="true" t="shared" si="34" ref="O103:U103">O59+O88</f>
        <v>0</v>
      </c>
      <c r="P103" s="291">
        <f t="shared" si="34"/>
        <v>0</v>
      </c>
      <c r="Q103" s="291">
        <f t="shared" si="34"/>
        <v>0</v>
      </c>
      <c r="R103" s="291">
        <f t="shared" si="34"/>
        <v>0</v>
      </c>
      <c r="S103" s="291">
        <f>S59+S88</f>
        <v>0</v>
      </c>
      <c r="T103" s="291">
        <f t="shared" si="34"/>
        <v>0</v>
      </c>
      <c r="U103" s="291">
        <f t="shared" si="34"/>
        <v>0</v>
      </c>
    </row>
    <row r="104" spans="1:21" ht="12.75">
      <c r="A104" s="901" t="s">
        <v>1677</v>
      </c>
      <c r="B104" s="902" t="s">
        <v>1248</v>
      </c>
      <c r="D104" s="291"/>
      <c r="E104" s="291">
        <f>E74+E99</f>
        <v>0</v>
      </c>
      <c r="F104" s="291">
        <f>F74+F99</f>
        <v>0</v>
      </c>
      <c r="G104" s="291">
        <f>G74+G99</f>
        <v>0</v>
      </c>
      <c r="H104" s="291"/>
      <c r="I104" s="291">
        <f>I74+I99</f>
        <v>0</v>
      </c>
      <c r="J104" s="291">
        <f>J74+J99</f>
        <v>0</v>
      </c>
      <c r="K104" s="291">
        <f>K74+K99</f>
        <v>0</v>
      </c>
      <c r="L104" s="291">
        <f>L74+L99</f>
        <v>0</v>
      </c>
      <c r="M104" s="291"/>
      <c r="N104" s="291"/>
      <c r="O104" s="291">
        <f aca="true" t="shared" si="35" ref="O104:U104">O74+O99</f>
        <v>0</v>
      </c>
      <c r="P104" s="291">
        <f t="shared" si="35"/>
        <v>0</v>
      </c>
      <c r="Q104" s="291">
        <f t="shared" si="35"/>
        <v>0</v>
      </c>
      <c r="R104" s="291">
        <f t="shared" si="35"/>
        <v>0</v>
      </c>
      <c r="S104" s="291">
        <f>S74+S99</f>
        <v>0</v>
      </c>
      <c r="T104" s="291">
        <f t="shared" si="35"/>
        <v>0</v>
      </c>
      <c r="U104" s="291">
        <f t="shared" si="35"/>
        <v>0</v>
      </c>
    </row>
    <row r="105" spans="4:21" ht="12.75">
      <c r="D105" s="291"/>
      <c r="E105" s="291"/>
      <c r="F105" s="291"/>
      <c r="G105" s="291"/>
      <c r="H105" s="291"/>
      <c r="I105" s="291"/>
      <c r="J105" s="291"/>
      <c r="K105" s="291"/>
      <c r="L105" s="291"/>
      <c r="M105" s="291"/>
      <c r="N105" s="291"/>
      <c r="O105" s="291"/>
      <c r="P105" s="291"/>
      <c r="Q105" s="291"/>
      <c r="R105" s="291"/>
      <c r="S105" s="291"/>
      <c r="T105" s="291"/>
      <c r="U105" s="291"/>
    </row>
    <row r="106" spans="1:21" ht="13.5" thickBot="1">
      <c r="A106" s="901" t="s">
        <v>1247</v>
      </c>
      <c r="B106" s="1286" t="s">
        <v>1259</v>
      </c>
      <c r="C106" s="1287"/>
      <c r="D106" s="1288"/>
      <c r="E106" s="1289">
        <f>E76+E101</f>
        <v>0</v>
      </c>
      <c r="F106" s="1289">
        <f>F76+F101</f>
        <v>0</v>
      </c>
      <c r="G106" s="1289">
        <f>G76+G101</f>
        <v>0</v>
      </c>
      <c r="H106" s="1289"/>
      <c r="I106" s="1289">
        <f>I76+I101</f>
        <v>0</v>
      </c>
      <c r="J106" s="1289">
        <f>J76+J101</f>
        <v>0</v>
      </c>
      <c r="K106" s="1289">
        <f>K76+K101</f>
        <v>0</v>
      </c>
      <c r="L106" s="1289">
        <f>L76+L101</f>
        <v>0</v>
      </c>
      <c r="M106" s="1288"/>
      <c r="N106" s="1289"/>
      <c r="O106" s="1289">
        <f aca="true" t="shared" si="36" ref="O106:U106">O76+O101</f>
        <v>0</v>
      </c>
      <c r="P106" s="1289">
        <f t="shared" si="36"/>
        <v>0</v>
      </c>
      <c r="Q106" s="1289">
        <f t="shared" si="36"/>
        <v>0</v>
      </c>
      <c r="R106" s="1289">
        <f t="shared" si="36"/>
        <v>0</v>
      </c>
      <c r="S106" s="1289">
        <f>S76+S101</f>
        <v>0</v>
      </c>
      <c r="T106" s="1289">
        <f t="shared" si="36"/>
        <v>0</v>
      </c>
      <c r="U106" s="1289">
        <f t="shared" si="36"/>
        <v>0</v>
      </c>
    </row>
    <row r="107" ht="13.5" thickTop="1">
      <c r="A107" s="887"/>
    </row>
    <row r="108" spans="1:2" ht="12.75">
      <c r="A108" s="887"/>
      <c r="B108" s="902"/>
    </row>
    <row r="109" ht="12.75">
      <c r="A109" s="887"/>
    </row>
    <row r="110" spans="1:21" ht="12.75">
      <c r="A110" s="887"/>
      <c r="F110" s="291"/>
      <c r="G110" s="291"/>
      <c r="H110" s="291"/>
      <c r="I110" s="291"/>
      <c r="J110" s="291"/>
      <c r="K110" s="291"/>
      <c r="L110" s="291"/>
      <c r="M110" s="291"/>
      <c r="N110" s="291"/>
      <c r="O110" s="291"/>
      <c r="P110" s="291"/>
      <c r="Q110" s="291"/>
      <c r="R110" s="291"/>
      <c r="S110" s="291"/>
      <c r="T110" s="291"/>
      <c r="U110" s="881"/>
    </row>
    <row r="111" ht="12.75">
      <c r="A111" s="887"/>
    </row>
    <row r="112" ht="12.75">
      <c r="A112" s="887"/>
    </row>
    <row r="113" ht="12.75">
      <c r="A113" s="887"/>
    </row>
    <row r="114" ht="12.75">
      <c r="A114" s="887"/>
    </row>
    <row r="115" ht="12.75">
      <c r="A115" s="887"/>
    </row>
    <row r="116" ht="12.75">
      <c r="A116" s="887"/>
    </row>
    <row r="117" ht="12.75">
      <c r="A117" s="887"/>
    </row>
    <row r="118" ht="12.75">
      <c r="A118" s="887"/>
    </row>
    <row r="119" ht="12.75">
      <c r="A119" s="887"/>
    </row>
    <row r="120" ht="12.75">
      <c r="A120" s="887"/>
    </row>
    <row r="121" ht="12.75">
      <c r="A121" s="887"/>
    </row>
    <row r="122" ht="12.75">
      <c r="A122" s="887"/>
    </row>
    <row r="123" ht="12.75">
      <c r="A123" s="887"/>
    </row>
    <row r="124" ht="12.75">
      <c r="A124" s="887"/>
    </row>
    <row r="125" ht="12.75">
      <c r="A125" s="887"/>
    </row>
    <row r="126" ht="12.75">
      <c r="A126" s="887"/>
    </row>
    <row r="127" ht="12.75">
      <c r="A127" s="887"/>
    </row>
    <row r="128" ht="12.75">
      <c r="A128" s="887"/>
    </row>
    <row r="129" ht="12.75">
      <c r="A129" s="887"/>
    </row>
    <row r="130" ht="12.75">
      <c r="A130" s="887"/>
    </row>
    <row r="131" ht="12.75">
      <c r="A131" s="887"/>
    </row>
    <row r="132" ht="12.75">
      <c r="A132" s="887"/>
    </row>
    <row r="133" ht="12.75">
      <c r="A133" s="887"/>
    </row>
    <row r="134" ht="12.75">
      <c r="A134" s="887"/>
    </row>
    <row r="135" ht="12.75">
      <c r="A135" s="887"/>
    </row>
    <row r="136" ht="12.75">
      <c r="A136" s="887"/>
    </row>
    <row r="137" ht="12.75">
      <c r="A137" s="887"/>
    </row>
    <row r="138" ht="12.75">
      <c r="A138" s="887"/>
    </row>
    <row r="139" ht="12.75">
      <c r="A139" s="887"/>
    </row>
    <row r="140" ht="12.75">
      <c r="A140" s="887"/>
    </row>
  </sheetData>
  <sheetProtection/>
  <printOptions horizontalCentered="1"/>
  <pageMargins left="0.5" right="0.5" top="0.62" bottom="0.75" header="0.5" footer="0.5"/>
  <pageSetup fitToHeight="6" horizontalDpi="600" verticalDpi="600" orientation="landscape" scale="32" r:id="rId1"/>
  <headerFooter alignWithMargins="0">
    <oddFooter>&amp;L&amp;D&amp;R&amp;F</oddFooter>
  </headerFooter>
  <rowBreaks count="1" manualBreakCount="1">
    <brk id="34" max="18" man="1"/>
  </rowBreaks>
</worksheet>
</file>

<file path=xl/worksheets/sheet19.xml><?xml version="1.0" encoding="utf-8"?>
<worksheet xmlns="http://schemas.openxmlformats.org/spreadsheetml/2006/main" xmlns:r="http://schemas.openxmlformats.org/officeDocument/2006/relationships">
  <sheetPr>
    <tabColor indexed="22"/>
    <pageSetUpPr fitToPage="1"/>
  </sheetPr>
  <dimension ref="A1:P63"/>
  <sheetViews>
    <sheetView zoomScale="50" zoomScaleNormal="50" zoomScalePageLayoutView="0" workbookViewId="0" topLeftCell="A22">
      <selection activeCell="J51" sqref="J51"/>
    </sheetView>
  </sheetViews>
  <sheetFormatPr defaultColWidth="8.88671875" defaultRowHeight="15"/>
  <cols>
    <col min="1" max="1" width="6.77734375" style="543" customWidth="1"/>
    <col min="2" max="2" width="3.77734375" style="543" customWidth="1"/>
    <col min="3" max="3" width="52.77734375" style="543" customWidth="1"/>
    <col min="4" max="4" width="43.6640625" style="543" customWidth="1"/>
    <col min="5" max="5" width="13.77734375" style="543" customWidth="1"/>
    <col min="6" max="6" width="14.77734375" style="543" customWidth="1"/>
    <col min="7" max="7" width="5.77734375" style="543" customWidth="1"/>
    <col min="8" max="8" width="12.77734375" style="543" customWidth="1"/>
    <col min="9" max="9" width="3.77734375" style="543" customWidth="1"/>
    <col min="10" max="10" width="17.6640625" style="543" bestFit="1" customWidth="1"/>
    <col min="11" max="11" width="3.77734375" style="543" customWidth="1"/>
    <col min="12" max="12" width="6.77734375" style="543" customWidth="1"/>
    <col min="13" max="13" width="1.88671875" style="543" customWidth="1"/>
    <col min="14" max="14" width="13.21484375" style="543" bestFit="1" customWidth="1"/>
    <col min="15" max="16384" width="8.88671875" style="543" customWidth="1"/>
  </cols>
  <sheetData>
    <row r="1" spans="1:16" ht="18">
      <c r="A1" s="10"/>
      <c r="B1" s="10"/>
      <c r="C1" s="1426" t="s">
        <v>1058</v>
      </c>
      <c r="D1" s="1423"/>
      <c r="E1" s="1423"/>
      <c r="F1" s="1423"/>
      <c r="G1" s="1423"/>
      <c r="H1" s="1423"/>
      <c r="I1" s="1423"/>
      <c r="J1" s="912" t="s">
        <v>18</v>
      </c>
      <c r="K1" s="553"/>
      <c r="L1" s="553"/>
      <c r="M1" s="553"/>
      <c r="N1" s="553"/>
      <c r="O1" s="553"/>
      <c r="P1" s="553"/>
    </row>
    <row r="2" spans="3:16" ht="18">
      <c r="C2" s="1426" t="s">
        <v>248</v>
      </c>
      <c r="D2" s="1423"/>
      <c r="E2" s="1423"/>
      <c r="F2" s="1423"/>
      <c r="G2" s="1423"/>
      <c r="H2" s="1423"/>
      <c r="I2" s="1423"/>
      <c r="K2" s="553"/>
      <c r="L2" s="553"/>
      <c r="M2" s="553"/>
      <c r="N2" s="553"/>
      <c r="O2" s="553"/>
      <c r="P2" s="553"/>
    </row>
    <row r="3" spans="3:16" ht="18">
      <c r="C3" s="1426" t="s">
        <v>1071</v>
      </c>
      <c r="D3" s="1426"/>
      <c r="E3" s="1426"/>
      <c r="F3" s="1426"/>
      <c r="G3" s="1426"/>
      <c r="H3" s="1426"/>
      <c r="I3" s="1426"/>
      <c r="J3" s="912"/>
      <c r="K3" s="553"/>
      <c r="L3" s="553"/>
      <c r="M3" s="553"/>
      <c r="N3" s="553"/>
      <c r="O3" s="553"/>
      <c r="P3" s="553"/>
    </row>
    <row r="4" spans="3:16" ht="18">
      <c r="C4" s="1427" t="s">
        <v>1630</v>
      </c>
      <c r="D4" s="1428"/>
      <c r="E4" s="1428"/>
      <c r="F4" s="1428"/>
      <c r="G4" s="1428"/>
      <c r="H4" s="1428"/>
      <c r="I4" s="1428"/>
      <c r="K4" s="553"/>
      <c r="L4" s="553"/>
      <c r="M4" s="553"/>
      <c r="N4" s="553"/>
      <c r="O4" s="553"/>
      <c r="P4" s="553"/>
    </row>
    <row r="5" spans="3:16" ht="18">
      <c r="C5" s="1424"/>
      <c r="D5" s="1425"/>
      <c r="E5" s="1425"/>
      <c r="F5" s="1425"/>
      <c r="G5" s="1425"/>
      <c r="H5" s="1425"/>
      <c r="I5" s="1425"/>
      <c r="K5" s="553"/>
      <c r="L5" s="553"/>
      <c r="M5" s="553"/>
      <c r="N5" s="553"/>
      <c r="O5" s="553"/>
      <c r="P5" s="553"/>
    </row>
    <row r="6" spans="1:16" ht="18">
      <c r="A6" s="679"/>
      <c r="C6" s="1422" t="s">
        <v>779</v>
      </c>
      <c r="D6" s="1423"/>
      <c r="E6" s="1423"/>
      <c r="F6" s="1423"/>
      <c r="G6" s="1423"/>
      <c r="H6" s="1423"/>
      <c r="I6" s="1423"/>
      <c r="K6" s="553"/>
      <c r="L6" s="553"/>
      <c r="M6" s="553"/>
      <c r="N6" s="553"/>
      <c r="O6" s="553"/>
      <c r="P6" s="553"/>
    </row>
    <row r="7" spans="1:16" ht="18">
      <c r="A7" s="679"/>
      <c r="C7" s="1422" t="s">
        <v>1163</v>
      </c>
      <c r="D7" s="1423"/>
      <c r="E7" s="1423"/>
      <c r="F7" s="1423"/>
      <c r="G7" s="1423"/>
      <c r="H7" s="1423"/>
      <c r="I7" s="1423"/>
      <c r="J7" s="553"/>
      <c r="K7" s="553"/>
      <c r="L7" s="553"/>
      <c r="M7" s="553"/>
      <c r="N7" s="553"/>
      <c r="O7" s="553"/>
      <c r="P7" s="553"/>
    </row>
    <row r="8" spans="1:16" s="10" customFormat="1" ht="15">
      <c r="A8" s="679"/>
      <c r="B8" s="543"/>
      <c r="C8" s="700" t="s">
        <v>1121</v>
      </c>
      <c r="D8" s="635" t="s">
        <v>1122</v>
      </c>
      <c r="E8" s="635" t="s">
        <v>1147</v>
      </c>
      <c r="F8" s="636"/>
      <c r="G8" s="636"/>
      <c r="H8" s="635" t="s">
        <v>1148</v>
      </c>
      <c r="I8" s="636"/>
      <c r="J8" s="216" t="s">
        <v>1149</v>
      </c>
      <c r="K8" s="1"/>
      <c r="L8" s="1"/>
      <c r="M8" s="1"/>
      <c r="N8" s="1"/>
      <c r="O8" s="1"/>
      <c r="P8" s="1"/>
    </row>
    <row r="9" spans="1:16" s="10" customFormat="1" ht="15">
      <c r="A9" s="15" t="s">
        <v>1101</v>
      </c>
      <c r="C9" s="1"/>
      <c r="D9" s="1"/>
      <c r="E9" s="13"/>
      <c r="F9" s="1"/>
      <c r="G9" s="1"/>
      <c r="H9" s="1"/>
      <c r="I9" s="1"/>
      <c r="J9" s="15" t="s">
        <v>1102</v>
      </c>
      <c r="K9" s="1"/>
      <c r="L9" s="1"/>
      <c r="M9" s="1"/>
      <c r="N9" s="1"/>
      <c r="O9" s="1"/>
      <c r="P9" s="1"/>
    </row>
    <row r="10" spans="1:16" s="10" customFormat="1" ht="15.75" thickBot="1">
      <c r="A10" s="19" t="s">
        <v>1103</v>
      </c>
      <c r="E10" s="1"/>
      <c r="F10" s="1"/>
      <c r="G10" s="1"/>
      <c r="H10" s="1"/>
      <c r="I10" s="1"/>
      <c r="J10" s="229" t="s">
        <v>1104</v>
      </c>
      <c r="K10" s="1"/>
      <c r="L10" s="1"/>
      <c r="M10" s="1"/>
      <c r="N10" s="1"/>
      <c r="O10" s="1"/>
      <c r="P10" s="1"/>
    </row>
    <row r="11" spans="1:16" ht="15.75">
      <c r="A11" s="229"/>
      <c r="B11" s="234"/>
      <c r="C11" s="235" t="s">
        <v>238</v>
      </c>
      <c r="D11" s="913"/>
      <c r="E11" s="914"/>
      <c r="F11" s="914"/>
      <c r="G11" s="914"/>
      <c r="H11" s="914"/>
      <c r="I11" s="914"/>
      <c r="J11" s="915"/>
      <c r="K11" s="553"/>
      <c r="L11" s="553"/>
      <c r="M11" s="553"/>
      <c r="N11" s="553"/>
      <c r="O11" s="553"/>
      <c r="P11" s="553"/>
    </row>
    <row r="12" spans="1:16" ht="15">
      <c r="A12" s="916"/>
      <c r="E12" s="553"/>
      <c r="F12" s="553"/>
      <c r="G12" s="553"/>
      <c r="H12" s="553"/>
      <c r="I12" s="553"/>
      <c r="J12" s="916"/>
      <c r="K12" s="553"/>
      <c r="L12" s="553"/>
      <c r="M12" s="553"/>
      <c r="N12" s="553"/>
      <c r="O12" s="553"/>
      <c r="P12" s="553"/>
    </row>
    <row r="13" spans="1:16" ht="15">
      <c r="A13" s="679">
        <v>1</v>
      </c>
      <c r="C13" s="553" t="s">
        <v>1162</v>
      </c>
      <c r="D13" s="917" t="s">
        <v>280</v>
      </c>
      <c r="E13" s="782"/>
      <c r="F13" s="553"/>
      <c r="G13" s="553"/>
      <c r="H13" s="553"/>
      <c r="I13" s="553"/>
      <c r="J13" s="918">
        <f>'Projected Gross Rev Req'!L117</f>
        <v>-5529142.509610726</v>
      </c>
      <c r="K13" s="553"/>
      <c r="L13" s="553"/>
      <c r="M13" s="553"/>
      <c r="N13" s="553"/>
      <c r="O13" s="553"/>
      <c r="P13" s="553"/>
    </row>
    <row r="14" spans="1:16" ht="15">
      <c r="A14" s="679"/>
      <c r="C14" s="553"/>
      <c r="D14" s="553"/>
      <c r="E14" s="553"/>
      <c r="F14" s="553"/>
      <c r="G14" s="553"/>
      <c r="H14" s="553"/>
      <c r="I14" s="553"/>
      <c r="J14" s="782"/>
      <c r="K14" s="553"/>
      <c r="L14" s="553"/>
      <c r="M14" s="553"/>
      <c r="N14" s="553"/>
      <c r="O14" s="553"/>
      <c r="P14" s="553"/>
    </row>
    <row r="15" spans="1:16" ht="15.75" thickBot="1">
      <c r="A15" s="679" t="s">
        <v>1100</v>
      </c>
      <c r="C15" s="548" t="s">
        <v>1105</v>
      </c>
      <c r="D15" s="547"/>
      <c r="E15" s="591" t="s">
        <v>1106</v>
      </c>
      <c r="F15" s="545"/>
      <c r="G15" s="919" t="s">
        <v>1107</v>
      </c>
      <c r="H15" s="919"/>
      <c r="I15" s="553"/>
      <c r="J15" s="782"/>
      <c r="K15" s="553"/>
      <c r="L15" s="553"/>
      <c r="M15" s="553"/>
      <c r="N15" s="917"/>
      <c r="O15" s="553"/>
      <c r="P15" s="553"/>
    </row>
    <row r="16" spans="1:16" ht="15">
      <c r="A16" s="679">
        <v>2</v>
      </c>
      <c r="C16" s="548" t="s">
        <v>1109</v>
      </c>
      <c r="D16" s="547" t="s">
        <v>259</v>
      </c>
      <c r="E16" s="920">
        <f>'P-2 (Exp. &amp; Rev. Credits)'!D46</f>
        <v>3631318.0047230404</v>
      </c>
      <c r="F16" s="545"/>
      <c r="G16" s="545" t="s">
        <v>1686</v>
      </c>
      <c r="H16" s="921">
        <v>1</v>
      </c>
      <c r="I16" s="545"/>
      <c r="J16" s="922">
        <f>E16*H16</f>
        <v>3631318.0047230404</v>
      </c>
      <c r="K16" s="553"/>
      <c r="L16" s="553"/>
      <c r="M16" s="553"/>
      <c r="N16" s="553"/>
      <c r="O16" s="553"/>
      <c r="P16" s="553"/>
    </row>
    <row r="17" spans="1:16" ht="15">
      <c r="A17" s="679">
        <v>3</v>
      </c>
      <c r="C17" s="553" t="s">
        <v>1798</v>
      </c>
      <c r="D17" s="547" t="s">
        <v>1201</v>
      </c>
      <c r="E17" s="923">
        <f>'P-2 (Exp. &amp; Rev. Credits)'!D47</f>
        <v>14308414</v>
      </c>
      <c r="F17" s="545"/>
      <c r="G17" s="545" t="str">
        <f>+G16</f>
        <v>WTP</v>
      </c>
      <c r="H17" s="921">
        <f>H16</f>
        <v>1</v>
      </c>
      <c r="I17" s="545"/>
      <c r="J17" s="924">
        <f>E17*H17</f>
        <v>14308414</v>
      </c>
      <c r="K17" s="553"/>
      <c r="L17" s="553"/>
      <c r="M17" s="553"/>
      <c r="N17" s="553"/>
      <c r="O17" s="553"/>
      <c r="P17" s="553"/>
    </row>
    <row r="18" spans="1:16" ht="15">
      <c r="A18" s="679">
        <v>4</v>
      </c>
      <c r="C18" s="925" t="s">
        <v>1801</v>
      </c>
      <c r="D18" s="547" t="s">
        <v>1202</v>
      </c>
      <c r="E18" s="932">
        <f>'P-2 (Exp. &amp; Rev. Credits)'!D48</f>
        <v>0</v>
      </c>
      <c r="F18" s="545"/>
      <c r="G18" s="545" t="str">
        <f>+G17</f>
        <v>WTP</v>
      </c>
      <c r="H18" s="921">
        <f>H17</f>
        <v>1</v>
      </c>
      <c r="I18" s="545"/>
      <c r="J18" s="924">
        <f>E18*H18</f>
        <v>0</v>
      </c>
      <c r="K18" s="553"/>
      <c r="L18" s="553"/>
      <c r="M18" s="553"/>
      <c r="N18" s="553"/>
      <c r="O18" s="553"/>
      <c r="P18" s="553"/>
    </row>
    <row r="19" spans="1:16" ht="15">
      <c r="A19" s="679">
        <v>5</v>
      </c>
      <c r="C19" s="925" t="s">
        <v>1687</v>
      </c>
      <c r="D19" s="547" t="s">
        <v>260</v>
      </c>
      <c r="E19" s="932">
        <f>'P-2 (Exp. &amp; Rev. Credits)'!D49</f>
        <v>0</v>
      </c>
      <c r="F19" s="545"/>
      <c r="G19" s="545" t="str">
        <f>+G18</f>
        <v>WTP</v>
      </c>
      <c r="H19" s="921">
        <f>H18</f>
        <v>1</v>
      </c>
      <c r="I19" s="545"/>
      <c r="J19" s="926">
        <f>E19*H19</f>
        <v>0</v>
      </c>
      <c r="K19" s="553"/>
      <c r="L19" s="553"/>
      <c r="M19" s="553"/>
      <c r="N19" s="553"/>
      <c r="O19" s="553"/>
      <c r="P19" s="553"/>
    </row>
    <row r="20" spans="1:16" ht="15">
      <c r="A20" s="679">
        <v>6</v>
      </c>
      <c r="C20" s="548" t="s">
        <v>1203</v>
      </c>
      <c r="D20" s="553" t="s">
        <v>1204</v>
      </c>
      <c r="E20" s="552"/>
      <c r="F20" s="545"/>
      <c r="G20" s="545"/>
      <c r="H20" s="716"/>
      <c r="I20" s="545"/>
      <c r="J20" s="552">
        <f>SUM(J16:J19)</f>
        <v>17939732.004723042</v>
      </c>
      <c r="K20" s="553"/>
      <c r="L20" s="927"/>
      <c r="M20" s="553"/>
      <c r="N20" s="553"/>
      <c r="O20" s="553"/>
      <c r="P20" s="553"/>
    </row>
    <row r="21" spans="1:16" ht="15">
      <c r="A21" s="679"/>
      <c r="D21" s="553"/>
      <c r="E21" s="545" t="s">
        <v>1100</v>
      </c>
      <c r="F21" s="553"/>
      <c r="G21" s="553"/>
      <c r="H21" s="716"/>
      <c r="I21" s="553"/>
      <c r="K21" s="553"/>
      <c r="L21" s="553"/>
      <c r="M21" s="553"/>
      <c r="N21" s="553"/>
      <c r="O21" s="553"/>
      <c r="P21" s="553"/>
    </row>
    <row r="22" spans="1:16" ht="15">
      <c r="A22" s="702">
        <v>7</v>
      </c>
      <c r="B22" s="544"/>
      <c r="C22" s="917" t="s">
        <v>1653</v>
      </c>
      <c r="D22" s="917" t="s">
        <v>1263</v>
      </c>
      <c r="E22" s="928"/>
      <c r="F22" s="547"/>
      <c r="G22" s="547"/>
      <c r="H22" s="547"/>
      <c r="I22" s="547"/>
      <c r="J22" s="1292">
        <f>'TU (True-up)'!K77</f>
        <v>-1639948</v>
      </c>
      <c r="K22" s="553"/>
      <c r="L22" s="553"/>
      <c r="M22" s="553"/>
      <c r="N22" s="553"/>
      <c r="O22" s="553"/>
      <c r="P22" s="553"/>
    </row>
    <row r="23" spans="1:16" ht="15">
      <c r="A23" s="679"/>
      <c r="D23" s="553"/>
      <c r="E23" s="545"/>
      <c r="F23" s="553"/>
      <c r="G23" s="553"/>
      <c r="H23" s="716"/>
      <c r="I23" s="553"/>
      <c r="K23" s="553"/>
      <c r="L23" s="553"/>
      <c r="M23" s="553"/>
      <c r="N23" s="553"/>
      <c r="O23" s="553"/>
      <c r="P23" s="553"/>
    </row>
    <row r="24" spans="1:16" ht="15.75">
      <c r="A24" s="679">
        <v>8</v>
      </c>
      <c r="C24" s="548" t="s">
        <v>1084</v>
      </c>
      <c r="D24" s="553" t="s">
        <v>1800</v>
      </c>
      <c r="E24" s="929" t="s">
        <v>1100</v>
      </c>
      <c r="F24" s="545"/>
      <c r="G24" s="545"/>
      <c r="H24" s="545"/>
      <c r="I24" s="545"/>
      <c r="J24" s="236">
        <f>+J13-J20+J22</f>
        <v>-25108822.51433377</v>
      </c>
      <c r="K24" s="553"/>
      <c r="L24" s="553" t="s">
        <v>1100</v>
      </c>
      <c r="M24" s="553"/>
      <c r="N24" s="1066"/>
      <c r="O24" s="553"/>
      <c r="P24" s="553"/>
    </row>
    <row r="25" spans="1:16" ht="15">
      <c r="A25" s="679"/>
      <c r="C25" s="548"/>
      <c r="D25" s="553"/>
      <c r="E25" s="929"/>
      <c r="F25" s="545"/>
      <c r="G25" s="545"/>
      <c r="H25" s="545"/>
      <c r="I25" s="545"/>
      <c r="J25" s="930"/>
      <c r="K25" s="553"/>
      <c r="L25" s="553"/>
      <c r="M25" s="553"/>
      <c r="N25" s="553"/>
      <c r="O25" s="553"/>
      <c r="P25" s="553"/>
    </row>
    <row r="26" spans="1:16" s="544" customFormat="1" ht="15">
      <c r="A26" s="702">
        <v>9</v>
      </c>
      <c r="B26" s="237"/>
      <c r="C26" s="560" t="s">
        <v>271</v>
      </c>
      <c r="D26" s="917"/>
      <c r="E26" s="928"/>
      <c r="F26" s="547"/>
      <c r="G26" s="547"/>
      <c r="H26" s="931"/>
      <c r="I26" s="547"/>
      <c r="J26" s="932">
        <f>'BPF (BPF Summary)'!U123</f>
        <v>0</v>
      </c>
      <c r="K26" s="917"/>
      <c r="L26" s="917"/>
      <c r="M26" s="917"/>
      <c r="N26" s="1066"/>
      <c r="O26" s="917"/>
      <c r="P26" s="917"/>
    </row>
    <row r="27" spans="1:16" s="544" customFormat="1" ht="15">
      <c r="A27" s="702" t="s">
        <v>294</v>
      </c>
      <c r="B27" s="237"/>
      <c r="C27" s="560" t="s">
        <v>272</v>
      </c>
      <c r="D27" s="917"/>
      <c r="E27" s="928"/>
      <c r="F27" s="547"/>
      <c r="G27" s="547"/>
      <c r="H27" s="931"/>
      <c r="I27" s="547"/>
      <c r="J27" s="932">
        <f>'EPP (Econ Proj Sum)'!U106</f>
        <v>0</v>
      </c>
      <c r="K27" s="917"/>
      <c r="L27" s="917"/>
      <c r="M27" s="917"/>
      <c r="N27" s="1066"/>
      <c r="O27" s="917"/>
      <c r="P27" s="917"/>
    </row>
    <row r="28" spans="1:16" s="544" customFormat="1" ht="15">
      <c r="A28" s="702" t="s">
        <v>824</v>
      </c>
      <c r="B28" s="237"/>
      <c r="C28" s="560" t="s">
        <v>1264</v>
      </c>
      <c r="D28" s="917"/>
      <c r="E28" s="928"/>
      <c r="F28" s="547"/>
      <c r="G28" s="547"/>
      <c r="H28" s="931"/>
      <c r="I28" s="547"/>
      <c r="J28" s="932">
        <f>'TU (True-up)'!I77+'TU (True-up)'!J77</f>
        <v>-4372706</v>
      </c>
      <c r="K28" s="917"/>
      <c r="L28" s="917"/>
      <c r="M28" s="917"/>
      <c r="N28" s="1066"/>
      <c r="O28" s="917"/>
      <c r="P28" s="917"/>
    </row>
    <row r="29" spans="1:16" s="544" customFormat="1" ht="15">
      <c r="A29" s="702"/>
      <c r="C29" s="560"/>
      <c r="D29" s="917"/>
      <c r="E29" s="928"/>
      <c r="F29" s="547"/>
      <c r="G29" s="547"/>
      <c r="H29" s="547"/>
      <c r="I29" s="547"/>
      <c r="J29" s="930"/>
      <c r="K29" s="917"/>
      <c r="L29" s="917"/>
      <c r="M29" s="917"/>
      <c r="N29" s="917"/>
      <c r="O29" s="917"/>
      <c r="P29" s="917"/>
    </row>
    <row r="30" spans="1:16" s="544" customFormat="1" ht="15.75" thickBot="1">
      <c r="A30" s="702">
        <v>10</v>
      </c>
      <c r="C30" s="560" t="s">
        <v>270</v>
      </c>
      <c r="E30" s="928"/>
      <c r="F30" s="547"/>
      <c r="G30" s="547"/>
      <c r="H30" s="547"/>
      <c r="I30" s="547"/>
      <c r="J30" s="1252">
        <f>+J24-J26-J27-J28</f>
        <v>-20736116.51433377</v>
      </c>
      <c r="K30" s="917"/>
      <c r="L30" s="917"/>
      <c r="M30" s="917"/>
      <c r="N30" s="917"/>
      <c r="O30" s="917"/>
      <c r="P30" s="917"/>
    </row>
    <row r="31" spans="1:16" s="544" customFormat="1" ht="15.75" thickTop="1">
      <c r="A31" s="702"/>
      <c r="D31" s="917"/>
      <c r="E31" s="928"/>
      <c r="F31" s="547"/>
      <c r="G31" s="547"/>
      <c r="H31" s="547"/>
      <c r="I31" s="547"/>
      <c r="K31" s="917"/>
      <c r="L31" s="917"/>
      <c r="M31" s="917"/>
      <c r="N31" s="917"/>
      <c r="O31" s="917"/>
      <c r="P31" s="917"/>
    </row>
    <row r="32" spans="1:16" s="544" customFormat="1" ht="15">
      <c r="A32" s="702"/>
      <c r="D32" s="547"/>
      <c r="J32" s="547"/>
      <c r="K32" s="917"/>
      <c r="L32" s="917"/>
      <c r="M32" s="917"/>
      <c r="N32" s="917"/>
      <c r="O32" s="917"/>
      <c r="P32" s="917"/>
    </row>
    <row r="33" spans="1:16" s="544" customFormat="1" ht="15.75">
      <c r="A33" s="702"/>
      <c r="C33" s="30" t="s">
        <v>1110</v>
      </c>
      <c r="D33" s="917"/>
      <c r="E33" s="933"/>
      <c r="F33" s="917"/>
      <c r="G33" s="917"/>
      <c r="H33" s="917"/>
      <c r="I33" s="917"/>
      <c r="J33" s="933"/>
      <c r="K33" s="917"/>
      <c r="L33" s="917"/>
      <c r="M33" s="917"/>
      <c r="N33" s="917"/>
      <c r="O33" s="917"/>
      <c r="P33" s="917"/>
    </row>
    <row r="34" spans="1:16" s="544" customFormat="1" ht="15">
      <c r="A34" s="702">
        <v>11</v>
      </c>
      <c r="C34" s="934" t="s">
        <v>477</v>
      </c>
      <c r="E34" s="933"/>
      <c r="F34" s="917"/>
      <c r="G34" s="917"/>
      <c r="H34" s="935" t="s">
        <v>1761</v>
      </c>
      <c r="I34" s="917"/>
      <c r="J34" s="933"/>
      <c r="K34" s="917"/>
      <c r="L34" s="917"/>
      <c r="M34" s="917"/>
      <c r="O34" s="917"/>
      <c r="P34" s="917"/>
    </row>
    <row r="35" spans="1:16" s="544" customFormat="1" ht="15.75" thickBot="1">
      <c r="A35" s="702">
        <v>12</v>
      </c>
      <c r="C35" s="936" t="s">
        <v>478</v>
      </c>
      <c r="D35" s="937"/>
      <c r="E35" s="547"/>
      <c r="F35" s="547"/>
      <c r="G35" s="547"/>
      <c r="H35" s="935" t="s">
        <v>1684</v>
      </c>
      <c r="I35" s="547"/>
      <c r="J35" s="648">
        <f>'P-3 (Trans. Network Load)'!D23*1000</f>
        <v>0</v>
      </c>
      <c r="K35" s="917"/>
      <c r="L35" s="917"/>
      <c r="M35" s="917"/>
      <c r="O35" s="917"/>
      <c r="P35" s="917"/>
    </row>
    <row r="36" spans="1:16" s="544" customFormat="1" ht="15">
      <c r="A36" s="702">
        <v>13</v>
      </c>
      <c r="C36" s="687" t="s">
        <v>1164</v>
      </c>
      <c r="D36" s="917"/>
      <c r="E36" s="917"/>
      <c r="F36" s="917"/>
      <c r="G36" s="917"/>
      <c r="H36" s="917"/>
      <c r="I36" s="917"/>
      <c r="J36" s="689">
        <f>J35</f>
        <v>0</v>
      </c>
      <c r="K36" s="917"/>
      <c r="L36" s="917"/>
      <c r="M36" s="917"/>
      <c r="N36" s="917"/>
      <c r="O36" s="917"/>
      <c r="P36" s="917"/>
    </row>
    <row r="37" spans="1:16" s="544" customFormat="1" ht="15">
      <c r="A37" s="702"/>
      <c r="C37" s="560"/>
      <c r="D37" s="917"/>
      <c r="E37" s="917"/>
      <c r="F37" s="917"/>
      <c r="G37" s="917"/>
      <c r="H37" s="917"/>
      <c r="I37" s="917"/>
      <c r="J37" s="933"/>
      <c r="K37" s="917"/>
      <c r="L37" s="917"/>
      <c r="M37" s="917"/>
      <c r="N37" s="917"/>
      <c r="O37" s="917"/>
      <c r="P37" s="917"/>
    </row>
    <row r="38" spans="1:16" s="544" customFormat="1" ht="15.75">
      <c r="A38" s="702"/>
      <c r="C38" s="30" t="s">
        <v>1512</v>
      </c>
      <c r="D38" s="917"/>
      <c r="E38" s="917"/>
      <c r="F38" s="917"/>
      <c r="G38" s="917"/>
      <c r="H38" s="917"/>
      <c r="I38" s="917"/>
      <c r="J38" s="933"/>
      <c r="K38" s="917"/>
      <c r="L38" s="917"/>
      <c r="M38" s="917"/>
      <c r="N38" s="917"/>
      <c r="O38" s="917"/>
      <c r="P38" s="917"/>
    </row>
    <row r="39" spans="1:16" s="544" customFormat="1" ht="15">
      <c r="A39" s="702">
        <v>14</v>
      </c>
      <c r="C39" s="560" t="s">
        <v>1111</v>
      </c>
      <c r="D39" s="917" t="s">
        <v>326</v>
      </c>
      <c r="E39" s="938">
        <f>IF(J36&gt;0,J24/J36,0)</f>
        <v>0</v>
      </c>
      <c r="F39" s="917"/>
      <c r="G39" s="917"/>
      <c r="H39" s="917"/>
      <c r="I39" s="917"/>
      <c r="K39" s="917"/>
      <c r="L39" s="917"/>
      <c r="M39" s="917"/>
      <c r="N39" s="917"/>
      <c r="O39" s="917"/>
      <c r="P39" s="917"/>
    </row>
    <row r="40" spans="1:16" s="544" customFormat="1" ht="15">
      <c r="A40" s="702">
        <v>15</v>
      </c>
      <c r="C40" s="560" t="s">
        <v>195</v>
      </c>
      <c r="D40" s="917" t="s">
        <v>327</v>
      </c>
      <c r="E40" s="938">
        <f>+E39/12</f>
        <v>0</v>
      </c>
      <c r="F40" s="917"/>
      <c r="G40" s="917"/>
      <c r="H40" s="917"/>
      <c r="I40" s="917"/>
      <c r="K40" s="917"/>
      <c r="L40" s="917"/>
      <c r="M40" s="917"/>
      <c r="N40" s="917"/>
      <c r="O40" s="917"/>
      <c r="P40" s="917"/>
    </row>
    <row r="41" spans="1:16" s="544" customFormat="1" ht="15">
      <c r="A41" s="702"/>
      <c r="C41" s="560"/>
      <c r="D41" s="917"/>
      <c r="E41" s="939"/>
      <c r="F41" s="917"/>
      <c r="G41" s="917"/>
      <c r="H41" s="917"/>
      <c r="I41" s="917"/>
      <c r="K41" s="917"/>
      <c r="L41" s="917"/>
      <c r="M41" s="917"/>
      <c r="N41" s="917"/>
      <c r="O41" s="917"/>
      <c r="P41" s="917"/>
    </row>
    <row r="42" spans="1:16" s="544" customFormat="1" ht="15">
      <c r="A42" s="702"/>
      <c r="C42" s="560"/>
      <c r="D42" s="917"/>
      <c r="E42" s="940" t="s">
        <v>1112</v>
      </c>
      <c r="F42" s="917"/>
      <c r="G42" s="917"/>
      <c r="H42" s="917"/>
      <c r="I42" s="917"/>
      <c r="J42" s="941" t="s">
        <v>1113</v>
      </c>
      <c r="K42" s="917"/>
      <c r="L42" s="917"/>
      <c r="M42" s="917"/>
      <c r="N42" s="917"/>
      <c r="O42" s="917"/>
      <c r="P42" s="917"/>
    </row>
    <row r="43" spans="1:16" s="544" customFormat="1" ht="15">
      <c r="A43" s="702">
        <v>16</v>
      </c>
      <c r="C43" s="560" t="s">
        <v>1114</v>
      </c>
      <c r="D43" s="942" t="s">
        <v>1407</v>
      </c>
      <c r="E43" s="938">
        <f>+E39/52</f>
        <v>0</v>
      </c>
      <c r="F43" s="917"/>
      <c r="G43" s="917"/>
      <c r="H43" s="917"/>
      <c r="I43" s="917"/>
      <c r="J43" s="943">
        <f>+E39/52</f>
        <v>0</v>
      </c>
      <c r="K43" s="917"/>
      <c r="L43" s="917"/>
      <c r="M43" s="917"/>
      <c r="N43" s="917"/>
      <c r="O43" s="917"/>
      <c r="P43" s="917"/>
    </row>
    <row r="44" spans="1:16" s="544" customFormat="1" ht="15">
      <c r="A44" s="702">
        <v>17</v>
      </c>
      <c r="C44" s="560" t="s">
        <v>1115</v>
      </c>
      <c r="D44" s="942" t="s">
        <v>328</v>
      </c>
      <c r="E44" s="938">
        <f>+E43/5</f>
        <v>0</v>
      </c>
      <c r="F44" s="917" t="s">
        <v>1116</v>
      </c>
      <c r="H44" s="917"/>
      <c r="I44" s="917"/>
      <c r="J44" s="943">
        <f>+J43/7</f>
        <v>0</v>
      </c>
      <c r="K44" s="917"/>
      <c r="L44" s="917"/>
      <c r="M44" s="917"/>
      <c r="N44" s="917"/>
      <c r="O44" s="917"/>
      <c r="P44" s="917"/>
    </row>
    <row r="45" spans="1:16" s="544" customFormat="1" ht="15">
      <c r="A45" s="702">
        <v>18</v>
      </c>
      <c r="C45" s="560" t="s">
        <v>1117</v>
      </c>
      <c r="D45" s="942" t="s">
        <v>114</v>
      </c>
      <c r="E45" s="938">
        <f>+E44/16*1000</f>
        <v>0</v>
      </c>
      <c r="F45" s="917" t="s">
        <v>1118</v>
      </c>
      <c r="H45" s="917"/>
      <c r="I45" s="917"/>
      <c r="J45" s="943">
        <f>+J44/24*1000</f>
        <v>0</v>
      </c>
      <c r="K45" s="917"/>
      <c r="L45" s="917" t="s">
        <v>1100</v>
      </c>
      <c r="M45" s="917"/>
      <c r="N45" s="917"/>
      <c r="O45" s="917"/>
      <c r="P45" s="917"/>
    </row>
    <row r="46" spans="1:16" s="544" customFormat="1" ht="15">
      <c r="A46" s="702"/>
      <c r="C46" s="560"/>
      <c r="D46" s="942" t="s">
        <v>115</v>
      </c>
      <c r="E46" s="917"/>
      <c r="F46" s="917" t="s">
        <v>1119</v>
      </c>
      <c r="H46" s="917"/>
      <c r="I46" s="917"/>
      <c r="K46" s="917"/>
      <c r="L46" s="917" t="s">
        <v>1100</v>
      </c>
      <c r="M46" s="917"/>
      <c r="N46" s="917"/>
      <c r="O46" s="917"/>
      <c r="P46" s="917"/>
    </row>
    <row r="47" spans="1:16" s="544" customFormat="1" ht="15">
      <c r="A47" s="702"/>
      <c r="C47" s="560"/>
      <c r="D47" s="917"/>
      <c r="E47" s="917"/>
      <c r="F47" s="917"/>
      <c r="H47" s="917"/>
      <c r="I47" s="917"/>
      <c r="K47" s="917"/>
      <c r="L47" s="917" t="s">
        <v>1100</v>
      </c>
      <c r="M47" s="917"/>
      <c r="N47" s="917"/>
      <c r="O47" s="917"/>
      <c r="P47" s="917"/>
    </row>
    <row r="48" spans="10:16" s="544" customFormat="1" ht="15">
      <c r="J48" s="550"/>
      <c r="K48" s="944"/>
      <c r="L48" s="917"/>
      <c r="M48" s="917"/>
      <c r="N48" s="917"/>
      <c r="O48" s="917"/>
      <c r="P48" s="917"/>
    </row>
    <row r="49" spans="1:16" s="544" customFormat="1" ht="15">
      <c r="A49" s="702">
        <v>19</v>
      </c>
      <c r="C49" s="544" t="s">
        <v>818</v>
      </c>
      <c r="D49" s="544" t="s">
        <v>996</v>
      </c>
      <c r="J49" s="703">
        <f>'Projected Gross Rev Req'!G28</f>
        <v>0</v>
      </c>
      <c r="K49" s="944"/>
      <c r="L49" s="917"/>
      <c r="M49" s="917"/>
      <c r="N49" s="917"/>
      <c r="O49" s="945" t="s">
        <v>1100</v>
      </c>
      <c r="P49" s="917"/>
    </row>
    <row r="50" spans="3:16" s="544" customFormat="1" ht="15">
      <c r="C50" s="560" t="s">
        <v>1100</v>
      </c>
      <c r="D50" s="917"/>
      <c r="E50" s="917" t="s">
        <v>1120</v>
      </c>
      <c r="F50" s="917"/>
      <c r="G50" s="917"/>
      <c r="H50" s="917"/>
      <c r="I50" s="917"/>
      <c r="J50" s="946" t="s">
        <v>1100</v>
      </c>
      <c r="K50" s="917"/>
      <c r="L50" s="917"/>
      <c r="M50" s="917"/>
      <c r="N50" s="917"/>
      <c r="O50" s="917"/>
      <c r="P50" s="917"/>
    </row>
    <row r="51" spans="1:16" s="544" customFormat="1" ht="15">
      <c r="A51" s="702">
        <v>20</v>
      </c>
      <c r="C51" s="560" t="s">
        <v>806</v>
      </c>
      <c r="D51" s="917" t="s">
        <v>1511</v>
      </c>
      <c r="E51" s="917"/>
      <c r="F51" s="917"/>
      <c r="G51" s="917"/>
      <c r="H51" s="917"/>
      <c r="I51" s="917"/>
      <c r="J51" s="598">
        <f>IF(J49=0,0,J24/J49)</f>
        <v>0</v>
      </c>
      <c r="K51" s="917"/>
      <c r="L51" s="917"/>
      <c r="M51" s="917"/>
      <c r="N51" s="917"/>
      <c r="O51" s="917"/>
      <c r="P51" s="917"/>
    </row>
    <row r="52" spans="3:16" s="544" customFormat="1" ht="15">
      <c r="C52" s="560"/>
      <c r="D52" s="917"/>
      <c r="E52" s="917"/>
      <c r="F52" s="917"/>
      <c r="G52" s="917"/>
      <c r="H52" s="917"/>
      <c r="I52" s="917"/>
      <c r="J52" s="946"/>
      <c r="K52" s="917"/>
      <c r="L52" s="917"/>
      <c r="M52" s="917"/>
      <c r="N52" s="917"/>
      <c r="O52" s="917"/>
      <c r="P52" s="917"/>
    </row>
    <row r="53" spans="1:16" s="544" customFormat="1" ht="15">
      <c r="A53" s="947">
        <v>21</v>
      </c>
      <c r="C53" s="560" t="s">
        <v>1156</v>
      </c>
      <c r="D53" s="917" t="s">
        <v>1510</v>
      </c>
      <c r="E53" s="917"/>
      <c r="F53" s="917"/>
      <c r="G53" s="917"/>
      <c r="H53" s="917"/>
      <c r="I53" s="917"/>
      <c r="J53" s="598">
        <f>J51/12</f>
        <v>0</v>
      </c>
      <c r="K53" s="917"/>
      <c r="L53" s="917"/>
      <c r="M53" s="917"/>
      <c r="N53" s="917"/>
      <c r="O53" s="917"/>
      <c r="P53" s="917"/>
    </row>
    <row r="54" spans="1:16" s="544" customFormat="1" ht="15">
      <c r="A54" s="947"/>
      <c r="C54" s="560"/>
      <c r="D54" s="917"/>
      <c r="E54" s="917"/>
      <c r="F54" s="917"/>
      <c r="G54" s="917"/>
      <c r="H54" s="917"/>
      <c r="I54" s="917"/>
      <c r="J54" s="945"/>
      <c r="K54" s="917"/>
      <c r="L54" s="917"/>
      <c r="M54" s="917"/>
      <c r="N54" s="917"/>
      <c r="O54" s="917"/>
      <c r="P54" s="917"/>
    </row>
    <row r="55" spans="1:16" s="544" customFormat="1" ht="15.75" customHeight="1">
      <c r="A55" s="947">
        <v>22</v>
      </c>
      <c r="C55" s="560" t="s">
        <v>1797</v>
      </c>
      <c r="D55" s="942" t="s">
        <v>819</v>
      </c>
      <c r="F55" s="917"/>
      <c r="G55" s="917"/>
      <c r="H55" s="948"/>
      <c r="I55" s="917"/>
      <c r="J55" s="949">
        <f>'A-3 (Retail Adder)'!I31</f>
        <v>494029.66383883246</v>
      </c>
      <c r="K55" s="917"/>
      <c r="L55" s="917"/>
      <c r="M55" s="917"/>
      <c r="N55" s="917"/>
      <c r="O55" s="917"/>
      <c r="P55" s="917"/>
    </row>
    <row r="56" spans="3:16" s="544" customFormat="1" ht="15">
      <c r="C56" s="560"/>
      <c r="D56" s="917"/>
      <c r="E56" s="917"/>
      <c r="F56" s="917"/>
      <c r="G56" s="917"/>
      <c r="H56" s="917"/>
      <c r="I56" s="917"/>
      <c r="J56" s="945"/>
      <c r="K56" s="917"/>
      <c r="L56" s="917"/>
      <c r="M56" s="917"/>
      <c r="N56" s="917"/>
      <c r="O56" s="917"/>
      <c r="P56" s="917"/>
    </row>
    <row r="58" ht="15.75">
      <c r="C58" s="165" t="s">
        <v>16</v>
      </c>
    </row>
    <row r="59" ht="15">
      <c r="C59" s="94" t="s">
        <v>331</v>
      </c>
    </row>
    <row r="60" ht="15">
      <c r="C60" s="543" t="s">
        <v>145</v>
      </c>
    </row>
    <row r="61" ht="15">
      <c r="C61" s="94" t="s">
        <v>332</v>
      </c>
    </row>
    <row r="62" spans="1:6" ht="15">
      <c r="A62" s="699" t="s">
        <v>1100</v>
      </c>
      <c r="B62" s="555" t="s">
        <v>1100</v>
      </c>
      <c r="C62" s="733" t="s">
        <v>281</v>
      </c>
      <c r="D62" s="733"/>
      <c r="E62" s="733"/>
      <c r="F62" s="733"/>
    </row>
    <row r="63" spans="3:6" ht="15">
      <c r="C63" s="733"/>
      <c r="D63" s="733"/>
      <c r="E63" s="733"/>
      <c r="F63" s="733"/>
    </row>
  </sheetData>
  <sheetProtection/>
  <mergeCells count="7">
    <mergeCell ref="C6:I6"/>
    <mergeCell ref="C7:I7"/>
    <mergeCell ref="C5:I5"/>
    <mergeCell ref="C1:I1"/>
    <mergeCell ref="C2:I2"/>
    <mergeCell ref="C4:I4"/>
    <mergeCell ref="C3:I3"/>
  </mergeCells>
  <printOptions horizontalCentered="1"/>
  <pageMargins left="0.57" right="0.3" top="0.77" bottom="0.75" header="0.5" footer="0.5"/>
  <pageSetup fitToHeight="6" fitToWidth="1" horizontalDpi="600" verticalDpi="600" orientation="portrait" scale="46" r:id="rId1"/>
  <headerFooter alignWithMargins="0">
    <oddFooter>&amp;L&amp;D&amp;R&amp;F</oddFooter>
  </headerFooter>
</worksheet>
</file>

<file path=xl/worksheets/sheet2.xml><?xml version="1.0" encoding="utf-8"?>
<worksheet xmlns="http://schemas.openxmlformats.org/spreadsheetml/2006/main" xmlns:r="http://schemas.openxmlformats.org/officeDocument/2006/relationships">
  <sheetPr>
    <tabColor indexed="22"/>
    <pageSetUpPr fitToPage="1"/>
  </sheetPr>
  <dimension ref="A1:P39"/>
  <sheetViews>
    <sheetView zoomScale="75" zoomScaleNormal="75" zoomScalePageLayoutView="0" workbookViewId="0" topLeftCell="A1">
      <selection activeCell="A1" sqref="A1"/>
    </sheetView>
  </sheetViews>
  <sheetFormatPr defaultColWidth="8.88671875" defaultRowHeight="15"/>
  <cols>
    <col min="1" max="1" width="6.77734375" style="543" customWidth="1"/>
    <col min="2" max="2" width="3.77734375" style="543" customWidth="1"/>
    <col min="3" max="3" width="35.4453125" style="543" customWidth="1"/>
    <col min="4" max="4" width="42.3359375" style="543" customWidth="1"/>
    <col min="5" max="5" width="13.77734375" style="543" customWidth="1"/>
    <col min="6" max="6" width="14.77734375" style="543" customWidth="1"/>
    <col min="7" max="7" width="5.77734375" style="543" customWidth="1"/>
    <col min="8" max="8" width="12.77734375" style="543" customWidth="1"/>
    <col min="9" max="9" width="3.77734375" style="543" customWidth="1"/>
    <col min="10" max="10" width="21.3359375" style="543" customWidth="1"/>
    <col min="11" max="11" width="3.77734375" style="543" customWidth="1"/>
    <col min="12" max="12" width="6.77734375" style="543" customWidth="1"/>
    <col min="13" max="13" width="1.88671875" style="543" customWidth="1"/>
    <col min="14" max="14" width="11.3359375" style="543" customWidth="1"/>
    <col min="15" max="16384" width="8.88671875" style="543" customWidth="1"/>
  </cols>
  <sheetData>
    <row r="1" spans="1:16" ht="18">
      <c r="A1" s="10" t="s">
        <v>816</v>
      </c>
      <c r="B1" s="10"/>
      <c r="C1" s="1426" t="s">
        <v>1058</v>
      </c>
      <c r="D1" s="1423"/>
      <c r="E1" s="1423"/>
      <c r="F1" s="1423"/>
      <c r="G1" s="1423"/>
      <c r="H1" s="1423"/>
      <c r="I1" s="1423"/>
      <c r="J1" s="697" t="s">
        <v>1808</v>
      </c>
      <c r="K1" s="553"/>
      <c r="L1" s="553"/>
      <c r="M1" s="553"/>
      <c r="N1" s="553"/>
      <c r="O1" s="553"/>
      <c r="P1" s="553"/>
    </row>
    <row r="2" spans="3:16" ht="18">
      <c r="C2" s="1426" t="s">
        <v>248</v>
      </c>
      <c r="D2" s="1423"/>
      <c r="E2" s="1423"/>
      <c r="F2" s="1423"/>
      <c r="G2" s="1423"/>
      <c r="H2" s="1423"/>
      <c r="I2" s="1423"/>
      <c r="J2" s="912" t="s">
        <v>18</v>
      </c>
      <c r="K2" s="553"/>
      <c r="L2" s="553"/>
      <c r="M2" s="553"/>
      <c r="N2" s="553"/>
      <c r="O2" s="553"/>
      <c r="P2" s="553"/>
    </row>
    <row r="3" spans="3:16" ht="18">
      <c r="C3" s="1426" t="s">
        <v>1399</v>
      </c>
      <c r="D3" s="1426"/>
      <c r="E3" s="1426"/>
      <c r="F3" s="1426"/>
      <c r="G3" s="1426"/>
      <c r="H3" s="1426"/>
      <c r="I3" s="1426"/>
      <c r="J3" s="912"/>
      <c r="K3" s="553"/>
      <c r="L3" s="553"/>
      <c r="M3" s="553"/>
      <c r="N3" s="553"/>
      <c r="O3" s="553"/>
      <c r="P3" s="553"/>
    </row>
    <row r="4" spans="3:16" ht="18">
      <c r="C4" s="1427" t="s">
        <v>809</v>
      </c>
      <c r="D4" s="1428"/>
      <c r="E4" s="1428"/>
      <c r="F4" s="1428"/>
      <c r="G4" s="1428"/>
      <c r="H4" s="1428"/>
      <c r="I4" s="1428"/>
      <c r="K4" s="553"/>
      <c r="L4" s="553"/>
      <c r="M4" s="553"/>
      <c r="N4" s="553"/>
      <c r="O4" s="553"/>
      <c r="P4" s="553"/>
    </row>
    <row r="5" spans="3:16" ht="18">
      <c r="C5" s="1424"/>
      <c r="D5" s="1425"/>
      <c r="E5" s="1425"/>
      <c r="F5" s="1425"/>
      <c r="G5" s="1425"/>
      <c r="H5" s="1425"/>
      <c r="I5" s="1425"/>
      <c r="K5" s="553"/>
      <c r="L5" s="553"/>
      <c r="M5" s="553"/>
      <c r="N5" s="553"/>
      <c r="O5" s="553"/>
      <c r="P5" s="553"/>
    </row>
    <row r="6" spans="1:16" ht="18">
      <c r="A6" s="679"/>
      <c r="C6" s="1422" t="s">
        <v>779</v>
      </c>
      <c r="D6" s="1423"/>
      <c r="E6" s="1423"/>
      <c r="F6" s="1423"/>
      <c r="G6" s="1423"/>
      <c r="H6" s="1423"/>
      <c r="I6" s="1423"/>
      <c r="K6" s="553"/>
      <c r="L6" s="553"/>
      <c r="M6" s="553"/>
      <c r="N6" s="553"/>
      <c r="O6" s="553"/>
      <c r="P6" s="553"/>
    </row>
    <row r="7" spans="1:16" ht="18">
      <c r="A7" s="679"/>
      <c r="C7" s="1422" t="s">
        <v>1163</v>
      </c>
      <c r="D7" s="1423"/>
      <c r="E7" s="1423"/>
      <c r="F7" s="1423"/>
      <c r="G7" s="1423"/>
      <c r="H7" s="1423"/>
      <c r="I7" s="1423"/>
      <c r="J7" s="553"/>
      <c r="K7" s="553"/>
      <c r="L7" s="553"/>
      <c r="M7" s="553"/>
      <c r="N7" s="553"/>
      <c r="O7" s="553"/>
      <c r="P7" s="553"/>
    </row>
    <row r="8" spans="1:16" ht="18">
      <c r="A8" s="679"/>
      <c r="C8" s="700" t="s">
        <v>1121</v>
      </c>
      <c r="D8" s="700" t="s">
        <v>1122</v>
      </c>
      <c r="E8" s="701" t="s">
        <v>1147</v>
      </c>
      <c r="F8" s="629" t="s">
        <v>1148</v>
      </c>
      <c r="G8" s="629"/>
      <c r="H8" s="700" t="s">
        <v>1149</v>
      </c>
      <c r="I8" s="626"/>
      <c r="J8" s="1251" t="s">
        <v>1355</v>
      </c>
      <c r="K8" s="553"/>
      <c r="L8" s="553"/>
      <c r="M8" s="553"/>
      <c r="N8" s="553"/>
      <c r="O8" s="553"/>
      <c r="P8" s="553"/>
    </row>
    <row r="9" spans="1:16" ht="15">
      <c r="A9" s="679" t="s">
        <v>1101</v>
      </c>
      <c r="F9" s="553"/>
      <c r="G9" s="553"/>
      <c r="H9" s="553"/>
      <c r="I9" s="553"/>
      <c r="J9" s="679" t="s">
        <v>1102</v>
      </c>
      <c r="K9" s="553"/>
      <c r="L9" s="553"/>
      <c r="M9" s="553"/>
      <c r="N9" s="553"/>
      <c r="O9" s="553"/>
      <c r="P9" s="553"/>
    </row>
    <row r="10" spans="1:16" ht="15.75" thickBot="1">
      <c r="A10" s="591" t="s">
        <v>1103</v>
      </c>
      <c r="D10" s="543" t="s">
        <v>590</v>
      </c>
      <c r="E10" s="553"/>
      <c r="F10" s="553"/>
      <c r="G10" s="553"/>
      <c r="H10" s="553"/>
      <c r="I10" s="553"/>
      <c r="J10" s="916" t="s">
        <v>1104</v>
      </c>
      <c r="K10" s="553"/>
      <c r="L10" s="553"/>
      <c r="M10" s="553"/>
      <c r="N10" s="553"/>
      <c r="O10" s="553"/>
      <c r="P10" s="553"/>
    </row>
    <row r="11" spans="1:16" ht="15.75">
      <c r="A11" s="916"/>
      <c r="B11" s="913"/>
      <c r="C11" s="235" t="s">
        <v>238</v>
      </c>
      <c r="D11" s="913"/>
      <c r="E11" s="914"/>
      <c r="F11" s="914"/>
      <c r="G11" s="914"/>
      <c r="H11" s="914"/>
      <c r="I11" s="914"/>
      <c r="J11" s="915"/>
      <c r="K11" s="553"/>
      <c r="L11" s="553"/>
      <c r="M11" s="553"/>
      <c r="N11" s="553"/>
      <c r="O11" s="553"/>
      <c r="P11" s="553"/>
    </row>
    <row r="12" spans="1:16" ht="15">
      <c r="A12" s="916"/>
      <c r="E12" s="553"/>
      <c r="F12" s="553"/>
      <c r="G12" s="553"/>
      <c r="H12" s="553"/>
      <c r="I12" s="553"/>
      <c r="J12" s="916"/>
      <c r="K12" s="553"/>
      <c r="L12" s="553"/>
      <c r="M12" s="553"/>
      <c r="N12" s="553"/>
      <c r="O12" s="553"/>
      <c r="P12" s="553"/>
    </row>
    <row r="13" spans="1:16" ht="15">
      <c r="A13" s="679">
        <v>1</v>
      </c>
      <c r="C13" s="553" t="s">
        <v>1162</v>
      </c>
      <c r="D13" s="917" t="s">
        <v>356</v>
      </c>
      <c r="E13" s="782"/>
      <c r="F13" s="553"/>
      <c r="G13" s="553"/>
      <c r="H13" s="553"/>
      <c r="I13" s="553"/>
      <c r="J13" s="918">
        <f>'Actual Gross Rev'!L126</f>
        <v>109901598.57491049</v>
      </c>
      <c r="K13" s="553"/>
      <c r="L13" s="553"/>
      <c r="M13" s="553"/>
      <c r="N13" s="553"/>
      <c r="O13" s="553"/>
      <c r="P13" s="553"/>
    </row>
    <row r="14" spans="1:16" ht="15">
      <c r="A14" s="679"/>
      <c r="C14" s="553"/>
      <c r="D14" s="553"/>
      <c r="E14" s="553"/>
      <c r="F14" s="553"/>
      <c r="G14" s="553"/>
      <c r="H14" s="553"/>
      <c r="I14" s="553"/>
      <c r="J14" s="782"/>
      <c r="K14" s="553"/>
      <c r="L14" s="553"/>
      <c r="M14" s="553"/>
      <c r="N14" s="553"/>
      <c r="O14" s="553"/>
      <c r="P14" s="553"/>
    </row>
    <row r="15" spans="1:16" ht="15.75" thickBot="1">
      <c r="A15" s="679" t="s">
        <v>1100</v>
      </c>
      <c r="C15" s="548" t="s">
        <v>1105</v>
      </c>
      <c r="D15" s="547"/>
      <c r="E15" s="591" t="s">
        <v>1106</v>
      </c>
      <c r="F15" s="545"/>
      <c r="G15" s="919" t="s">
        <v>1107</v>
      </c>
      <c r="H15" s="919"/>
      <c r="I15" s="553"/>
      <c r="J15" s="782"/>
      <c r="K15" s="553"/>
      <c r="L15" s="553"/>
      <c r="M15" s="553"/>
      <c r="N15" s="917"/>
      <c r="O15" s="553"/>
      <c r="P15" s="553"/>
    </row>
    <row r="16" spans="1:16" ht="15">
      <c r="A16" s="679">
        <v>2</v>
      </c>
      <c r="C16" s="548" t="s">
        <v>1109</v>
      </c>
      <c r="D16" s="547" t="s">
        <v>1401</v>
      </c>
      <c r="E16" s="920">
        <f>'A-1 (Rev. Credit)'!K90+'A-1 (Rev. Credit)'!R90</f>
        <v>3631318.0047230404</v>
      </c>
      <c r="F16" s="545"/>
      <c r="G16" s="545"/>
      <c r="H16" s="921">
        <v>1</v>
      </c>
      <c r="I16" s="545"/>
      <c r="J16" s="922">
        <f>E16*H16</f>
        <v>3631318.0047230404</v>
      </c>
      <c r="K16" s="553"/>
      <c r="L16" s="553"/>
      <c r="M16" s="553"/>
      <c r="N16" s="553"/>
      <c r="O16" s="553"/>
      <c r="P16" s="553"/>
    </row>
    <row r="17" spans="1:16" ht="15">
      <c r="A17" s="679">
        <v>3</v>
      </c>
      <c r="C17" s="553" t="s">
        <v>1798</v>
      </c>
      <c r="D17" s="553" t="s">
        <v>353</v>
      </c>
      <c r="E17" s="923">
        <f>'A-1 (Rev. Credit)'!F36</f>
        <v>14308414</v>
      </c>
      <c r="F17" s="545"/>
      <c r="G17" s="545"/>
      <c r="H17" s="921">
        <f>H16</f>
        <v>1</v>
      </c>
      <c r="I17" s="545"/>
      <c r="J17" s="924">
        <f>E17*H17</f>
        <v>14308414</v>
      </c>
      <c r="K17" s="553"/>
      <c r="L17" s="553"/>
      <c r="M17" s="553"/>
      <c r="N17" s="553"/>
      <c r="O17" s="553"/>
      <c r="P17" s="553"/>
    </row>
    <row r="18" spans="1:16" ht="15">
      <c r="A18" s="679">
        <v>4</v>
      </c>
      <c r="C18" s="925" t="s">
        <v>354</v>
      </c>
      <c r="D18" s="545"/>
      <c r="E18" s="932">
        <f>'A-1 (Rev. Credit)'!G106</f>
        <v>0</v>
      </c>
      <c r="F18" s="545"/>
      <c r="G18" s="545"/>
      <c r="H18" s="921">
        <f>H17</f>
        <v>1</v>
      </c>
      <c r="I18" s="545"/>
      <c r="J18" s="924">
        <f>E18*H18</f>
        <v>0</v>
      </c>
      <c r="K18" s="553"/>
      <c r="L18" s="553"/>
      <c r="M18" s="553"/>
      <c r="N18" s="553"/>
      <c r="O18" s="553"/>
      <c r="P18" s="553"/>
    </row>
    <row r="19" spans="1:16" ht="15">
      <c r="A19" s="679">
        <v>5</v>
      </c>
      <c r="C19" s="925" t="s">
        <v>355</v>
      </c>
      <c r="D19" s="545"/>
      <c r="E19" s="932">
        <f>'A-1 (Rev. Credit)'!G108</f>
        <v>0</v>
      </c>
      <c r="F19" s="545"/>
      <c r="G19" s="545"/>
      <c r="H19" s="921">
        <f>H18</f>
        <v>1</v>
      </c>
      <c r="I19" s="545"/>
      <c r="J19" s="926">
        <f>E19*H19</f>
        <v>0</v>
      </c>
      <c r="K19" s="553"/>
      <c r="L19" s="553"/>
      <c r="M19" s="553"/>
      <c r="N19" s="553"/>
      <c r="O19" s="553"/>
      <c r="P19" s="553"/>
    </row>
    <row r="20" spans="1:16" ht="15">
      <c r="A20" s="679">
        <v>6</v>
      </c>
      <c r="C20" s="548" t="s">
        <v>1799</v>
      </c>
      <c r="D20" s="553"/>
      <c r="E20" s="929" t="s">
        <v>1100</v>
      </c>
      <c r="F20" s="545"/>
      <c r="G20" s="545"/>
      <c r="H20" s="716"/>
      <c r="I20" s="545"/>
      <c r="J20" s="552">
        <f>SUM(J16:J19)</f>
        <v>17939732.004723042</v>
      </c>
      <c r="K20" s="553"/>
      <c r="L20" s="553"/>
      <c r="M20" s="553"/>
      <c r="N20" s="553"/>
      <c r="O20" s="553"/>
      <c r="P20" s="553"/>
    </row>
    <row r="21" spans="1:16" ht="15">
      <c r="A21" s="679"/>
      <c r="D21" s="553"/>
      <c r="E21" s="545" t="s">
        <v>1100</v>
      </c>
      <c r="F21" s="553"/>
      <c r="G21" s="553"/>
      <c r="H21" s="716"/>
      <c r="I21" s="553"/>
      <c r="K21" s="553"/>
      <c r="L21" s="553"/>
      <c r="M21" s="553"/>
      <c r="N21" s="553"/>
      <c r="O21" s="553"/>
      <c r="P21" s="553"/>
    </row>
    <row r="22" spans="1:16" ht="15.75">
      <c r="A22" s="679">
        <v>7</v>
      </c>
      <c r="C22" s="548" t="s">
        <v>1085</v>
      </c>
      <c r="D22" s="553" t="s">
        <v>599</v>
      </c>
      <c r="E22" s="929" t="s">
        <v>1100</v>
      </c>
      <c r="F22" s="545"/>
      <c r="G22" s="545"/>
      <c r="H22" s="545"/>
      <c r="I22" s="545"/>
      <c r="J22" s="236">
        <f>+J13-J20</f>
        <v>91961866.57018745</v>
      </c>
      <c r="K22" s="553"/>
      <c r="L22" s="553" t="s">
        <v>1100</v>
      </c>
      <c r="M22" s="553"/>
      <c r="N22" s="553"/>
      <c r="O22" s="553"/>
      <c r="P22" s="553"/>
    </row>
    <row r="23" spans="1:16" ht="15">
      <c r="A23" s="679"/>
      <c r="C23" s="548"/>
      <c r="D23" s="553"/>
      <c r="E23" s="929"/>
      <c r="F23" s="545"/>
      <c r="G23" s="545"/>
      <c r="H23" s="545"/>
      <c r="I23" s="545"/>
      <c r="J23" s="930"/>
      <c r="K23" s="553"/>
      <c r="L23" s="553"/>
      <c r="M23" s="553"/>
      <c r="N23" s="553"/>
      <c r="O23" s="553"/>
      <c r="P23" s="553"/>
    </row>
    <row r="24" spans="1:16" s="544" customFormat="1" ht="15">
      <c r="A24" s="702">
        <v>8</v>
      </c>
      <c r="B24" s="237"/>
      <c r="C24" s="560" t="s">
        <v>38</v>
      </c>
      <c r="D24" s="917"/>
      <c r="E24" s="928"/>
      <c r="F24" s="547"/>
      <c r="G24" s="547"/>
      <c r="I24" s="547"/>
      <c r="J24" s="932">
        <f>'A-9 (Act. BPF Projects)'!E10</f>
        <v>5510696</v>
      </c>
      <c r="K24" s="917"/>
      <c r="L24" s="917"/>
      <c r="M24" s="917"/>
      <c r="N24" s="917"/>
      <c r="O24" s="917"/>
      <c r="P24" s="917"/>
    </row>
    <row r="25" spans="1:16" s="544" customFormat="1" ht="15">
      <c r="A25" s="702">
        <v>9</v>
      </c>
      <c r="B25" s="237"/>
      <c r="C25" s="560" t="s">
        <v>39</v>
      </c>
      <c r="D25" s="917"/>
      <c r="E25" s="928"/>
      <c r="F25" s="547"/>
      <c r="G25" s="547"/>
      <c r="I25" s="547"/>
      <c r="J25" s="932">
        <f>'A-12 (Act. Econ Projects)'!E10</f>
        <v>0</v>
      </c>
      <c r="K25" s="917"/>
      <c r="L25" s="917"/>
      <c r="M25" s="917"/>
      <c r="N25" s="917"/>
      <c r="O25" s="917"/>
      <c r="P25" s="917"/>
    </row>
    <row r="26" spans="1:16" s="544" customFormat="1" ht="15">
      <c r="A26" s="702"/>
      <c r="C26" s="560"/>
      <c r="D26" s="917"/>
      <c r="E26" s="928"/>
      <c r="F26" s="547"/>
      <c r="G26" s="547"/>
      <c r="H26" s="547"/>
      <c r="I26" s="547"/>
      <c r="J26" s="930"/>
      <c r="K26" s="917"/>
      <c r="L26" s="917"/>
      <c r="M26" s="917"/>
      <c r="N26" s="917"/>
      <c r="O26" s="917"/>
      <c r="P26" s="917"/>
    </row>
    <row r="27" spans="1:16" s="544" customFormat="1" ht="15.75" thickBot="1">
      <c r="A27" s="702">
        <v>10</v>
      </c>
      <c r="C27" s="560" t="s">
        <v>1654</v>
      </c>
      <c r="E27" s="928"/>
      <c r="F27" s="547"/>
      <c r="G27" s="547"/>
      <c r="H27" s="547"/>
      <c r="I27" s="547"/>
      <c r="J27" s="1252">
        <f>+J22-J24-J25</f>
        <v>86451170.57018745</v>
      </c>
      <c r="K27" s="917"/>
      <c r="L27" s="917"/>
      <c r="M27" s="917"/>
      <c r="N27" s="917"/>
      <c r="O27" s="917"/>
      <c r="P27" s="917"/>
    </row>
    <row r="28" spans="1:16" s="544" customFormat="1" ht="15.75" thickTop="1">
      <c r="A28" s="702"/>
      <c r="D28" s="547"/>
      <c r="J28" s="547"/>
      <c r="K28" s="917"/>
      <c r="L28" s="917"/>
      <c r="M28" s="917"/>
      <c r="N28" s="917"/>
      <c r="O28" s="917"/>
      <c r="P28" s="917"/>
    </row>
    <row r="29" spans="1:16" s="544" customFormat="1" ht="15">
      <c r="A29" s="702">
        <v>11</v>
      </c>
      <c r="C29" s="560" t="s">
        <v>994</v>
      </c>
      <c r="D29" s="917" t="s">
        <v>995</v>
      </c>
      <c r="E29" s="917"/>
      <c r="F29" s="917"/>
      <c r="G29" s="917"/>
      <c r="H29" s="917"/>
      <c r="I29" s="917"/>
      <c r="J29" s="1253">
        <f>'Actual Gross Rev'!L35</f>
        <v>549986917.8597895</v>
      </c>
      <c r="K29" s="917"/>
      <c r="L29" s="917"/>
      <c r="M29" s="917"/>
      <c r="N29" s="917"/>
      <c r="O29" s="917"/>
      <c r="P29" s="917"/>
    </row>
    <row r="30" spans="1:10" ht="15">
      <c r="A30" s="702"/>
      <c r="B30" s="544"/>
      <c r="C30" s="544"/>
      <c r="D30" s="917"/>
      <c r="E30" s="928"/>
      <c r="F30" s="545"/>
      <c r="G30" s="545"/>
      <c r="H30" s="545"/>
      <c r="I30" s="545"/>
      <c r="J30" s="930"/>
    </row>
    <row r="31" spans="1:10" ht="15">
      <c r="A31" s="702">
        <v>12</v>
      </c>
      <c r="B31" s="544"/>
      <c r="C31" s="544" t="s">
        <v>411</v>
      </c>
      <c r="D31" s="917" t="s">
        <v>412</v>
      </c>
      <c r="E31" s="928"/>
      <c r="F31" s="545"/>
      <c r="G31" s="545"/>
      <c r="H31" s="545"/>
      <c r="I31" s="545"/>
      <c r="J31" s="1254">
        <f>IF(J29=0,0,J22/J29)</f>
        <v>0.1672073709099235</v>
      </c>
    </row>
    <row r="32" spans="1:10" ht="15">
      <c r="A32" s="702"/>
      <c r="B32" s="544"/>
      <c r="C32" s="544"/>
      <c r="D32" s="917"/>
      <c r="E32" s="928"/>
      <c r="F32" s="545"/>
      <c r="G32" s="545"/>
      <c r="H32" s="545"/>
      <c r="I32" s="545"/>
      <c r="J32" s="930"/>
    </row>
    <row r="33" spans="1:10" ht="15">
      <c r="A33" s="702"/>
      <c r="B33" s="544"/>
      <c r="C33" s="544"/>
      <c r="D33" s="917"/>
      <c r="E33" s="928"/>
      <c r="F33" s="545"/>
      <c r="G33" s="545"/>
      <c r="H33" s="545"/>
      <c r="I33" s="545"/>
      <c r="J33" s="930"/>
    </row>
    <row r="34" spans="1:10" ht="15">
      <c r="A34" s="702"/>
      <c r="B34" s="544"/>
      <c r="C34" s="544"/>
      <c r="D34" s="917"/>
      <c r="E34" s="928"/>
      <c r="F34" s="545"/>
      <c r="G34" s="545"/>
      <c r="H34" s="545"/>
      <c r="I34" s="545"/>
      <c r="J34" s="930"/>
    </row>
    <row r="35" spans="1:10" ht="15">
      <c r="A35" s="702"/>
      <c r="B35" s="544"/>
      <c r="C35" s="544"/>
      <c r="D35" s="917"/>
      <c r="E35" s="928"/>
      <c r="F35" s="545"/>
      <c r="G35" s="545"/>
      <c r="H35" s="545"/>
      <c r="I35" s="545"/>
      <c r="J35" s="930"/>
    </row>
    <row r="36" spans="1:10" ht="15">
      <c r="A36" s="702"/>
      <c r="B36" s="544"/>
      <c r="C36" s="544"/>
      <c r="D36" s="917"/>
      <c r="E36" s="928"/>
      <c r="F36" s="545"/>
      <c r="G36" s="545"/>
      <c r="H36" s="545"/>
      <c r="I36" s="545"/>
      <c r="J36" s="930"/>
    </row>
    <row r="37" ht="15">
      <c r="C37" s="94"/>
    </row>
    <row r="38" spans="1:6" ht="15">
      <c r="A38" s="699" t="s">
        <v>1100</v>
      </c>
      <c r="B38" s="555" t="s">
        <v>1100</v>
      </c>
      <c r="C38" s="733"/>
      <c r="D38" s="733"/>
      <c r="E38" s="733"/>
      <c r="F38" s="733"/>
    </row>
    <row r="39" spans="3:6" ht="15">
      <c r="C39" s="733"/>
      <c r="D39" s="733"/>
      <c r="E39" s="733"/>
      <c r="F39" s="733"/>
    </row>
  </sheetData>
  <sheetProtection/>
  <mergeCells count="7">
    <mergeCell ref="C6:I6"/>
    <mergeCell ref="C7:I7"/>
    <mergeCell ref="C5:I5"/>
    <mergeCell ref="C1:I1"/>
    <mergeCell ref="C2:I2"/>
    <mergeCell ref="C4:I4"/>
    <mergeCell ref="C3:I3"/>
  </mergeCells>
  <printOptions horizontalCentered="1"/>
  <pageMargins left="0.57" right="0.3" top="0.77" bottom="0.75" header="0.5" footer="0.5"/>
  <pageSetup fitToHeight="6" fitToWidth="1" horizontalDpi="600" verticalDpi="600" orientation="portrait" scale="51" r:id="rId1"/>
  <headerFooter alignWithMargins="0">
    <oddFooter>&amp;L&amp;D&amp;R&amp;F</oddFooter>
  </headerFooter>
</worksheet>
</file>

<file path=xl/worksheets/sheet20.xml><?xml version="1.0" encoding="utf-8"?>
<worksheet xmlns="http://schemas.openxmlformats.org/spreadsheetml/2006/main" xmlns:r="http://schemas.openxmlformats.org/officeDocument/2006/relationships">
  <sheetPr>
    <tabColor indexed="22"/>
  </sheetPr>
  <dimension ref="A1:R293"/>
  <sheetViews>
    <sheetView view="pageBreakPreview" zoomScale="60" zoomScaleNormal="50" zoomScalePageLayoutView="0" workbookViewId="0" topLeftCell="A1">
      <selection activeCell="F37" sqref="F37"/>
    </sheetView>
  </sheetViews>
  <sheetFormatPr defaultColWidth="8.88671875" defaultRowHeight="15"/>
  <cols>
    <col min="1" max="1" width="5.88671875" style="543" customWidth="1"/>
    <col min="2" max="2" width="2.10546875" style="543" customWidth="1"/>
    <col min="3" max="3" width="41.5546875" style="543" customWidth="1"/>
    <col min="4" max="4" width="41.88671875" style="543" customWidth="1"/>
    <col min="5" max="5" width="19.99609375" style="543" customWidth="1"/>
    <col min="6" max="6" width="18.4453125" style="543" customWidth="1"/>
    <col min="7" max="7" width="18.3359375" style="543" bestFit="1" customWidth="1"/>
    <col min="8" max="8" width="11.6640625" style="543" customWidth="1"/>
    <col min="9" max="9" width="4.5546875" style="543" customWidth="1"/>
    <col min="10" max="10" width="12.77734375" style="543" customWidth="1"/>
    <col min="11" max="11" width="3.77734375" style="543" customWidth="1"/>
    <col min="12" max="12" width="14.99609375" style="543" customWidth="1"/>
    <col min="13" max="13" width="3.6640625" style="543" customWidth="1"/>
    <col min="14" max="14" width="8.10546875" style="543" customWidth="1"/>
    <col min="15" max="15" width="2.3359375" style="543" customWidth="1"/>
    <col min="16" max="16" width="32.21484375" style="543" customWidth="1"/>
    <col min="17" max="17" width="8.88671875" style="543" customWidth="1"/>
    <col min="18" max="18" width="15.3359375" style="543" bestFit="1" customWidth="1"/>
    <col min="19" max="16384" width="8.88671875" style="543" customWidth="1"/>
  </cols>
  <sheetData>
    <row r="1" spans="3:18" s="10" customFormat="1" ht="15">
      <c r="C1" s="2"/>
      <c r="D1" s="1429" t="s">
        <v>1099</v>
      </c>
      <c r="E1" s="1429"/>
      <c r="F1" s="1429"/>
      <c r="G1" s="1430"/>
      <c r="H1" s="1430"/>
      <c r="I1" s="2"/>
      <c r="L1" s="79"/>
      <c r="M1" s="2"/>
      <c r="N1" s="79" t="s">
        <v>119</v>
      </c>
      <c r="O1" s="2"/>
      <c r="P1" s="2"/>
      <c r="Q1" s="2"/>
      <c r="R1" s="2"/>
    </row>
    <row r="2" spans="3:18" s="10" customFormat="1" ht="15">
      <c r="C2" s="2"/>
      <c r="D2" s="1431" t="s">
        <v>249</v>
      </c>
      <c r="E2" s="1431"/>
      <c r="F2" s="1431"/>
      <c r="G2" s="1430"/>
      <c r="H2" s="1430"/>
      <c r="I2" s="4"/>
      <c r="J2" s="4"/>
      <c r="M2" s="4"/>
      <c r="N2" s="84" t="s">
        <v>23</v>
      </c>
      <c r="O2" s="4"/>
      <c r="P2" s="1"/>
      <c r="Q2" s="4"/>
      <c r="R2" s="2"/>
    </row>
    <row r="3" spans="3:18" s="10" customFormat="1" ht="15">
      <c r="C3" s="2"/>
      <c r="D3" s="1431" t="s">
        <v>1072</v>
      </c>
      <c r="E3" s="1431"/>
      <c r="F3" s="1431"/>
      <c r="G3" s="1431"/>
      <c r="H3" s="1431"/>
      <c r="I3" s="4"/>
      <c r="J3" s="4"/>
      <c r="M3" s="4"/>
      <c r="N3" s="84"/>
      <c r="O3" s="4"/>
      <c r="P3" s="1"/>
      <c r="Q3" s="4"/>
      <c r="R3" s="2"/>
    </row>
    <row r="4" spans="1:18" ht="18">
      <c r="A4" s="10"/>
      <c r="B4" s="10"/>
      <c r="C4" s="2"/>
      <c r="D4" s="1454" t="str">
        <f>+'Projected Net Rev Req'!C4</f>
        <v>For the 12 months ended - December 31, 20xx</v>
      </c>
      <c r="E4" s="1454"/>
      <c r="F4" s="1454"/>
      <c r="G4" s="1454"/>
      <c r="H4" s="1454"/>
      <c r="I4" s="285"/>
      <c r="J4" s="285"/>
      <c r="K4" s="548"/>
      <c r="M4" s="545"/>
      <c r="O4" s="545"/>
      <c r="P4" s="545"/>
      <c r="Q4" s="545"/>
      <c r="R4" s="548"/>
    </row>
    <row r="5" spans="3:18" ht="15">
      <c r="C5" s="548"/>
      <c r="D5" s="545"/>
      <c r="E5" s="545"/>
      <c r="F5" s="545"/>
      <c r="G5" s="590"/>
      <c r="H5" s="545"/>
      <c r="I5" s="545"/>
      <c r="J5" s="545"/>
      <c r="K5" s="548"/>
      <c r="M5" s="545"/>
      <c r="N5" s="545"/>
      <c r="O5" s="545"/>
      <c r="P5" s="545"/>
      <c r="Q5" s="545"/>
      <c r="R5" s="548"/>
    </row>
    <row r="6" spans="3:18" ht="15">
      <c r="C6" s="548"/>
      <c r="D6" s="1434" t="s">
        <v>1356</v>
      </c>
      <c r="E6" s="1434"/>
      <c r="F6" s="1434"/>
      <c r="G6" s="1433"/>
      <c r="H6" s="1433"/>
      <c r="I6" s="545"/>
      <c r="J6" s="545"/>
      <c r="K6" s="545"/>
      <c r="M6" s="545"/>
      <c r="N6" s="545"/>
      <c r="O6" s="545"/>
      <c r="P6" s="545"/>
      <c r="Q6" s="545"/>
      <c r="R6" s="548"/>
    </row>
    <row r="7" spans="1:18" s="10" customFormat="1" ht="15">
      <c r="A7" s="543"/>
      <c r="B7" s="543"/>
      <c r="C7" s="548"/>
      <c r="D7" s="1407" t="s">
        <v>1163</v>
      </c>
      <c r="E7" s="1408"/>
      <c r="F7" s="1408"/>
      <c r="G7" s="1408"/>
      <c r="H7" s="1408"/>
      <c r="I7" s="4"/>
      <c r="J7" s="4"/>
      <c r="K7" s="4"/>
      <c r="M7" s="4"/>
      <c r="N7" s="4"/>
      <c r="O7" s="4"/>
      <c r="P7" s="4"/>
      <c r="Q7" s="4"/>
      <c r="R7" s="2"/>
    </row>
    <row r="8" spans="3:18" s="10" customFormat="1" ht="15">
      <c r="C8" s="2"/>
      <c r="D8" s="6"/>
      <c r="E8" s="6"/>
      <c r="F8" s="6"/>
      <c r="J8" s="4"/>
      <c r="K8" s="4"/>
      <c r="L8" s="4"/>
      <c r="M8" s="4"/>
      <c r="N8" s="4"/>
      <c r="O8" s="4"/>
      <c r="P8" s="4"/>
      <c r="Q8" s="4"/>
      <c r="R8" s="2"/>
    </row>
    <row r="9" spans="3:18" s="10" customFormat="1" ht="15">
      <c r="C9" s="2"/>
      <c r="D9" s="5"/>
      <c r="E9" s="6"/>
      <c r="F9" s="6"/>
      <c r="J9" s="4"/>
      <c r="K9" s="4"/>
      <c r="L9" s="4"/>
      <c r="M9" s="4"/>
      <c r="N9" s="4"/>
      <c r="O9" s="4"/>
      <c r="P9" s="4"/>
      <c r="Q9" s="4"/>
      <c r="R9" s="2"/>
    </row>
    <row r="10" spans="3:18" s="10" customFormat="1" ht="15">
      <c r="C10" s="3" t="s">
        <v>1121</v>
      </c>
      <c r="D10" s="3" t="s">
        <v>1122</v>
      </c>
      <c r="E10" s="3" t="s">
        <v>1147</v>
      </c>
      <c r="F10" s="216" t="s">
        <v>1148</v>
      </c>
      <c r="G10" s="216" t="s">
        <v>1149</v>
      </c>
      <c r="H10" s="4" t="s">
        <v>1100</v>
      </c>
      <c r="I10" s="4"/>
      <c r="J10" s="217" t="s">
        <v>1355</v>
      </c>
      <c r="K10" s="4"/>
      <c r="L10" s="217" t="s">
        <v>1357</v>
      </c>
      <c r="M10" s="4"/>
      <c r="N10" s="3"/>
      <c r="O10" s="4"/>
      <c r="P10" s="3"/>
      <c r="Q10" s="4"/>
      <c r="R10" s="2"/>
    </row>
    <row r="11" spans="1:18" ht="15.75">
      <c r="A11" s="10"/>
      <c r="B11" s="10"/>
      <c r="C11" s="2"/>
      <c r="D11" s="10"/>
      <c r="E11" s="29"/>
      <c r="F11" s="239" t="s">
        <v>1353</v>
      </c>
      <c r="G11" s="545"/>
      <c r="H11" s="545"/>
      <c r="I11" s="545"/>
      <c r="J11" s="679"/>
      <c r="K11" s="545"/>
      <c r="M11" s="545"/>
      <c r="N11" s="680"/>
      <c r="O11" s="545"/>
      <c r="P11" s="680"/>
      <c r="Q11" s="680"/>
      <c r="R11" s="548"/>
    </row>
    <row r="12" spans="1:18" ht="15.75">
      <c r="A12" s="679" t="s">
        <v>1101</v>
      </c>
      <c r="C12" s="548"/>
      <c r="D12" s="14" t="s">
        <v>1150</v>
      </c>
      <c r="E12" s="239" t="s">
        <v>1352</v>
      </c>
      <c r="F12" s="215" t="s">
        <v>1354</v>
      </c>
      <c r="H12" s="21"/>
      <c r="I12" s="16"/>
      <c r="K12" s="21"/>
      <c r="M12" s="545"/>
      <c r="N12" s="680"/>
      <c r="O12" s="553"/>
      <c r="P12" s="680"/>
      <c r="Q12" s="680"/>
      <c r="R12" s="548"/>
    </row>
    <row r="13" spans="1:18" ht="16.5" thickBot="1">
      <c r="A13" s="591" t="s">
        <v>1103</v>
      </c>
      <c r="B13" s="681"/>
      <c r="C13" s="437" t="s">
        <v>255</v>
      </c>
      <c r="D13" s="438" t="s">
        <v>252</v>
      </c>
      <c r="E13" s="439" t="s">
        <v>778</v>
      </c>
      <c r="F13" s="440" t="s">
        <v>780</v>
      </c>
      <c r="G13" s="441" t="s">
        <v>253</v>
      </c>
      <c r="H13" s="582"/>
      <c r="I13" s="441" t="s">
        <v>254</v>
      </c>
      <c r="J13" s="582"/>
      <c r="K13" s="582"/>
      <c r="L13" s="441" t="s">
        <v>1151</v>
      </c>
      <c r="M13" s="545"/>
      <c r="N13" s="545"/>
      <c r="O13" s="553"/>
      <c r="P13" s="545"/>
      <c r="Q13" s="545"/>
      <c r="R13" s="548"/>
    </row>
    <row r="14" spans="1:18" ht="15.75">
      <c r="A14" s="679"/>
      <c r="C14" s="548"/>
      <c r="D14" s="545"/>
      <c r="E14" s="545"/>
      <c r="F14" s="545"/>
      <c r="G14" s="545"/>
      <c r="H14" s="545"/>
      <c r="I14" s="545"/>
      <c r="J14" s="545"/>
      <c r="K14" s="545"/>
      <c r="L14" s="9" t="s">
        <v>577</v>
      </c>
      <c r="M14" s="545"/>
      <c r="N14" s="545"/>
      <c r="O14" s="553"/>
      <c r="P14" s="545"/>
      <c r="Q14" s="545"/>
      <c r="R14" s="548"/>
    </row>
    <row r="15" spans="1:18" ht="15.75">
      <c r="A15" s="679"/>
      <c r="C15" s="548" t="s">
        <v>1095</v>
      </c>
      <c r="D15" s="37"/>
      <c r="E15" s="37"/>
      <c r="F15" s="37"/>
      <c r="G15" s="545"/>
      <c r="H15" s="545"/>
      <c r="I15" s="545"/>
      <c r="J15" s="545"/>
      <c r="K15" s="545"/>
      <c r="L15" s="545"/>
      <c r="M15" s="545"/>
      <c r="N15" s="545"/>
      <c r="O15" s="553"/>
      <c r="P15" s="545"/>
      <c r="Q15" s="545"/>
      <c r="R15" s="548"/>
    </row>
    <row r="16" spans="1:18" ht="15">
      <c r="A16" s="679">
        <v>1</v>
      </c>
      <c r="C16" s="548" t="s">
        <v>258</v>
      </c>
      <c r="D16" s="547" t="s">
        <v>1803</v>
      </c>
      <c r="E16" s="950"/>
      <c r="F16" s="950"/>
      <c r="G16" s="703">
        <f>'P-1 (Trans Plant)'!C92</f>
        <v>0</v>
      </c>
      <c r="H16" s="545"/>
      <c r="I16" s="545" t="s">
        <v>1108</v>
      </c>
      <c r="J16" s="556">
        <f>L140</f>
        <v>0.9973294379616451</v>
      </c>
      <c r="K16" s="545"/>
      <c r="L16" s="552">
        <f>+J16*G16</f>
        <v>0</v>
      </c>
      <c r="M16" s="545"/>
      <c r="N16" s="545"/>
      <c r="O16" s="553"/>
      <c r="Q16" s="545"/>
      <c r="R16" s="548"/>
    </row>
    <row r="17" spans="1:18" ht="15">
      <c r="A17" s="702">
        <v>2</v>
      </c>
      <c r="B17" s="544"/>
      <c r="C17" s="684" t="s">
        <v>685</v>
      </c>
      <c r="D17" s="554" t="s">
        <v>2</v>
      </c>
      <c r="E17" s="956">
        <f>'Actual Gross Rev'!E19</f>
        <v>178127322</v>
      </c>
      <c r="F17" s="956">
        <f>'Actual Gross Rev'!F19</f>
        <v>93521803</v>
      </c>
      <c r="G17" s="708">
        <f>E17+F17</f>
        <v>271649125</v>
      </c>
      <c r="H17" s="852"/>
      <c r="I17" s="852" t="s">
        <v>1282</v>
      </c>
      <c r="J17" s="1293">
        <f>WS</f>
        <v>0.053603184670747886</v>
      </c>
      <c r="K17" s="852"/>
      <c r="L17" s="599">
        <f>+J17*G17</f>
        <v>14561258.213022076</v>
      </c>
      <c r="M17" s="545"/>
      <c r="N17" s="545"/>
      <c r="O17" s="553"/>
      <c r="Q17" s="545"/>
      <c r="R17" s="548"/>
    </row>
    <row r="18" spans="1:18" ht="15" customHeight="1">
      <c r="A18" s="702" t="s">
        <v>1757</v>
      </c>
      <c r="B18" s="544"/>
      <c r="C18" s="684" t="s">
        <v>682</v>
      </c>
      <c r="D18" s="554" t="s">
        <v>1659</v>
      </c>
      <c r="E18" s="1294">
        <f>'Actual Gross Rev'!E20</f>
        <v>17098036</v>
      </c>
      <c r="F18" s="1294">
        <f>'Actual Gross Rev'!F20</f>
        <v>28023551</v>
      </c>
      <c r="G18" s="1295">
        <f>E18+F18</f>
        <v>45121587</v>
      </c>
      <c r="H18" s="547"/>
      <c r="I18" s="547" t="s">
        <v>1282</v>
      </c>
      <c r="J18" s="559">
        <f>L198</f>
        <v>0.053603184670747886</v>
      </c>
      <c r="K18" s="547"/>
      <c r="L18" s="1296">
        <f>+J18*G18</f>
        <v>2418660.760598217</v>
      </c>
      <c r="M18" s="545"/>
      <c r="N18" s="545"/>
      <c r="O18" s="545"/>
      <c r="Q18" s="680"/>
      <c r="R18" s="548"/>
    </row>
    <row r="19" spans="1:18" ht="15">
      <c r="A19" s="679">
        <v>3</v>
      </c>
      <c r="C19" s="546" t="s">
        <v>1733</v>
      </c>
      <c r="D19" s="545" t="s">
        <v>1734</v>
      </c>
      <c r="E19" s="552"/>
      <c r="F19" s="550"/>
      <c r="G19" s="552"/>
      <c r="H19" s="545"/>
      <c r="I19" s="547"/>
      <c r="J19" s="688"/>
      <c r="K19" s="547"/>
      <c r="L19" s="550">
        <f>SUM(L16:L18)</f>
        <v>16979918.97362029</v>
      </c>
      <c r="M19" s="545"/>
      <c r="N19" s="551"/>
      <c r="O19" s="553"/>
      <c r="P19" s="545"/>
      <c r="Q19" s="545"/>
      <c r="R19" s="548"/>
    </row>
    <row r="20" spans="3:18" ht="15">
      <c r="C20" s="548"/>
      <c r="D20" s="545"/>
      <c r="E20" s="545"/>
      <c r="F20" s="547"/>
      <c r="G20" s="545"/>
      <c r="H20" s="545"/>
      <c r="I20" s="545"/>
      <c r="J20" s="551"/>
      <c r="K20" s="545"/>
      <c r="L20" s="545"/>
      <c r="M20" s="545"/>
      <c r="N20" s="551"/>
      <c r="O20" s="553"/>
      <c r="P20" s="545"/>
      <c r="Q20" s="545"/>
      <c r="R20" s="548"/>
    </row>
    <row r="21" spans="3:18" ht="15">
      <c r="C21" s="548" t="s">
        <v>1285</v>
      </c>
      <c r="D21" s="545" t="s">
        <v>1470</v>
      </c>
      <c r="E21" s="545"/>
      <c r="F21" s="547"/>
      <c r="G21" s="545"/>
      <c r="H21" s="545"/>
      <c r="I21" s="545"/>
      <c r="J21" s="545"/>
      <c r="K21" s="545"/>
      <c r="L21" s="545"/>
      <c r="M21" s="545"/>
      <c r="N21" s="545"/>
      <c r="O21" s="553"/>
      <c r="P21" s="545"/>
      <c r="Q21" s="545"/>
      <c r="R21" s="548"/>
    </row>
    <row r="22" spans="1:18" ht="15">
      <c r="A22" s="679">
        <v>3</v>
      </c>
      <c r="C22" s="548" t="str">
        <f>+C16</f>
        <v>  Transmission</v>
      </c>
      <c r="D22" s="547" t="s">
        <v>1803</v>
      </c>
      <c r="E22" s="950"/>
      <c r="F22" s="950"/>
      <c r="G22" s="703">
        <f>'P-1 (Trans Plant)'!E92</f>
        <v>0</v>
      </c>
      <c r="H22" s="545"/>
      <c r="I22" s="545" t="str">
        <f aca="true" t="shared" si="0" ref="I22:J24">+I16</f>
        <v>TP</v>
      </c>
      <c r="J22" s="556">
        <f t="shared" si="0"/>
        <v>0.9973294379616451</v>
      </c>
      <c r="K22" s="545"/>
      <c r="L22" s="552">
        <f>+J22*G22</f>
        <v>0</v>
      </c>
      <c r="M22" s="545"/>
      <c r="N22" s="545"/>
      <c r="O22" s="553"/>
      <c r="P22" s="545"/>
      <c r="Q22" s="545"/>
      <c r="R22" s="548"/>
    </row>
    <row r="23" spans="1:18" ht="15">
      <c r="A23" s="679">
        <v>4</v>
      </c>
      <c r="C23" s="684" t="s">
        <v>685</v>
      </c>
      <c r="D23" s="554" t="s">
        <v>1660</v>
      </c>
      <c r="E23" s="1297">
        <f>'Actual Gross Rev'!E28</f>
        <v>92739118</v>
      </c>
      <c r="F23" s="1297">
        <f>'Actual Gross Rev'!F28</f>
        <v>48081414</v>
      </c>
      <c r="G23" s="708">
        <f>E23+F23</f>
        <v>140820532</v>
      </c>
      <c r="H23" s="545"/>
      <c r="I23" s="547" t="str">
        <f t="shared" si="0"/>
        <v>W/S</v>
      </c>
      <c r="J23" s="559">
        <f t="shared" si="0"/>
        <v>0.053603184670747886</v>
      </c>
      <c r="K23" s="545"/>
      <c r="L23" s="552">
        <f>+J23*G23</f>
        <v>7548428.982228962</v>
      </c>
      <c r="M23" s="545"/>
      <c r="N23" s="545"/>
      <c r="O23" s="553"/>
      <c r="P23" s="545"/>
      <c r="Q23" s="545"/>
      <c r="R23" s="548"/>
    </row>
    <row r="24" spans="1:18" ht="15">
      <c r="A24" s="702" t="s">
        <v>681</v>
      </c>
      <c r="B24" s="544"/>
      <c r="C24" s="560" t="str">
        <f>+C18</f>
        <v>  Intangible</v>
      </c>
      <c r="D24" s="554" t="s">
        <v>1661</v>
      </c>
      <c r="E24" s="1294">
        <f>'Actual Gross Rev'!E29</f>
        <v>8672238.92</v>
      </c>
      <c r="F24" s="1294">
        <f>'Actual Gross Rev'!F29</f>
        <v>15202712.42</v>
      </c>
      <c r="G24" s="1295">
        <f>E24+F24</f>
        <v>23874951.34</v>
      </c>
      <c r="H24" s="547"/>
      <c r="I24" s="547" t="str">
        <f t="shared" si="0"/>
        <v>W/S</v>
      </c>
      <c r="J24" s="559">
        <f t="shared" si="0"/>
        <v>0.053603184670747886</v>
      </c>
      <c r="K24" s="547"/>
      <c r="L24" s="1296">
        <f>+J24*G24</f>
        <v>1279773.4256831396</v>
      </c>
      <c r="M24" s="545"/>
      <c r="N24" s="545"/>
      <c r="O24" s="553"/>
      <c r="P24" s="545"/>
      <c r="Q24" s="680"/>
      <c r="R24" s="548"/>
    </row>
    <row r="25" spans="1:18" ht="15">
      <c r="A25" s="679">
        <v>5</v>
      </c>
      <c r="C25" s="548" t="s">
        <v>1078</v>
      </c>
      <c r="D25" s="545" t="s">
        <v>1732</v>
      </c>
      <c r="E25" s="552"/>
      <c r="F25" s="550"/>
      <c r="G25" s="552"/>
      <c r="H25" s="545"/>
      <c r="I25" s="545"/>
      <c r="J25" s="545"/>
      <c r="K25" s="545"/>
      <c r="L25" s="552">
        <f>SUM(L22:L24)</f>
        <v>8828202.407912102</v>
      </c>
      <c r="M25" s="545"/>
      <c r="N25" s="545"/>
      <c r="O25" s="553"/>
      <c r="P25" s="951"/>
      <c r="Q25" s="545"/>
      <c r="R25" s="548"/>
    </row>
    <row r="26" spans="1:18" ht="15">
      <c r="A26" s="679"/>
      <c r="D26" s="545" t="s">
        <v>1100</v>
      </c>
      <c r="F26" s="544"/>
      <c r="H26" s="545"/>
      <c r="I26" s="545"/>
      <c r="J26" s="551"/>
      <c r="K26" s="545"/>
      <c r="M26" s="545"/>
      <c r="N26" s="551"/>
      <c r="O26" s="553"/>
      <c r="P26" s="545"/>
      <c r="Q26" s="545"/>
      <c r="R26" s="548"/>
    </row>
    <row r="27" spans="1:18" ht="15">
      <c r="A27" s="679"/>
      <c r="C27" s="548" t="s">
        <v>1286</v>
      </c>
      <c r="D27" s="545"/>
      <c r="E27" s="545"/>
      <c r="F27" s="547"/>
      <c r="G27" s="545"/>
      <c r="H27" s="545"/>
      <c r="I27" s="545"/>
      <c r="J27" s="545"/>
      <c r="K27" s="545"/>
      <c r="L27" s="545"/>
      <c r="M27" s="545"/>
      <c r="N27" s="545"/>
      <c r="O27" s="553"/>
      <c r="P27" s="545"/>
      <c r="Q27" s="545"/>
      <c r="R27" s="548"/>
    </row>
    <row r="28" spans="1:18" ht="15">
      <c r="A28" s="679">
        <v>6</v>
      </c>
      <c r="C28" s="548" t="str">
        <f>+C22</f>
        <v>  Transmission</v>
      </c>
      <c r="D28" s="545" t="s">
        <v>1476</v>
      </c>
      <c r="E28" s="552">
        <f>E16-E22</f>
        <v>0</v>
      </c>
      <c r="F28" s="550">
        <f>F16-F22</f>
        <v>0</v>
      </c>
      <c r="G28" s="552">
        <f>G16-G22</f>
        <v>0</v>
      </c>
      <c r="H28" s="545"/>
      <c r="I28" s="545"/>
      <c r="J28" s="556"/>
      <c r="K28" s="545"/>
      <c r="L28" s="552">
        <f>+L16-L22</f>
        <v>0</v>
      </c>
      <c r="M28" s="545"/>
      <c r="N28" s="551"/>
      <c r="O28" s="553"/>
      <c r="P28" s="545"/>
      <c r="Q28" s="545"/>
      <c r="R28" s="548"/>
    </row>
    <row r="29" spans="1:18" ht="15">
      <c r="A29" s="679">
        <v>7</v>
      </c>
      <c r="C29" s="684" t="s">
        <v>685</v>
      </c>
      <c r="D29" s="554" t="s">
        <v>370</v>
      </c>
      <c r="E29" s="656">
        <f>E17-E23</f>
        <v>85388204</v>
      </c>
      <c r="F29" s="656">
        <f>F17-F23</f>
        <v>45440389</v>
      </c>
      <c r="G29" s="708">
        <f>E29+F29</f>
        <v>130828593</v>
      </c>
      <c r="H29" s="545"/>
      <c r="I29" s="547"/>
      <c r="J29" s="559"/>
      <c r="K29" s="545"/>
      <c r="L29" s="552">
        <f>L17-L23</f>
        <v>7012829.230793114</v>
      </c>
      <c r="M29" s="545"/>
      <c r="N29" s="551"/>
      <c r="O29" s="553"/>
      <c r="P29" s="545"/>
      <c r="Q29" s="545"/>
      <c r="R29" s="548"/>
    </row>
    <row r="30" spans="1:18" ht="15">
      <c r="A30" s="702" t="s">
        <v>1662</v>
      </c>
      <c r="B30" s="544"/>
      <c r="C30" s="560" t="str">
        <f>+C24</f>
        <v>  Intangible</v>
      </c>
      <c r="D30" s="554" t="s">
        <v>369</v>
      </c>
      <c r="E30" s="1206">
        <f>E18-E24</f>
        <v>8425797.08</v>
      </c>
      <c r="F30" s="1206">
        <f>F18-F24</f>
        <v>12820838.58</v>
      </c>
      <c r="G30" s="1295">
        <f>E30+F30</f>
        <v>21246635.66</v>
      </c>
      <c r="H30" s="547"/>
      <c r="I30" s="547"/>
      <c r="J30" s="559"/>
      <c r="K30" s="547"/>
      <c r="L30" s="1296">
        <f>L18-L24</f>
        <v>1138887.3349150775</v>
      </c>
      <c r="M30" s="545"/>
      <c r="N30" s="551"/>
      <c r="O30" s="553"/>
      <c r="P30" s="545"/>
      <c r="Q30" s="680"/>
      <c r="R30" s="548"/>
    </row>
    <row r="31" spans="1:18" ht="15">
      <c r="A31" s="679">
        <v>8</v>
      </c>
      <c r="C31" s="548" t="s">
        <v>1076</v>
      </c>
      <c r="D31" s="545" t="s">
        <v>1077</v>
      </c>
      <c r="E31" s="552"/>
      <c r="F31" s="550"/>
      <c r="G31" s="552"/>
      <c r="H31" s="545"/>
      <c r="I31" s="547"/>
      <c r="J31" s="688"/>
      <c r="K31" s="547"/>
      <c r="L31" s="550">
        <f>SUM(L28:L30)</f>
        <v>8151716.565708191</v>
      </c>
      <c r="M31" s="545"/>
      <c r="N31" s="545"/>
      <c r="O31" s="553"/>
      <c r="P31" s="929"/>
      <c r="Q31" s="545"/>
      <c r="R31" s="548"/>
    </row>
    <row r="32" spans="1:18" ht="15.75">
      <c r="A32" s="679"/>
      <c r="D32" s="37"/>
      <c r="F32" s="544"/>
      <c r="H32" s="545"/>
      <c r="K32" s="545"/>
      <c r="M32" s="545"/>
      <c r="N32" s="551"/>
      <c r="O32" s="553"/>
      <c r="P32" s="545"/>
      <c r="Q32" s="545"/>
      <c r="R32" s="548"/>
    </row>
    <row r="33" spans="1:18" ht="15">
      <c r="A33" s="679"/>
      <c r="C33" s="546" t="s">
        <v>962</v>
      </c>
      <c r="D33" s="547"/>
      <c r="E33" s="545"/>
      <c r="F33" s="547"/>
      <c r="G33" s="545"/>
      <c r="H33" s="545"/>
      <c r="I33" s="545"/>
      <c r="J33" s="545"/>
      <c r="K33" s="545"/>
      <c r="L33" s="545"/>
      <c r="M33" s="545"/>
      <c r="N33" s="545"/>
      <c r="O33" s="553"/>
      <c r="P33" s="545" t="s">
        <v>1100</v>
      </c>
      <c r="Q33" s="545"/>
      <c r="R33" s="548"/>
    </row>
    <row r="34" spans="1:18" ht="15">
      <c r="A34" s="679">
        <v>9</v>
      </c>
      <c r="C34" s="548" t="s">
        <v>654</v>
      </c>
      <c r="D34" s="547" t="s">
        <v>1802</v>
      </c>
      <c r="E34" s="655">
        <f>'A-5 (WEN ADIT)'!J15</f>
        <v>-341510400.2300001</v>
      </c>
      <c r="F34" s="655">
        <f>'A-7 (WES ADIT)'!J15</f>
        <v>-567719606.7600001</v>
      </c>
      <c r="G34" s="656">
        <f>E34+F34</f>
        <v>-909230006.9900002</v>
      </c>
      <c r="H34" s="545" t="s">
        <v>1100</v>
      </c>
      <c r="I34" s="547" t="s">
        <v>1593</v>
      </c>
      <c r="J34" s="547"/>
      <c r="K34" s="547"/>
      <c r="L34" s="599">
        <f>'A-5 (WEN ADIT)'!J18+'A-7 (WES ADIT)'!J18</f>
        <v>-100715527.83728606</v>
      </c>
      <c r="M34" s="545"/>
      <c r="N34" s="551"/>
      <c r="O34" s="553"/>
      <c r="P34" s="551"/>
      <c r="Q34" s="680"/>
      <c r="R34" s="548"/>
    </row>
    <row r="35" spans="1:18" ht="15">
      <c r="A35" s="679" t="s">
        <v>294</v>
      </c>
      <c r="C35" s="548" t="s">
        <v>865</v>
      </c>
      <c r="D35" s="547" t="s">
        <v>869</v>
      </c>
      <c r="E35" s="692">
        <v>0</v>
      </c>
      <c r="F35" s="692">
        <v>0</v>
      </c>
      <c r="G35" s="656">
        <f>E35+F35</f>
        <v>0</v>
      </c>
      <c r="H35" s="545"/>
      <c r="I35" s="547" t="s">
        <v>1289</v>
      </c>
      <c r="J35" s="559">
        <f>TE</f>
        <v>0.9253248326646663</v>
      </c>
      <c r="K35" s="547"/>
      <c r="L35" s="599">
        <f>+J35*G35</f>
        <v>0</v>
      </c>
      <c r="M35" s="545"/>
      <c r="N35" s="551"/>
      <c r="O35" s="553"/>
      <c r="P35" s="551"/>
      <c r="Q35" s="680"/>
      <c r="R35" s="548"/>
    </row>
    <row r="36" spans="1:18" ht="15.75" thickBot="1">
      <c r="A36" s="679" t="s">
        <v>824</v>
      </c>
      <c r="C36" s="548" t="s">
        <v>867</v>
      </c>
      <c r="D36" s="547" t="s">
        <v>868</v>
      </c>
      <c r="E36" s="693">
        <v>0</v>
      </c>
      <c r="F36" s="693">
        <v>0</v>
      </c>
      <c r="G36" s="691">
        <f>E36+F36</f>
        <v>0</v>
      </c>
      <c r="H36" s="545"/>
      <c r="I36" s="547" t="s">
        <v>1289</v>
      </c>
      <c r="J36" s="559">
        <f>TE</f>
        <v>0.9253248326646663</v>
      </c>
      <c r="K36" s="547"/>
      <c r="L36" s="549">
        <f>+J36*G36</f>
        <v>0</v>
      </c>
      <c r="M36" s="545"/>
      <c r="N36" s="551"/>
      <c r="O36" s="553"/>
      <c r="P36" s="551"/>
      <c r="Q36" s="680"/>
      <c r="R36" s="548"/>
    </row>
    <row r="37" spans="1:18" ht="15">
      <c r="A37" s="679">
        <v>10</v>
      </c>
      <c r="B37" s="548"/>
      <c r="C37" s="548" t="s">
        <v>1594</v>
      </c>
      <c r="D37" s="545" t="s">
        <v>371</v>
      </c>
      <c r="E37" s="550"/>
      <c r="F37" s="550"/>
      <c r="G37" s="550">
        <f>G34+G35-G36</f>
        <v>-909230006.9900002</v>
      </c>
      <c r="H37" s="545"/>
      <c r="I37" s="545"/>
      <c r="J37" s="545"/>
      <c r="K37" s="545"/>
      <c r="L37" s="550">
        <f>L34+L35-L36</f>
        <v>-100715527.83728606</v>
      </c>
      <c r="M37" s="545"/>
      <c r="N37" s="545"/>
      <c r="O37" s="553"/>
      <c r="P37" s="951"/>
      <c r="Q37" s="545"/>
      <c r="R37" s="548"/>
    </row>
    <row r="38" spans="1:18" ht="15">
      <c r="A38" s="679"/>
      <c r="D38" s="545"/>
      <c r="F38" s="544"/>
      <c r="H38" s="545"/>
      <c r="I38" s="545"/>
      <c r="J38" s="551"/>
      <c r="K38" s="545"/>
      <c r="M38" s="545"/>
      <c r="N38" s="551"/>
      <c r="O38" s="553"/>
      <c r="P38" s="545"/>
      <c r="Q38" s="545"/>
      <c r="R38" s="548"/>
    </row>
    <row r="39" spans="1:18" ht="15">
      <c r="A39" s="679">
        <v>11</v>
      </c>
      <c r="B39" s="548"/>
      <c r="C39" s="546" t="s">
        <v>1288</v>
      </c>
      <c r="D39" s="545" t="s">
        <v>1032</v>
      </c>
      <c r="E39" s="547">
        <f>+'Actual Gross Rev'!E48</f>
        <v>0</v>
      </c>
      <c r="F39" s="547">
        <f>+'Actual Gross Rev'!F48</f>
        <v>0</v>
      </c>
      <c r="G39" s="545">
        <f>E39+F39</f>
        <v>0</v>
      </c>
      <c r="H39" s="545"/>
      <c r="I39" s="545" t="str">
        <f>+I22</f>
        <v>TP</v>
      </c>
      <c r="J39" s="556">
        <f>+J22</f>
        <v>0.9973294379616451</v>
      </c>
      <c r="K39" s="545"/>
      <c r="L39" s="545">
        <f>+J39*G39</f>
        <v>0</v>
      </c>
      <c r="M39" s="545"/>
      <c r="N39" s="545"/>
      <c r="O39" s="553"/>
      <c r="P39" s="545"/>
      <c r="Q39" s="545"/>
      <c r="R39" s="548"/>
    </row>
    <row r="40" spans="1:18" ht="15">
      <c r="A40" s="679"/>
      <c r="C40" s="548"/>
      <c r="D40" s="545"/>
      <c r="E40" s="545"/>
      <c r="F40" s="547"/>
      <c r="G40" s="545"/>
      <c r="H40" s="545"/>
      <c r="I40" s="545"/>
      <c r="J40" s="545"/>
      <c r="K40" s="545"/>
      <c r="L40" s="545"/>
      <c r="M40" s="545"/>
      <c r="N40" s="545"/>
      <c r="O40" s="553"/>
      <c r="P40" s="545"/>
      <c r="Q40" s="545"/>
      <c r="R40" s="548"/>
    </row>
    <row r="41" spans="1:18" ht="15.75">
      <c r="A41" s="679"/>
      <c r="C41" s="548" t="s">
        <v>431</v>
      </c>
      <c r="D41" s="37"/>
      <c r="E41" s="545"/>
      <c r="F41" s="547"/>
      <c r="G41" s="545"/>
      <c r="H41" s="545"/>
      <c r="I41" s="545"/>
      <c r="J41" s="545"/>
      <c r="K41" s="545"/>
      <c r="L41" s="545"/>
      <c r="M41" s="545"/>
      <c r="N41" s="545"/>
      <c r="O41" s="553"/>
      <c r="P41" s="545"/>
      <c r="Q41" s="545"/>
      <c r="R41" s="548"/>
    </row>
    <row r="42" spans="1:18" ht="15">
      <c r="A42" s="679">
        <v>12</v>
      </c>
      <c r="B42" s="548"/>
      <c r="C42" s="548" t="s">
        <v>776</v>
      </c>
      <c r="D42" s="543" t="s">
        <v>433</v>
      </c>
      <c r="E42" s="552"/>
      <c r="F42" s="552"/>
      <c r="G42" s="552"/>
      <c r="H42" s="545"/>
      <c r="I42" s="545"/>
      <c r="J42" s="551"/>
      <c r="K42" s="545"/>
      <c r="L42" s="552">
        <f>+L78/8</f>
        <v>68452.12877976123</v>
      </c>
      <c r="M42" s="553"/>
      <c r="N42" s="551"/>
      <c r="O42" s="553"/>
      <c r="P42" s="590"/>
      <c r="Q42" s="680"/>
      <c r="R42" s="548"/>
    </row>
    <row r="43" spans="1:18" ht="15">
      <c r="A43" s="679">
        <v>13</v>
      </c>
      <c r="B43" s="548"/>
      <c r="C43" s="548" t="s">
        <v>432</v>
      </c>
      <c r="D43" s="554" t="s">
        <v>1664</v>
      </c>
      <c r="E43" s="1298">
        <f>'Actual Gross Rev'!E52</f>
        <v>0</v>
      </c>
      <c r="F43" s="1298">
        <f>'Actual Gross Rev'!F52</f>
        <v>1988</v>
      </c>
      <c r="G43" s="555">
        <f>E43+F43</f>
        <v>1988</v>
      </c>
      <c r="H43" s="545"/>
      <c r="I43" s="545" t="s">
        <v>1108</v>
      </c>
      <c r="J43" s="556">
        <f>tp</f>
        <v>0.9973294379616451</v>
      </c>
      <c r="K43" s="545"/>
      <c r="L43" s="557">
        <f>+J43*G43</f>
        <v>1982.6909226677503</v>
      </c>
      <c r="M43" s="545" t="s">
        <v>1100</v>
      </c>
      <c r="N43" s="551"/>
      <c r="O43" s="553"/>
      <c r="P43" s="590"/>
      <c r="Q43" s="680"/>
      <c r="R43" s="548"/>
    </row>
    <row r="44" spans="1:18" ht="15">
      <c r="A44" s="679" t="s">
        <v>690</v>
      </c>
      <c r="B44" s="548"/>
      <c r="C44" s="548" t="s">
        <v>1663</v>
      </c>
      <c r="D44" s="554" t="s">
        <v>1665</v>
      </c>
      <c r="E44" s="1298">
        <f>'Actual Gross Rev'!E53</f>
        <v>111022</v>
      </c>
      <c r="F44" s="1298">
        <f>'Actual Gross Rev'!F53</f>
        <v>164819</v>
      </c>
      <c r="G44" s="555">
        <f>E44+F44</f>
        <v>275841</v>
      </c>
      <c r="H44" s="545"/>
      <c r="I44" s="545" t="s">
        <v>1282</v>
      </c>
      <c r="J44" s="556">
        <f>WS</f>
        <v>0.053603184670747886</v>
      </c>
      <c r="K44" s="545"/>
      <c r="L44" s="557">
        <f>+J44*G44</f>
        <v>14785.956062763767</v>
      </c>
      <c r="M44" s="545"/>
      <c r="N44" s="551"/>
      <c r="O44" s="553"/>
      <c r="P44" s="590"/>
      <c r="Q44" s="680"/>
      <c r="R44" s="548"/>
    </row>
    <row r="45" spans="1:18" ht="15.75" thickBot="1">
      <c r="A45" s="679">
        <v>14</v>
      </c>
      <c r="B45" s="548"/>
      <c r="C45" s="548" t="s">
        <v>1062</v>
      </c>
      <c r="D45" s="554" t="s">
        <v>3</v>
      </c>
      <c r="E45" s="648">
        <f>+'Actual Gross Rev'!E54</f>
        <v>7019795</v>
      </c>
      <c r="F45" s="649">
        <f>+'Actual Gross Rev'!F54</f>
        <v>26285042</v>
      </c>
      <c r="G45" s="558">
        <f>E45+F45</f>
        <v>33304837</v>
      </c>
      <c r="H45" s="545" t="s">
        <v>1100</v>
      </c>
      <c r="I45" s="547" t="s">
        <v>1290</v>
      </c>
      <c r="J45" s="559">
        <f>J160</f>
        <v>0.12698143054354016</v>
      </c>
      <c r="K45" s="547"/>
      <c r="L45" s="549">
        <f>J45*G45</f>
        <v>4229095.8462794265</v>
      </c>
      <c r="M45" s="545"/>
      <c r="N45" s="551"/>
      <c r="O45" s="553"/>
      <c r="P45" s="590"/>
      <c r="Q45" s="680"/>
      <c r="R45" s="548"/>
    </row>
    <row r="46" spans="1:18" ht="15">
      <c r="A46" s="679">
        <v>15</v>
      </c>
      <c r="B46" s="548"/>
      <c r="C46" s="548" t="s">
        <v>1074</v>
      </c>
      <c r="D46" s="553" t="s">
        <v>1075</v>
      </c>
      <c r="E46" s="552"/>
      <c r="F46" s="552"/>
      <c r="G46" s="552">
        <f>G42+G43+G45</f>
        <v>33306825</v>
      </c>
      <c r="H46" s="553"/>
      <c r="I46" s="553"/>
      <c r="J46" s="553"/>
      <c r="K46" s="553"/>
      <c r="L46" s="552">
        <f>L42+L43+L45</f>
        <v>4299530.665981855</v>
      </c>
      <c r="M46" s="553"/>
      <c r="N46" s="696"/>
      <c r="O46" s="553"/>
      <c r="P46" s="951"/>
      <c r="Q46" s="545"/>
      <c r="R46" s="548"/>
    </row>
    <row r="47" spans="1:18" ht="15">
      <c r="A47" s="679"/>
      <c r="B47" s="548"/>
      <c r="C47" s="548"/>
      <c r="D47" s="553"/>
      <c r="E47" s="545"/>
      <c r="F47" s="545"/>
      <c r="G47" s="545"/>
      <c r="H47" s="553"/>
      <c r="I47" s="553"/>
      <c r="J47" s="553"/>
      <c r="K47" s="553"/>
      <c r="L47" s="545"/>
      <c r="M47" s="553"/>
      <c r="N47" s="553"/>
      <c r="O47" s="553"/>
      <c r="P47" s="951"/>
      <c r="Q47" s="545"/>
      <c r="R47" s="548"/>
    </row>
    <row r="48" spans="1:18" ht="15">
      <c r="A48" s="679"/>
      <c r="B48" s="548"/>
      <c r="D48" s="553"/>
      <c r="E48" s="545"/>
      <c r="F48" s="545"/>
      <c r="G48" s="545"/>
      <c r="H48" s="553"/>
      <c r="I48" s="553"/>
      <c r="J48" s="553"/>
      <c r="K48" s="553"/>
      <c r="L48" s="545"/>
      <c r="M48" s="553"/>
      <c r="N48" s="553"/>
      <c r="O48" s="553"/>
      <c r="P48" s="951"/>
      <c r="Q48" s="545"/>
      <c r="R48" s="548"/>
    </row>
    <row r="49" spans="1:18" ht="15">
      <c r="A49" s="679">
        <v>16</v>
      </c>
      <c r="B49" s="548"/>
      <c r="C49" s="560" t="s">
        <v>963</v>
      </c>
      <c r="D49" s="560" t="s">
        <v>1472</v>
      </c>
      <c r="E49" s="545"/>
      <c r="F49" s="545"/>
      <c r="G49" s="561"/>
      <c r="H49" s="553"/>
      <c r="I49" s="553"/>
      <c r="J49" s="553"/>
      <c r="K49" s="553"/>
      <c r="L49" s="562">
        <f>L31+L37+L39+L46</f>
        <v>-88264280.605596</v>
      </c>
      <c r="M49" s="553"/>
      <c r="N49" s="553"/>
      <c r="O49" s="553"/>
      <c r="P49" s="951"/>
      <c r="Q49" s="545"/>
      <c r="R49" s="548"/>
    </row>
    <row r="50" spans="1:18" ht="15">
      <c r="A50" s="679"/>
      <c r="B50" s="548"/>
      <c r="C50" s="548"/>
      <c r="D50" s="553"/>
      <c r="E50" s="545"/>
      <c r="F50" s="553"/>
      <c r="G50" s="545"/>
      <c r="H50" s="553"/>
      <c r="I50" s="553"/>
      <c r="J50" s="553"/>
      <c r="K50" s="553"/>
      <c r="L50" s="545"/>
      <c r="M50" s="553"/>
      <c r="N50" s="553"/>
      <c r="O50" s="553"/>
      <c r="P50" s="951"/>
      <c r="Q50" s="545"/>
      <c r="R50" s="548"/>
    </row>
    <row r="51" spans="1:18" ht="15">
      <c r="A51" s="679"/>
      <c r="C51" s="548"/>
      <c r="D51" s="1432" t="str">
        <f>+D1</f>
        <v>     Rate Formula Template</v>
      </c>
      <c r="E51" s="1432"/>
      <c r="F51" s="1432"/>
      <c r="G51" s="1433"/>
      <c r="H51" s="1433"/>
      <c r="I51" s="545"/>
      <c r="L51" s="697"/>
      <c r="M51" s="545"/>
      <c r="N51" s="697" t="str">
        <f>N$1</f>
        <v>Projected</v>
      </c>
      <c r="O51" s="545"/>
      <c r="P51" s="545"/>
      <c r="Q51" s="545"/>
      <c r="R51" s="548"/>
    </row>
    <row r="52" spans="1:18" ht="15">
      <c r="A52" s="679"/>
      <c r="C52" s="548"/>
      <c r="D52" s="1432" t="str">
        <f>D2</f>
        <v> Utilizing FERC Form 1 Data</v>
      </c>
      <c r="E52" s="1432"/>
      <c r="F52" s="1432"/>
      <c r="G52" s="1433"/>
      <c r="H52" s="1433"/>
      <c r="I52" s="545"/>
      <c r="J52" s="545"/>
      <c r="M52" s="545"/>
      <c r="N52" s="698" t="s">
        <v>24</v>
      </c>
      <c r="O52" s="545"/>
      <c r="P52" s="545"/>
      <c r="Q52" s="545"/>
      <c r="R52" s="548"/>
    </row>
    <row r="53" spans="1:18" ht="15">
      <c r="A53" s="679"/>
      <c r="C53" s="548"/>
      <c r="D53" s="1432" t="str">
        <f>D3</f>
        <v>Projected Gross Revenue Requirements</v>
      </c>
      <c r="E53" s="1432"/>
      <c r="F53" s="1432"/>
      <c r="G53" s="1433"/>
      <c r="H53" s="1433"/>
      <c r="I53" s="545"/>
      <c r="J53" s="545"/>
      <c r="M53" s="545"/>
      <c r="N53" s="698"/>
      <c r="O53" s="545"/>
      <c r="P53" s="545"/>
      <c r="Q53" s="545"/>
      <c r="R53" s="548"/>
    </row>
    <row r="54" spans="1:18" ht="15">
      <c r="A54" s="679"/>
      <c r="D54" s="1432" t="str">
        <f>D4</f>
        <v>For the 12 months ended - December 31, 20xx</v>
      </c>
      <c r="E54" s="1432"/>
      <c r="F54" s="1432"/>
      <c r="G54" s="1433"/>
      <c r="H54" s="1433"/>
      <c r="I54" s="545"/>
      <c r="J54" s="545"/>
      <c r="K54" s="545"/>
      <c r="M54" s="545"/>
      <c r="O54" s="545"/>
      <c r="P54" s="545"/>
      <c r="Q54" s="545"/>
      <c r="R54" s="548"/>
    </row>
    <row r="55" spans="1:18" ht="15">
      <c r="A55" s="679"/>
      <c r="D55" s="545"/>
      <c r="E55" s="545"/>
      <c r="F55" s="545"/>
      <c r="G55" s="590"/>
      <c r="H55" s="545"/>
      <c r="I55" s="545"/>
      <c r="J55" s="545"/>
      <c r="K55" s="545"/>
      <c r="M55" s="545"/>
      <c r="N55" s="545"/>
      <c r="O55" s="545"/>
      <c r="P55" s="545"/>
      <c r="Q55" s="545"/>
      <c r="R55" s="548"/>
    </row>
    <row r="56" spans="1:18" ht="15">
      <c r="A56" s="679"/>
      <c r="D56" s="1403" t="str">
        <f>+D$6</f>
        <v>WESTAR ENERGY, INC. (Westar Energy and Kansas Gas and Electric)</v>
      </c>
      <c r="E56" s="1403"/>
      <c r="F56" s="1403"/>
      <c r="G56" s="1433"/>
      <c r="H56" s="1433"/>
      <c r="K56" s="545"/>
      <c r="M56" s="545"/>
      <c r="N56" s="545"/>
      <c r="O56" s="545"/>
      <c r="P56" s="545"/>
      <c r="Q56" s="545"/>
      <c r="R56" s="548"/>
    </row>
    <row r="57" spans="1:18" ht="15">
      <c r="A57" s="679"/>
      <c r="D57" s="1404" t="str">
        <f>+D$7</f>
        <v>(WESTAR)</v>
      </c>
      <c r="E57" s="1404"/>
      <c r="F57" s="1404"/>
      <c r="G57" s="1405"/>
      <c r="H57" s="1405"/>
      <c r="K57" s="545"/>
      <c r="L57" s="545"/>
      <c r="M57" s="545"/>
      <c r="N57" s="545"/>
      <c r="O57" s="545"/>
      <c r="P57" s="545"/>
      <c r="Q57" s="545"/>
      <c r="R57" s="548"/>
    </row>
    <row r="58" spans="1:18" ht="15">
      <c r="A58" s="679"/>
      <c r="C58" s="680" t="s">
        <v>1121</v>
      </c>
      <c r="D58" s="680" t="s">
        <v>1122</v>
      </c>
      <c r="E58" s="680" t="s">
        <v>1147</v>
      </c>
      <c r="F58" s="700" t="s">
        <v>1148</v>
      </c>
      <c r="G58" s="700" t="s">
        <v>1149</v>
      </c>
      <c r="H58" s="545" t="s">
        <v>1100</v>
      </c>
      <c r="I58" s="545"/>
      <c r="J58" s="701" t="s">
        <v>1355</v>
      </c>
      <c r="K58" s="545"/>
      <c r="L58" s="701" t="s">
        <v>1357</v>
      </c>
      <c r="M58" s="545"/>
      <c r="N58" s="545"/>
      <c r="O58" s="545"/>
      <c r="P58" s="553"/>
      <c r="Q58" s="545"/>
      <c r="R58" s="548"/>
    </row>
    <row r="59" spans="1:18" ht="15.75">
      <c r="A59" s="679"/>
      <c r="C59" s="680"/>
      <c r="D59" s="589"/>
      <c r="F59" s="14" t="s">
        <v>1353</v>
      </c>
      <c r="G59" s="545"/>
      <c r="H59" s="545"/>
      <c r="I59" s="545"/>
      <c r="J59" s="679"/>
      <c r="K59" s="545"/>
      <c r="M59" s="589"/>
      <c r="N59" s="16"/>
      <c r="O59" s="589"/>
      <c r="P59" s="589"/>
      <c r="Q59" s="545"/>
      <c r="R59" s="548"/>
    </row>
    <row r="60" spans="1:18" ht="15.75">
      <c r="A60" s="679" t="s">
        <v>1101</v>
      </c>
      <c r="C60" s="548"/>
      <c r="D60" s="14"/>
      <c r="E60" s="14" t="s">
        <v>1352</v>
      </c>
      <c r="F60" s="20" t="s">
        <v>1354</v>
      </c>
      <c r="H60" s="21"/>
      <c r="I60" s="16"/>
      <c r="K60" s="21"/>
      <c r="L60" s="16"/>
      <c r="M60" s="545"/>
      <c r="N60" s="16"/>
      <c r="O60" s="545"/>
      <c r="P60" s="679"/>
      <c r="Q60" s="545"/>
      <c r="R60" s="548"/>
    </row>
    <row r="61" spans="1:18" ht="16.5" thickBot="1">
      <c r="A61" s="591" t="s">
        <v>1103</v>
      </c>
      <c r="B61" s="681"/>
      <c r="C61" s="952"/>
      <c r="D61" s="438" t="s">
        <v>590</v>
      </c>
      <c r="E61" s="223" t="s">
        <v>778</v>
      </c>
      <c r="F61" s="438" t="s">
        <v>780</v>
      </c>
      <c r="G61" s="441" t="s">
        <v>253</v>
      </c>
      <c r="H61" s="582"/>
      <c r="I61" s="441" t="s">
        <v>254</v>
      </c>
      <c r="J61" s="582"/>
      <c r="K61" s="582"/>
      <c r="L61" s="441" t="s">
        <v>1151</v>
      </c>
      <c r="M61" s="545"/>
      <c r="N61" s="16"/>
      <c r="O61" s="22"/>
      <c r="P61" s="16"/>
      <c r="Q61" s="545"/>
      <c r="R61" s="548"/>
    </row>
    <row r="62" spans="3:18" ht="15.75">
      <c r="C62" s="548"/>
      <c r="D62" s="545"/>
      <c r="E62" s="545"/>
      <c r="F62" s="545"/>
      <c r="G62" s="7"/>
      <c r="H62" s="8"/>
      <c r="I62" s="9"/>
      <c r="K62" s="8"/>
      <c r="L62" s="9" t="s">
        <v>577</v>
      </c>
      <c r="M62" s="545"/>
      <c r="N62" s="545"/>
      <c r="O62" s="545"/>
      <c r="P62" s="545"/>
      <c r="Q62" s="545"/>
      <c r="R62" s="548"/>
    </row>
    <row r="63" spans="1:18" ht="15.75">
      <c r="A63" s="679"/>
      <c r="C63" s="11" t="s">
        <v>1291</v>
      </c>
      <c r="D63" s="545"/>
      <c r="E63" s="37"/>
      <c r="F63" s="37"/>
      <c r="G63" s="545"/>
      <c r="H63" s="545"/>
      <c r="I63" s="545"/>
      <c r="J63" s="545"/>
      <c r="K63" s="545"/>
      <c r="L63" s="545"/>
      <c r="M63" s="545"/>
      <c r="N63" s="545"/>
      <c r="O63" s="545"/>
      <c r="P63" s="545"/>
      <c r="Q63" s="545"/>
      <c r="R63" s="548"/>
    </row>
    <row r="64" spans="1:18" ht="15">
      <c r="A64" s="679">
        <v>1</v>
      </c>
      <c r="C64" s="560" t="s">
        <v>1560</v>
      </c>
      <c r="D64" s="545" t="s">
        <v>753</v>
      </c>
      <c r="E64" s="552"/>
      <c r="F64" s="552"/>
      <c r="G64" s="703">
        <f>'P-2 (Exp. &amp; Rev. Credits)'!H16</f>
        <v>395366.94688488</v>
      </c>
      <c r="H64" s="545" t="s">
        <v>1100</v>
      </c>
      <c r="I64" s="545"/>
      <c r="J64" s="559">
        <v>1</v>
      </c>
      <c r="K64" s="545"/>
      <c r="L64" s="552">
        <f>+J64*G64</f>
        <v>395366.94688488</v>
      </c>
      <c r="M64" s="553"/>
      <c r="N64" s="545"/>
      <c r="O64" s="545"/>
      <c r="P64" s="545"/>
      <c r="Q64" s="680"/>
      <c r="R64" s="545" t="s">
        <v>1100</v>
      </c>
    </row>
    <row r="65" spans="1:18" ht="15">
      <c r="A65" s="702">
        <v>2</v>
      </c>
      <c r="B65" s="544"/>
      <c r="C65" s="560" t="s">
        <v>1759</v>
      </c>
      <c r="D65" s="545" t="s">
        <v>754</v>
      </c>
      <c r="E65" s="953"/>
      <c r="F65" s="953"/>
      <c r="G65" s="932">
        <f>'P-2 (Exp. &amp; Rev. Credits)'!H17</f>
        <v>28544.470737874854</v>
      </c>
      <c r="H65" s="547"/>
      <c r="I65" s="547"/>
      <c r="J65" s="559">
        <v>1</v>
      </c>
      <c r="K65" s="547"/>
      <c r="L65" s="689">
        <f>+J65*G65</f>
        <v>28544.470737874854</v>
      </c>
      <c r="M65" s="553"/>
      <c r="N65" s="545"/>
      <c r="O65" s="545"/>
      <c r="P65" s="545"/>
      <c r="Q65" s="680"/>
      <c r="R65" s="545"/>
    </row>
    <row r="66" spans="1:18" ht="15">
      <c r="A66" s="679" t="s">
        <v>1757</v>
      </c>
      <c r="C66" s="548" t="s">
        <v>227</v>
      </c>
      <c r="D66" s="545" t="s">
        <v>578</v>
      </c>
      <c r="E66" s="557"/>
      <c r="F66" s="557"/>
      <c r="G66" s="932">
        <f>'P-2 (Exp. &amp; Rev. Credits)'!H18</f>
        <v>90731.67244775771</v>
      </c>
      <c r="H66" s="545" t="s">
        <v>1100</v>
      </c>
      <c r="I66" s="545" t="s">
        <v>1100</v>
      </c>
      <c r="J66" s="556">
        <v>1</v>
      </c>
      <c r="K66" s="545"/>
      <c r="L66" s="555">
        <f>+J66*G66</f>
        <v>90731.67244775771</v>
      </c>
      <c r="M66" s="553"/>
      <c r="N66" s="545"/>
      <c r="O66" s="545"/>
      <c r="P66" s="545"/>
      <c r="Q66" s="680"/>
      <c r="R66" s="545"/>
    </row>
    <row r="67" spans="1:18" ht="15">
      <c r="A67" s="679">
        <v>3</v>
      </c>
      <c r="C67" s="548" t="s">
        <v>1358</v>
      </c>
      <c r="D67" s="545" t="s">
        <v>579</v>
      </c>
      <c r="E67" s="557"/>
      <c r="F67" s="557"/>
      <c r="G67" s="932">
        <f>'P-2 (Exp. &amp; Rev. Credits)'!H19</f>
        <v>2285045.605803528</v>
      </c>
      <c r="H67" s="545"/>
      <c r="I67" s="545" t="s">
        <v>1282</v>
      </c>
      <c r="J67" s="556">
        <f>+J$24</f>
        <v>0.053603184670747886</v>
      </c>
      <c r="K67" s="545"/>
      <c r="L67" s="555">
        <f>+J67*G67</f>
        <v>122485.72158896748</v>
      </c>
      <c r="M67" s="545"/>
      <c r="N67" s="545" t="s">
        <v>1100</v>
      </c>
      <c r="O67" s="545"/>
      <c r="P67" s="697"/>
      <c r="Q67" s="680"/>
      <c r="R67" s="548"/>
    </row>
    <row r="68" spans="1:18" ht="15">
      <c r="A68" s="679" t="s">
        <v>1770</v>
      </c>
      <c r="C68" s="560" t="s">
        <v>695</v>
      </c>
      <c r="D68" s="545" t="s">
        <v>580</v>
      </c>
      <c r="E68" s="557"/>
      <c r="F68" s="557"/>
      <c r="G68" s="932">
        <f>'P-2 (Exp. &amp; Rev. Credits)'!H20</f>
        <v>13687502</v>
      </c>
      <c r="H68" s="545"/>
      <c r="I68" s="545" t="s">
        <v>1282</v>
      </c>
      <c r="J68" s="556">
        <f>+J$24</f>
        <v>0.053603184670747886</v>
      </c>
      <c r="K68" s="545"/>
      <c r="L68" s="555">
        <f aca="true" t="shared" si="1" ref="L68:L76">+J68*G68</f>
        <v>733693.697387231</v>
      </c>
      <c r="M68" s="545"/>
      <c r="N68" s="545"/>
      <c r="O68" s="545"/>
      <c r="P68" s="697"/>
      <c r="Q68" s="680"/>
      <c r="R68" s="548"/>
    </row>
    <row r="69" spans="1:18" ht="15">
      <c r="A69" s="679">
        <v>4</v>
      </c>
      <c r="C69" s="560" t="s">
        <v>696</v>
      </c>
      <c r="D69" s="545" t="s">
        <v>581</v>
      </c>
      <c r="E69" s="557"/>
      <c r="F69" s="557"/>
      <c r="G69" s="932">
        <f>'P-2 (Exp. &amp; Rev. Credits)'!H21</f>
        <v>16339609</v>
      </c>
      <c r="H69" s="545"/>
      <c r="I69" s="545" t="s">
        <v>1282</v>
      </c>
      <c r="J69" s="556">
        <f>+J$24</f>
        <v>0.053603184670747886</v>
      </c>
      <c r="K69" s="545"/>
      <c r="L69" s="555">
        <f t="shared" si="1"/>
        <v>875855.0786748142</v>
      </c>
      <c r="M69" s="545"/>
      <c r="N69" s="545"/>
      <c r="O69" s="545"/>
      <c r="P69" s="697"/>
      <c r="Q69" s="680"/>
      <c r="R69" s="548"/>
    </row>
    <row r="70" spans="1:18" ht="15">
      <c r="A70" s="679">
        <v>5</v>
      </c>
      <c r="B70" s="679"/>
      <c r="C70" s="560" t="s">
        <v>1292</v>
      </c>
      <c r="D70" s="545" t="s">
        <v>582</v>
      </c>
      <c r="E70" s="557"/>
      <c r="F70" s="557"/>
      <c r="G70" s="932">
        <f>'P-2 (Exp. &amp; Rev. Credits)'!H22</f>
        <v>0</v>
      </c>
      <c r="H70" s="545"/>
      <c r="I70" s="545" t="str">
        <f>+I67</f>
        <v>W/S</v>
      </c>
      <c r="J70" s="556">
        <f>+J67</f>
        <v>0.053603184670747886</v>
      </c>
      <c r="K70" s="545"/>
      <c r="L70" s="555">
        <f t="shared" si="1"/>
        <v>0</v>
      </c>
      <c r="M70" s="545"/>
      <c r="N70" s="545"/>
      <c r="O70" s="545"/>
      <c r="P70" s="954"/>
      <c r="Q70" s="680"/>
      <c r="R70" s="548"/>
    </row>
    <row r="71" spans="1:18" ht="15">
      <c r="A71" s="679">
        <v>6</v>
      </c>
      <c r="B71" s="679"/>
      <c r="C71" s="560" t="s">
        <v>697</v>
      </c>
      <c r="D71" s="545" t="s">
        <v>583</v>
      </c>
      <c r="E71" s="557"/>
      <c r="F71" s="557"/>
      <c r="G71" s="932">
        <f>'P-2 (Exp. &amp; Rev. Credits)'!H23</f>
        <v>0</v>
      </c>
      <c r="H71" s="545" t="s">
        <v>1100</v>
      </c>
      <c r="I71" s="545" t="str">
        <f aca="true" t="shared" si="2" ref="I71:J73">+I70</f>
        <v>W/S</v>
      </c>
      <c r="J71" s="556">
        <f t="shared" si="2"/>
        <v>0.053603184670747886</v>
      </c>
      <c r="K71" s="545"/>
      <c r="L71" s="555">
        <f t="shared" si="1"/>
        <v>0</v>
      </c>
      <c r="M71" s="545"/>
      <c r="N71" s="545"/>
      <c r="O71" s="545"/>
      <c r="P71" s="545"/>
      <c r="Q71" s="680"/>
      <c r="R71" s="548"/>
    </row>
    <row r="72" spans="1:18" ht="15">
      <c r="A72" s="679" t="s">
        <v>207</v>
      </c>
      <c r="B72" s="679"/>
      <c r="C72" s="560" t="s">
        <v>408</v>
      </c>
      <c r="D72" s="545" t="s">
        <v>584</v>
      </c>
      <c r="E72" s="557"/>
      <c r="F72" s="557"/>
      <c r="G72" s="932">
        <f>'P-2 (Exp. &amp; Rev. Credits)'!H24</f>
        <v>22556.579632799563</v>
      </c>
      <c r="H72" s="545" t="s">
        <v>1100</v>
      </c>
      <c r="I72" s="545" t="str">
        <f t="shared" si="2"/>
        <v>W/S</v>
      </c>
      <c r="J72" s="556">
        <f t="shared" si="2"/>
        <v>0.053603184670747886</v>
      </c>
      <c r="K72" s="545"/>
      <c r="L72" s="555">
        <f t="shared" si="1"/>
        <v>1209.1045035973855</v>
      </c>
      <c r="M72" s="545"/>
      <c r="N72" s="545"/>
      <c r="O72" s="545"/>
      <c r="P72" s="698"/>
      <c r="Q72" s="680"/>
      <c r="R72" s="548"/>
    </row>
    <row r="73" spans="1:18" ht="15">
      <c r="A73" s="679" t="s">
        <v>1771</v>
      </c>
      <c r="B73" s="679"/>
      <c r="C73" s="560" t="s">
        <v>407</v>
      </c>
      <c r="D73" s="545" t="s">
        <v>585</v>
      </c>
      <c r="E73" s="557"/>
      <c r="F73" s="557"/>
      <c r="G73" s="932">
        <f>'P-2 (Exp. &amp; Rev. Credits)'!H25</f>
        <v>70042.19012385463</v>
      </c>
      <c r="H73" s="545"/>
      <c r="I73" s="545" t="str">
        <f t="shared" si="2"/>
        <v>W/S</v>
      </c>
      <c r="J73" s="556">
        <f t="shared" si="2"/>
        <v>0.053603184670747886</v>
      </c>
      <c r="K73" s="545"/>
      <c r="L73" s="555">
        <f t="shared" si="1"/>
        <v>3754.484451952613</v>
      </c>
      <c r="M73" s="545"/>
      <c r="N73" s="545"/>
      <c r="O73" s="545"/>
      <c r="P73" s="698"/>
      <c r="Q73" s="680"/>
      <c r="R73" s="548"/>
    </row>
    <row r="74" spans="1:18" ht="15">
      <c r="A74" s="679">
        <v>7</v>
      </c>
      <c r="B74" s="679"/>
      <c r="C74" s="560" t="s">
        <v>1768</v>
      </c>
      <c r="D74" s="545" t="s">
        <v>586</v>
      </c>
      <c r="E74" s="557"/>
      <c r="F74" s="557"/>
      <c r="G74" s="932">
        <f>'P-2 (Exp. &amp; Rev. Credits)'!H26</f>
        <v>11588.613429650755</v>
      </c>
      <c r="H74" s="545"/>
      <c r="I74" s="545"/>
      <c r="J74" s="556">
        <v>1</v>
      </c>
      <c r="K74" s="545"/>
      <c r="L74" s="555">
        <f t="shared" si="1"/>
        <v>11588.613429650755</v>
      </c>
      <c r="M74" s="545"/>
      <c r="N74" s="545"/>
      <c r="O74" s="545"/>
      <c r="P74" s="698"/>
      <c r="Q74" s="680"/>
      <c r="R74" s="548"/>
    </row>
    <row r="75" spans="1:18" ht="15">
      <c r="A75" s="679">
        <f>A74+1</f>
        <v>8</v>
      </c>
      <c r="B75" s="679"/>
      <c r="C75" s="560" t="s">
        <v>698</v>
      </c>
      <c r="D75" s="545" t="s">
        <v>587</v>
      </c>
      <c r="E75" s="557"/>
      <c r="F75" s="557"/>
      <c r="G75" s="932">
        <f>'P-2 (Exp. &amp; Rev. Credits)'!H27</f>
        <v>4740.3748443648465</v>
      </c>
      <c r="H75" s="545"/>
      <c r="I75" s="545" t="str">
        <f>+I72</f>
        <v>W/S</v>
      </c>
      <c r="J75" s="556">
        <f>+J72</f>
        <v>0.053603184670747886</v>
      </c>
      <c r="K75" s="545"/>
      <c r="L75" s="555">
        <f t="shared" si="1"/>
        <v>254.09918819105664</v>
      </c>
      <c r="M75" s="545"/>
      <c r="N75" s="545"/>
      <c r="O75" s="545"/>
      <c r="P75" s="698"/>
      <c r="Q75" s="680"/>
      <c r="R75" s="548"/>
    </row>
    <row r="76" spans="1:18" ht="15">
      <c r="A76" s="679">
        <f>A75+1</f>
        <v>9</v>
      </c>
      <c r="B76" s="679"/>
      <c r="C76" s="560" t="s">
        <v>1283</v>
      </c>
      <c r="D76" s="545" t="s">
        <v>588</v>
      </c>
      <c r="E76" s="557"/>
      <c r="F76" s="557"/>
      <c r="G76" s="932">
        <f>'P-2 (Exp. &amp; Rev. Credits)'!H28</f>
        <v>0</v>
      </c>
      <c r="H76" s="545"/>
      <c r="I76" s="545" t="s">
        <v>715</v>
      </c>
      <c r="J76" s="556">
        <f>N204</f>
        <v>0.053603184670747886</v>
      </c>
      <c r="K76" s="545"/>
      <c r="L76" s="555">
        <f t="shared" si="1"/>
        <v>0</v>
      </c>
      <c r="M76" s="545"/>
      <c r="N76" s="545"/>
      <c r="O76" s="545"/>
      <c r="P76" s="698"/>
      <c r="Q76" s="680"/>
      <c r="R76" s="548"/>
    </row>
    <row r="77" spans="1:18" ht="15.75" thickBot="1">
      <c r="A77" s="679">
        <f>A76+1</f>
        <v>10</v>
      </c>
      <c r="B77" s="679"/>
      <c r="C77" s="560" t="s">
        <v>1293</v>
      </c>
      <c r="D77" s="545" t="s">
        <v>589</v>
      </c>
      <c r="E77" s="955"/>
      <c r="F77" s="955"/>
      <c r="G77" s="648">
        <f>'P-2 (Exp. &amp; Rev. Credits)'!H29</f>
        <v>0</v>
      </c>
      <c r="H77" s="545"/>
      <c r="I77" s="545" t="s">
        <v>1100</v>
      </c>
      <c r="J77" s="556">
        <v>1</v>
      </c>
      <c r="K77" s="545"/>
      <c r="L77" s="705">
        <f>+J77*G77</f>
        <v>0</v>
      </c>
      <c r="M77" s="545"/>
      <c r="N77" s="545"/>
      <c r="O77" s="545"/>
      <c r="P77" s="545"/>
      <c r="Q77" s="680"/>
      <c r="R77" s="548"/>
    </row>
    <row r="78" spans="1:18" ht="15">
      <c r="A78" s="679">
        <f>A77+1</f>
        <v>11</v>
      </c>
      <c r="B78" s="679"/>
      <c r="C78" s="548" t="s">
        <v>674</v>
      </c>
      <c r="D78" s="545" t="s">
        <v>755</v>
      </c>
      <c r="E78" s="552"/>
      <c r="F78" s="552"/>
      <c r="G78" s="552">
        <f>(G64+G67+G69+G74+G75+G76+G77)-(G65+G66+G68+G70+G71+G72+G73)</f>
        <v>5136973.628020138</v>
      </c>
      <c r="H78" s="545"/>
      <c r="I78" s="545"/>
      <c r="J78" s="545"/>
      <c r="K78" s="545"/>
      <c r="L78" s="552">
        <f>(L64+L67+L69+L74+L75+L76+L77)-(L65+L66+L68+L70+L71+L72+L73)</f>
        <v>547617.0302380899</v>
      </c>
      <c r="M78" s="545"/>
      <c r="N78" s="545"/>
      <c r="O78" s="545"/>
      <c r="P78" s="951"/>
      <c r="Q78" s="545"/>
      <c r="R78" s="548"/>
    </row>
    <row r="79" spans="1:18" ht="15">
      <c r="A79" s="679"/>
      <c r="B79" s="679"/>
      <c r="D79" s="545"/>
      <c r="E79" s="545"/>
      <c r="F79" s="545"/>
      <c r="H79" s="545"/>
      <c r="I79" s="545"/>
      <c r="J79" s="545"/>
      <c r="K79" s="545"/>
      <c r="M79" s="545"/>
      <c r="N79" s="545"/>
      <c r="O79" s="545"/>
      <c r="P79" s="545"/>
      <c r="Q79" s="545"/>
      <c r="R79" s="548"/>
    </row>
    <row r="80" spans="1:18" ht="15.75">
      <c r="A80" s="679"/>
      <c r="B80" s="679"/>
      <c r="C80" s="11" t="s">
        <v>1294</v>
      </c>
      <c r="D80" s="37"/>
      <c r="E80" s="37"/>
      <c r="F80" s="37"/>
      <c r="G80" s="545"/>
      <c r="H80" s="545"/>
      <c r="I80" s="545"/>
      <c r="J80" s="545"/>
      <c r="K80" s="545"/>
      <c r="L80" s="545"/>
      <c r="M80" s="545"/>
      <c r="N80" s="545"/>
      <c r="O80" s="545"/>
      <c r="P80" s="545"/>
      <c r="Q80" s="545"/>
      <c r="R80" s="548"/>
    </row>
    <row r="81" spans="1:18" ht="15">
      <c r="A81" s="679">
        <f>A78+1</f>
        <v>12</v>
      </c>
      <c r="B81" s="679"/>
      <c r="C81" s="560" t="s">
        <v>258</v>
      </c>
      <c r="D81" s="547" t="s">
        <v>1803</v>
      </c>
      <c r="E81" s="585"/>
      <c r="F81" s="585"/>
      <c r="G81" s="703">
        <f>'P-1 (Trans Plant)'!D91</f>
        <v>0</v>
      </c>
      <c r="H81" s="545"/>
      <c r="I81" s="545" t="s">
        <v>1108</v>
      </c>
      <c r="J81" s="556">
        <f>+J39</f>
        <v>0.9973294379616451</v>
      </c>
      <c r="K81" s="545"/>
      <c r="L81" s="552">
        <f>+J81*G81</f>
        <v>0</v>
      </c>
      <c r="M81" s="545"/>
      <c r="N81" s="551"/>
      <c r="O81" s="545"/>
      <c r="P81" s="545"/>
      <c r="Q81" s="680"/>
      <c r="R81" s="545" t="s">
        <v>1100</v>
      </c>
    </row>
    <row r="82" spans="1:18" ht="15">
      <c r="A82" s="679">
        <f>A81+1</f>
        <v>13</v>
      </c>
      <c r="B82" s="679"/>
      <c r="C82" s="548" t="s">
        <v>685</v>
      </c>
      <c r="D82" s="545" t="s">
        <v>1513</v>
      </c>
      <c r="E82" s="932">
        <f>'Actual Gross Rev'!E91</f>
        <v>9087280</v>
      </c>
      <c r="F82" s="932">
        <f>'Actual Gross Rev'!F91</f>
        <v>6215989</v>
      </c>
      <c r="G82" s="689">
        <f>E82+F82</f>
        <v>15303269</v>
      </c>
      <c r="H82" s="545"/>
      <c r="I82" s="545" t="s">
        <v>1282</v>
      </c>
      <c r="J82" s="556">
        <f>+J67</f>
        <v>0.053603184670747886</v>
      </c>
      <c r="K82" s="545"/>
      <c r="L82" s="555">
        <f>+J82*G82</f>
        <v>820303.9542731313</v>
      </c>
      <c r="M82" s="545"/>
      <c r="N82" s="551"/>
      <c r="O82" s="545"/>
      <c r="P82" s="545"/>
      <c r="Q82" s="680"/>
      <c r="R82" s="545" t="s">
        <v>1100</v>
      </c>
    </row>
    <row r="83" spans="1:18" ht="15">
      <c r="A83" s="679" t="s">
        <v>690</v>
      </c>
      <c r="B83" s="679"/>
      <c r="C83" s="548" t="s">
        <v>682</v>
      </c>
      <c r="D83" s="545" t="s">
        <v>1666</v>
      </c>
      <c r="E83" s="932">
        <f>'Actual Gross Rev'!E92</f>
        <v>2061466</v>
      </c>
      <c r="F83" s="932">
        <f>'Actual Gross Rev'!F92</f>
        <v>1277822</v>
      </c>
      <c r="G83" s="689">
        <f>E83+F83</f>
        <v>3339288</v>
      </c>
      <c r="H83" s="545"/>
      <c r="I83" s="545" t="s">
        <v>1282</v>
      </c>
      <c r="J83" s="556">
        <f>+J68</f>
        <v>0.053603184670747886</v>
      </c>
      <c r="K83" s="545"/>
      <c r="L83" s="555">
        <f>+J83*G83</f>
        <v>178996.47133281236</v>
      </c>
      <c r="M83" s="545"/>
      <c r="N83" s="551"/>
      <c r="O83" s="545"/>
      <c r="P83" s="545"/>
      <c r="Q83" s="680"/>
      <c r="R83" s="545"/>
    </row>
    <row r="84" spans="1:18" ht="15">
      <c r="A84" s="679">
        <f>A82+1</f>
        <v>14</v>
      </c>
      <c r="B84" s="679"/>
      <c r="C84" s="548" t="str">
        <f>+C76</f>
        <v>  Common</v>
      </c>
      <c r="D84" s="545" t="s">
        <v>1667</v>
      </c>
      <c r="E84" s="956">
        <f>'Actual Gross Rev'!E93</f>
        <v>0</v>
      </c>
      <c r="F84" s="956">
        <f>'Actual Gross Rev'!F93</f>
        <v>0</v>
      </c>
      <c r="G84" s="708">
        <f>E84+F84</f>
        <v>0</v>
      </c>
      <c r="H84" s="957"/>
      <c r="I84" s="957" t="s">
        <v>715</v>
      </c>
      <c r="J84" s="958">
        <f>+J73</f>
        <v>0.053603184670747886</v>
      </c>
      <c r="K84" s="957"/>
      <c r="L84" s="709">
        <f>+J84*G84</f>
        <v>0</v>
      </c>
      <c r="M84" s="545"/>
      <c r="N84" s="551"/>
      <c r="O84" s="545"/>
      <c r="P84" s="545"/>
      <c r="Q84" s="680"/>
      <c r="R84" s="545" t="s">
        <v>1100</v>
      </c>
    </row>
    <row r="85" spans="1:18" ht="30.75" thickBot="1">
      <c r="A85" s="710" t="s">
        <v>871</v>
      </c>
      <c r="B85" s="710"/>
      <c r="C85" s="711" t="s">
        <v>872</v>
      </c>
      <c r="D85" s="712" t="s">
        <v>873</v>
      </c>
      <c r="E85" s="713">
        <v>0</v>
      </c>
      <c r="F85" s="713">
        <v>0</v>
      </c>
      <c r="G85" s="558">
        <f>E85+F85</f>
        <v>0</v>
      </c>
      <c r="H85" s="714"/>
      <c r="I85" s="714" t="s">
        <v>1289</v>
      </c>
      <c r="J85" s="715">
        <f>TE</f>
        <v>0.9253248326646663</v>
      </c>
      <c r="K85" s="714"/>
      <c r="L85" s="705">
        <f>+J85*G85</f>
        <v>0</v>
      </c>
      <c r="M85" s="545"/>
      <c r="N85" s="551"/>
      <c r="O85" s="545"/>
      <c r="P85" s="545"/>
      <c r="Q85" s="680"/>
      <c r="R85" s="545"/>
    </row>
    <row r="86" spans="1:18" ht="15">
      <c r="A86" s="679">
        <f>A84+1</f>
        <v>15</v>
      </c>
      <c r="B86" s="679"/>
      <c r="C86" s="548" t="s">
        <v>374</v>
      </c>
      <c r="D86" s="545" t="s">
        <v>375</v>
      </c>
      <c r="E86" s="552"/>
      <c r="F86" s="552"/>
      <c r="G86" s="552">
        <f>SUM(G81:G85)</f>
        <v>18642557</v>
      </c>
      <c r="H86" s="545"/>
      <c r="I86" s="545"/>
      <c r="J86" s="545"/>
      <c r="K86" s="545"/>
      <c r="L86" s="552">
        <f>SUM(L81:L85)</f>
        <v>999300.4256059437</v>
      </c>
      <c r="M86" s="545"/>
      <c r="N86" s="545"/>
      <c r="O86" s="545"/>
      <c r="P86" s="545"/>
      <c r="Q86" s="545"/>
      <c r="R86" s="548"/>
    </row>
    <row r="87" spans="1:18" ht="15">
      <c r="A87" s="679"/>
      <c r="B87" s="679"/>
      <c r="C87" s="548"/>
      <c r="D87" s="545"/>
      <c r="E87" s="545"/>
      <c r="F87" s="545"/>
      <c r="G87" s="545"/>
      <c r="H87" s="545"/>
      <c r="I87" s="545"/>
      <c r="J87" s="545"/>
      <c r="K87" s="545"/>
      <c r="L87" s="545"/>
      <c r="M87" s="545"/>
      <c r="N87" s="545"/>
      <c r="O87" s="545"/>
      <c r="P87" s="545"/>
      <c r="Q87" s="545"/>
      <c r="R87" s="548"/>
    </row>
    <row r="88" spans="1:18" ht="15.75">
      <c r="A88" s="679" t="s">
        <v>1100</v>
      </c>
      <c r="B88" s="679"/>
      <c r="C88" s="11" t="s">
        <v>228</v>
      </c>
      <c r="G88" s="545"/>
      <c r="H88" s="545"/>
      <c r="I88" s="545"/>
      <c r="J88" s="545"/>
      <c r="K88" s="545"/>
      <c r="L88" s="545"/>
      <c r="M88" s="545"/>
      <c r="N88" s="545"/>
      <c r="O88" s="545"/>
      <c r="P88" s="545"/>
      <c r="Q88" s="545"/>
      <c r="R88" s="548"/>
    </row>
    <row r="89" spans="1:18" ht="15.75">
      <c r="A89" s="679"/>
      <c r="B89" s="679"/>
      <c r="C89" s="548" t="s">
        <v>1295</v>
      </c>
      <c r="D89" s="38"/>
      <c r="E89" s="38"/>
      <c r="F89" s="38"/>
      <c r="H89" s="545"/>
      <c r="I89" s="545"/>
      <c r="K89" s="545"/>
      <c r="M89" s="545"/>
      <c r="N89" s="551"/>
      <c r="O89" s="545"/>
      <c r="P89" s="590"/>
      <c r="Q89" s="680"/>
      <c r="R89" s="548"/>
    </row>
    <row r="90" spans="1:18" ht="15">
      <c r="A90" s="679">
        <f>A86+1</f>
        <v>16</v>
      </c>
      <c r="B90" s="679"/>
      <c r="C90" s="548" t="s">
        <v>1296</v>
      </c>
      <c r="D90" s="545" t="s">
        <v>591</v>
      </c>
      <c r="E90" s="585"/>
      <c r="F90" s="585"/>
      <c r="G90" s="703">
        <f>'P-2 (Exp. &amp; Rev. Credits)'!H34</f>
        <v>153040.71058930262</v>
      </c>
      <c r="H90" s="545"/>
      <c r="I90" s="545" t="s">
        <v>1282</v>
      </c>
      <c r="J90" s="716">
        <f>+J82</f>
        <v>0.053603184670747886</v>
      </c>
      <c r="K90" s="545"/>
      <c r="L90" s="552">
        <f>+J90*G90</f>
        <v>8203.46947186087</v>
      </c>
      <c r="M90" s="545"/>
      <c r="N90" s="551"/>
      <c r="O90" s="545"/>
      <c r="P90" s="590"/>
      <c r="Q90" s="680"/>
      <c r="R90" s="548"/>
    </row>
    <row r="91" spans="1:18" ht="15">
      <c r="A91" s="679">
        <f>A90+1</f>
        <v>17</v>
      </c>
      <c r="B91" s="679"/>
      <c r="C91" s="548" t="s">
        <v>1297</v>
      </c>
      <c r="D91" s="545" t="s">
        <v>756</v>
      </c>
      <c r="E91" s="959"/>
      <c r="F91" s="959"/>
      <c r="G91" s="703">
        <f>'P-2 (Exp. &amp; Rev. Credits)'!H35</f>
        <v>0</v>
      </c>
      <c r="H91" s="545"/>
      <c r="I91" s="545" t="str">
        <f>+I90</f>
        <v>W/S</v>
      </c>
      <c r="J91" s="716">
        <f>+J90</f>
        <v>0.053603184670747886</v>
      </c>
      <c r="K91" s="545"/>
      <c r="L91" s="555">
        <f>+J91*G91</f>
        <v>0</v>
      </c>
      <c r="M91" s="545"/>
      <c r="N91" s="551"/>
      <c r="O91" s="545"/>
      <c r="P91" s="590"/>
      <c r="Q91" s="680"/>
      <c r="R91" s="548"/>
    </row>
    <row r="92" spans="1:18" ht="15">
      <c r="A92" s="679"/>
      <c r="B92" s="679"/>
      <c r="C92" s="548" t="s">
        <v>1298</v>
      </c>
      <c r="D92" s="547" t="s">
        <v>1100</v>
      </c>
      <c r="E92" s="959"/>
      <c r="F92" s="959"/>
      <c r="G92" s="689"/>
      <c r="H92" s="545"/>
      <c r="I92" s="545"/>
      <c r="K92" s="545"/>
      <c r="L92" s="555"/>
      <c r="M92" s="545"/>
      <c r="N92" s="551"/>
      <c r="O92" s="545"/>
      <c r="P92" s="590"/>
      <c r="Q92" s="680"/>
      <c r="R92" s="548"/>
    </row>
    <row r="93" spans="1:18" ht="15">
      <c r="A93" s="679">
        <v>18</v>
      </c>
      <c r="B93" s="679"/>
      <c r="C93" s="548" t="s">
        <v>1683</v>
      </c>
      <c r="D93" s="545" t="s">
        <v>757</v>
      </c>
      <c r="E93" s="959"/>
      <c r="F93" s="959"/>
      <c r="G93" s="932">
        <f>'P-2 (Exp. &amp; Rev. Credits)'!H37</f>
        <v>1082040.2888723812</v>
      </c>
      <c r="H93" s="717"/>
      <c r="I93" s="547" t="s">
        <v>1290</v>
      </c>
      <c r="J93" s="718">
        <f>J160</f>
        <v>0.12698143054354016</v>
      </c>
      <c r="K93" s="545"/>
      <c r="L93" s="555">
        <f>+J93*G93</f>
        <v>137399.0237867604</v>
      </c>
      <c r="M93" s="545"/>
      <c r="N93" s="551"/>
      <c r="O93" s="545"/>
      <c r="P93" s="590"/>
      <c r="Q93" s="680"/>
      <c r="R93" s="548"/>
    </row>
    <row r="94" spans="1:18" ht="15">
      <c r="A94" s="679">
        <f>A93+1</f>
        <v>19</v>
      </c>
      <c r="B94" s="679"/>
      <c r="C94" s="548" t="s">
        <v>1299</v>
      </c>
      <c r="D94" s="545" t="s">
        <v>758</v>
      </c>
      <c r="E94" s="959"/>
      <c r="F94" s="959"/>
      <c r="G94" s="932">
        <f>'P-2 (Exp. &amp; Rev. Credits)'!H38</f>
        <v>0</v>
      </c>
      <c r="H94" s="547"/>
      <c r="I94" s="547" t="s">
        <v>257</v>
      </c>
      <c r="J94" s="719">
        <v>0</v>
      </c>
      <c r="K94" s="545"/>
      <c r="L94" s="555">
        <v>0</v>
      </c>
      <c r="M94" s="545"/>
      <c r="N94" s="551"/>
      <c r="O94" s="545"/>
      <c r="P94" s="590"/>
      <c r="Q94" s="680"/>
      <c r="R94" s="548"/>
    </row>
    <row r="95" spans="1:18" ht="15">
      <c r="A95" s="679">
        <f>A94+1</f>
        <v>20</v>
      </c>
      <c r="B95" s="679"/>
      <c r="C95" s="548" t="s">
        <v>34</v>
      </c>
      <c r="D95" s="545" t="s">
        <v>759</v>
      </c>
      <c r="E95" s="959"/>
      <c r="F95" s="959"/>
      <c r="G95" s="932">
        <f>'P-2 (Exp. &amp; Rev. Credits)'!H39</f>
        <v>-10985.039661385796</v>
      </c>
      <c r="H95" s="547"/>
      <c r="I95" s="547" t="s">
        <v>1290</v>
      </c>
      <c r="J95" s="718">
        <f>J160</f>
        <v>0.12698143054354016</v>
      </c>
      <c r="K95" s="545"/>
      <c r="L95" s="555">
        <f>+J95*G95</f>
        <v>-1394.8960507802944</v>
      </c>
      <c r="M95" s="545"/>
      <c r="N95" s="551"/>
      <c r="O95" s="545"/>
      <c r="P95" s="590"/>
      <c r="Q95" s="680"/>
      <c r="R95" s="548"/>
    </row>
    <row r="96" spans="1:18" ht="15.75" thickBot="1">
      <c r="A96" s="679">
        <f>A95+1</f>
        <v>21</v>
      </c>
      <c r="B96" s="679"/>
      <c r="C96" s="548" t="s">
        <v>1300</v>
      </c>
      <c r="D96" s="545" t="s">
        <v>760</v>
      </c>
      <c r="E96" s="960"/>
      <c r="F96" s="960"/>
      <c r="G96" s="648">
        <f>'P-2 (Exp. &amp; Rev. Credits)'!H40</f>
        <v>0</v>
      </c>
      <c r="H96" s="547"/>
      <c r="I96" s="547" t="s">
        <v>1290</v>
      </c>
      <c r="J96" s="718">
        <f>+J93</f>
        <v>0.12698143054354016</v>
      </c>
      <c r="K96" s="545"/>
      <c r="L96" s="705">
        <f>+J96*G96</f>
        <v>0</v>
      </c>
      <c r="M96" s="545"/>
      <c r="N96" s="551"/>
      <c r="O96" s="545"/>
      <c r="P96" s="590"/>
      <c r="Q96" s="680"/>
      <c r="R96" s="548"/>
    </row>
    <row r="97" spans="1:18" ht="15">
      <c r="A97" s="679">
        <f>A96+1</f>
        <v>22</v>
      </c>
      <c r="B97" s="679"/>
      <c r="C97" s="548" t="s">
        <v>372</v>
      </c>
      <c r="D97" s="545" t="s">
        <v>373</v>
      </c>
      <c r="E97" s="552"/>
      <c r="F97" s="552"/>
      <c r="G97" s="552">
        <f>SUM(G90:G96)</f>
        <v>1224095.959800298</v>
      </c>
      <c r="H97" s="545"/>
      <c r="I97" s="545"/>
      <c r="J97" s="716"/>
      <c r="K97" s="545"/>
      <c r="L97" s="552">
        <f>SUM(L90:L96)</f>
        <v>144207.597207841</v>
      </c>
      <c r="M97" s="545"/>
      <c r="N97" s="545"/>
      <c r="O97" s="545"/>
      <c r="P97" s="951"/>
      <c r="Q97" s="545"/>
      <c r="R97" s="548"/>
    </row>
    <row r="98" spans="1:18" ht="15">
      <c r="A98" s="679"/>
      <c r="B98" s="679"/>
      <c r="C98" s="548"/>
      <c r="D98" s="545"/>
      <c r="E98" s="545"/>
      <c r="F98" s="545"/>
      <c r="G98" s="545"/>
      <c r="H98" s="545"/>
      <c r="I98" s="545"/>
      <c r="J98" s="716"/>
      <c r="K98" s="545"/>
      <c r="L98" s="545"/>
      <c r="M98" s="545"/>
      <c r="N98" s="545"/>
      <c r="O98" s="545"/>
      <c r="P98" s="951"/>
      <c r="Q98" s="545"/>
      <c r="R98" s="548"/>
    </row>
    <row r="99" spans="1:18" ht="15">
      <c r="A99" s="679" t="s">
        <v>1301</v>
      </c>
      <c r="B99" s="679"/>
      <c r="C99" s="548"/>
      <c r="D99" s="545"/>
      <c r="E99" s="545"/>
      <c r="F99" s="545"/>
      <c r="G99" s="545"/>
      <c r="H99" s="545"/>
      <c r="I99" s="545"/>
      <c r="J99" s="716"/>
      <c r="K99" s="545"/>
      <c r="L99" s="545"/>
      <c r="M99" s="545"/>
      <c r="N99" s="545"/>
      <c r="O99" s="545"/>
      <c r="P99" s="545"/>
      <c r="Q99" s="545"/>
      <c r="R99" s="548"/>
    </row>
    <row r="100" spans="1:18" ht="15.75">
      <c r="A100" s="679" t="s">
        <v>1100</v>
      </c>
      <c r="B100" s="679"/>
      <c r="C100" s="11" t="s">
        <v>1302</v>
      </c>
      <c r="D100" s="545" t="s">
        <v>229</v>
      </c>
      <c r="E100" s="545"/>
      <c r="F100" s="545"/>
      <c r="G100" s="545"/>
      <c r="H100" s="545"/>
      <c r="J100" s="720"/>
      <c r="K100" s="545"/>
      <c r="M100" s="545"/>
      <c r="O100" s="545"/>
      <c r="P100" s="545"/>
      <c r="Q100" s="680"/>
      <c r="R100" s="545" t="s">
        <v>1100</v>
      </c>
    </row>
    <row r="101" spans="1:18" ht="15">
      <c r="A101" s="679">
        <v>23</v>
      </c>
      <c r="B101" s="679"/>
      <c r="C101" s="721" t="s">
        <v>771</v>
      </c>
      <c r="D101" s="545"/>
      <c r="E101" s="545"/>
      <c r="F101" s="545"/>
      <c r="G101" s="722">
        <f>IF(E261&gt;0,1-(((1-E262)*(1-E261))/(1-E262*E261*E263)),0)</f>
        <v>0</v>
      </c>
      <c r="H101" s="545"/>
      <c r="J101" s="720"/>
      <c r="K101" s="545"/>
      <c r="M101" s="545"/>
      <c r="O101" s="545"/>
      <c r="P101" s="545"/>
      <c r="Q101" s="680"/>
      <c r="R101" s="545"/>
    </row>
    <row r="102" spans="1:18" ht="15">
      <c r="A102" s="679">
        <v>24</v>
      </c>
      <c r="B102" s="679"/>
      <c r="C102" s="543" t="s">
        <v>772</v>
      </c>
      <c r="D102" s="545"/>
      <c r="E102" s="545"/>
      <c r="F102" s="545"/>
      <c r="G102" s="722">
        <f>IF(L228&gt;0,(G101/(1-G101))*(1-L225/L228),0)</f>
        <v>0</v>
      </c>
      <c r="H102" s="545"/>
      <c r="J102" s="720"/>
      <c r="K102" s="545"/>
      <c r="M102" s="545"/>
      <c r="O102" s="545"/>
      <c r="P102" s="545"/>
      <c r="Q102" s="680"/>
      <c r="R102" s="545"/>
    </row>
    <row r="103" spans="1:18" ht="15">
      <c r="A103" s="679"/>
      <c r="B103" s="679"/>
      <c r="C103" s="560" t="s">
        <v>1039</v>
      </c>
      <c r="D103" s="545"/>
      <c r="E103" s="545"/>
      <c r="F103" s="545"/>
      <c r="G103" s="545"/>
      <c r="H103" s="545"/>
      <c r="J103" s="720"/>
      <c r="K103" s="545"/>
      <c r="M103" s="545"/>
      <c r="O103" s="545"/>
      <c r="P103" s="545"/>
      <c r="Q103" s="680"/>
      <c r="R103" s="545"/>
    </row>
    <row r="104" spans="1:18" ht="15">
      <c r="A104" s="679"/>
      <c r="B104" s="679"/>
      <c r="C104" s="548" t="s">
        <v>230</v>
      </c>
      <c r="D104" s="545"/>
      <c r="E104" s="545"/>
      <c r="F104" s="545"/>
      <c r="G104" s="545"/>
      <c r="H104" s="545"/>
      <c r="J104" s="720"/>
      <c r="K104" s="545"/>
      <c r="M104" s="545"/>
      <c r="O104" s="545"/>
      <c r="P104" s="545"/>
      <c r="Q104" s="680"/>
      <c r="R104" s="545"/>
    </row>
    <row r="105" spans="1:18" ht="15.75">
      <c r="A105" s="679">
        <v>25</v>
      </c>
      <c r="B105" s="679"/>
      <c r="C105" s="721" t="s">
        <v>661</v>
      </c>
      <c r="D105" s="37"/>
      <c r="E105" s="37"/>
      <c r="F105" s="37"/>
      <c r="G105" s="724">
        <f>IF(G101&gt;0,1/(1-G101),0)</f>
        <v>0</v>
      </c>
      <c r="H105" s="545"/>
      <c r="J105" s="720"/>
      <c r="K105" s="545"/>
      <c r="M105" s="545"/>
      <c r="O105" s="545"/>
      <c r="P105" s="545"/>
      <c r="Q105" s="680"/>
      <c r="R105" s="545"/>
    </row>
    <row r="106" spans="1:18" ht="15">
      <c r="A106" s="679">
        <v>26</v>
      </c>
      <c r="B106" s="679"/>
      <c r="C106" s="548" t="s">
        <v>1033</v>
      </c>
      <c r="D106" s="545" t="s">
        <v>1034</v>
      </c>
      <c r="E106" s="703">
        <f>+'Actual Gross Rev'!E115</f>
        <v>-1035754</v>
      </c>
      <c r="F106" s="703">
        <f>+'Actual Gross Rev'!F115</f>
        <v>-1487813</v>
      </c>
      <c r="G106" s="550">
        <f>E106+F106</f>
        <v>-2523567</v>
      </c>
      <c r="H106" s="545"/>
      <c r="J106" s="720"/>
      <c r="K106" s="545"/>
      <c r="M106" s="545"/>
      <c r="O106" s="545"/>
      <c r="P106" s="545"/>
      <c r="Q106" s="680"/>
      <c r="R106" s="545"/>
    </row>
    <row r="107" spans="1:18" ht="15">
      <c r="A107" s="679"/>
      <c r="B107" s="679"/>
      <c r="C107" s="548"/>
      <c r="D107" s="545"/>
      <c r="E107" s="552"/>
      <c r="F107" s="552"/>
      <c r="G107" s="545"/>
      <c r="H107" s="545"/>
      <c r="J107" s="720"/>
      <c r="K107" s="545"/>
      <c r="M107" s="545"/>
      <c r="O107" s="545"/>
      <c r="P107" s="545"/>
      <c r="Q107" s="680"/>
      <c r="R107" s="545"/>
    </row>
    <row r="108" spans="1:18" ht="15">
      <c r="A108" s="679">
        <v>27</v>
      </c>
      <c r="B108" s="679"/>
      <c r="C108" s="721" t="s">
        <v>662</v>
      </c>
      <c r="D108" s="725"/>
      <c r="E108" s="725"/>
      <c r="F108" s="725"/>
      <c r="G108" s="552">
        <f>G102*G112</f>
        <v>0</v>
      </c>
      <c r="H108" s="545"/>
      <c r="I108" s="545" t="s">
        <v>257</v>
      </c>
      <c r="J108" s="716"/>
      <c r="K108" s="545"/>
      <c r="L108" s="552">
        <f>G102*L112</f>
        <v>0</v>
      </c>
      <c r="M108" s="545"/>
      <c r="N108" s="726" t="s">
        <v>1100</v>
      </c>
      <c r="O108" s="545"/>
      <c r="P108" s="545"/>
      <c r="Q108" s="545"/>
      <c r="R108" s="548"/>
    </row>
    <row r="109" spans="1:18" ht="15.75" thickBot="1">
      <c r="A109" s="679">
        <v>28</v>
      </c>
      <c r="B109" s="679"/>
      <c r="C109" s="543" t="s">
        <v>663</v>
      </c>
      <c r="D109" s="725"/>
      <c r="E109" s="725"/>
      <c r="F109" s="725"/>
      <c r="G109" s="705">
        <f>G105*G106</f>
        <v>0</v>
      </c>
      <c r="H109" s="545"/>
      <c r="I109" s="544" t="s">
        <v>1287</v>
      </c>
      <c r="J109" s="716">
        <f>J176</f>
        <v>0.1385388063163182</v>
      </c>
      <c r="K109" s="545"/>
      <c r="L109" s="705">
        <f>J109*G109</f>
        <v>0</v>
      </c>
      <c r="M109" s="545"/>
      <c r="N109" s="726"/>
      <c r="O109" s="545"/>
      <c r="P109" s="545"/>
      <c r="Q109" s="545"/>
      <c r="R109" s="548"/>
    </row>
    <row r="110" spans="1:18" ht="15">
      <c r="A110" s="679">
        <v>29</v>
      </c>
      <c r="B110" s="679"/>
      <c r="C110" s="727" t="s">
        <v>182</v>
      </c>
      <c r="D110" s="543" t="s">
        <v>664</v>
      </c>
      <c r="G110" s="728">
        <f>+G108+G109</f>
        <v>0</v>
      </c>
      <c r="H110" s="545"/>
      <c r="I110" s="545" t="s">
        <v>1100</v>
      </c>
      <c r="J110" s="716" t="s">
        <v>1100</v>
      </c>
      <c r="K110" s="545"/>
      <c r="L110" s="728">
        <f>+L108+L109</f>
        <v>0</v>
      </c>
      <c r="M110" s="545"/>
      <c r="N110" s="545"/>
      <c r="O110" s="545"/>
      <c r="P110" s="556"/>
      <c r="Q110" s="545"/>
      <c r="R110" s="548"/>
    </row>
    <row r="111" spans="1:18" ht="15">
      <c r="A111" s="679" t="s">
        <v>1100</v>
      </c>
      <c r="B111" s="679"/>
      <c r="D111" s="730"/>
      <c r="E111" s="730"/>
      <c r="F111" s="730"/>
      <c r="G111" s="545"/>
      <c r="H111" s="545"/>
      <c r="I111" s="545"/>
      <c r="J111" s="716"/>
      <c r="K111" s="545"/>
      <c r="L111" s="545"/>
      <c r="M111" s="545"/>
      <c r="N111" s="545"/>
      <c r="O111" s="545"/>
      <c r="P111" s="545"/>
      <c r="Q111" s="545"/>
      <c r="R111" s="548"/>
    </row>
    <row r="112" spans="1:18" ht="15.75">
      <c r="A112" s="679">
        <v>30</v>
      </c>
      <c r="B112" s="679"/>
      <c r="C112" s="11" t="s">
        <v>1303</v>
      </c>
      <c r="D112" s="551"/>
      <c r="E112" s="551"/>
      <c r="F112" s="551"/>
      <c r="G112" s="552"/>
      <c r="H112" s="545"/>
      <c r="I112" s="545" t="s">
        <v>257</v>
      </c>
      <c r="J112" s="720"/>
      <c r="K112" s="545"/>
      <c r="L112" s="552">
        <f>+$L228*L49+J238</f>
        <v>-7220267.562662601</v>
      </c>
      <c r="M112" s="545"/>
      <c r="O112" s="545"/>
      <c r="P112" s="545"/>
      <c r="Q112" s="680"/>
      <c r="R112" s="545" t="s">
        <v>1100</v>
      </c>
    </row>
    <row r="113" spans="1:18" ht="15">
      <c r="A113" s="679"/>
      <c r="B113" s="679"/>
      <c r="C113" s="961" t="s">
        <v>820</v>
      </c>
      <c r="D113" s="544"/>
      <c r="E113" s="544"/>
      <c r="F113" s="547"/>
      <c r="G113" s="545"/>
      <c r="H113" s="545"/>
      <c r="I113" s="545"/>
      <c r="J113" s="720"/>
      <c r="K113" s="545"/>
      <c r="L113" s="545"/>
      <c r="M113" s="545"/>
      <c r="N113" s="551"/>
      <c r="O113" s="545"/>
      <c r="P113" s="545"/>
      <c r="Q113" s="680"/>
      <c r="R113" s="545"/>
    </row>
    <row r="114" spans="1:18" ht="15">
      <c r="A114" s="679"/>
      <c r="B114" s="679"/>
      <c r="C114" s="727"/>
      <c r="G114" s="545"/>
      <c r="H114" s="545"/>
      <c r="I114" s="545"/>
      <c r="J114" s="720"/>
      <c r="K114" s="545"/>
      <c r="L114" s="545"/>
      <c r="M114" s="545"/>
      <c r="N114" s="551"/>
      <c r="O114" s="545"/>
      <c r="P114" s="545"/>
      <c r="Q114" s="680"/>
      <c r="R114" s="545"/>
    </row>
    <row r="115" spans="1:18" ht="15">
      <c r="A115" s="679">
        <v>31</v>
      </c>
      <c r="B115" s="679"/>
      <c r="C115" s="727" t="s">
        <v>1595</v>
      </c>
      <c r="D115" s="545" t="s">
        <v>1035</v>
      </c>
      <c r="E115" s="545"/>
      <c r="F115" s="545"/>
      <c r="G115" s="962">
        <f>+'Actual Gross Rev'!G124</f>
        <v>0</v>
      </c>
      <c r="H115" s="547"/>
      <c r="I115" s="547" t="s">
        <v>1593</v>
      </c>
      <c r="J115" s="719"/>
      <c r="K115" s="547"/>
      <c r="L115" s="547">
        <f>G115</f>
        <v>0</v>
      </c>
      <c r="M115" s="545"/>
      <c r="N115" s="551"/>
      <c r="O115" s="545"/>
      <c r="P115" s="545"/>
      <c r="Q115" s="680"/>
      <c r="R115" s="545"/>
    </row>
    <row r="116" spans="1:18" ht="15.75" thickBot="1">
      <c r="A116" s="679"/>
      <c r="B116" s="679"/>
      <c r="C116" s="548"/>
      <c r="G116" s="582"/>
      <c r="H116" s="545"/>
      <c r="I116" s="545"/>
      <c r="J116" s="720"/>
      <c r="K116" s="545"/>
      <c r="L116" s="582"/>
      <c r="M116" s="545"/>
      <c r="N116" s="551"/>
      <c r="O116" s="545"/>
      <c r="P116" s="545"/>
      <c r="Q116" s="680"/>
      <c r="R116" s="545"/>
    </row>
    <row r="117" spans="1:18" ht="16.5" thickBot="1">
      <c r="A117" s="679">
        <v>32</v>
      </c>
      <c r="B117" s="679"/>
      <c r="C117" s="11" t="s">
        <v>1514</v>
      </c>
      <c r="D117" s="545"/>
      <c r="E117" s="545"/>
      <c r="F117" s="545"/>
      <c r="G117" s="732">
        <f>+G112+G110+G97+G86+G78+G115</f>
        <v>25003626.587820437</v>
      </c>
      <c r="H117" s="545"/>
      <c r="I117" s="545"/>
      <c r="J117" s="545"/>
      <c r="K117" s="545"/>
      <c r="L117" s="732">
        <f>+L112+L110+L97+L86+L78+L115</f>
        <v>-5529142.509610726</v>
      </c>
      <c r="M117" s="553"/>
      <c r="N117" s="553"/>
      <c r="O117" s="553"/>
      <c r="P117" s="553"/>
      <c r="Q117" s="553"/>
      <c r="R117" s="548"/>
    </row>
    <row r="118" spans="1:18" ht="15.75" thickTop="1">
      <c r="A118" s="679"/>
      <c r="C118" s="548"/>
      <c r="D118" s="1403" t="str">
        <f>+D1</f>
        <v>     Rate Formula Template</v>
      </c>
      <c r="E118" s="1403"/>
      <c r="F118" s="1403"/>
      <c r="G118" s="1403"/>
      <c r="H118" s="1403"/>
      <c r="L118" s="697"/>
      <c r="M118" s="545"/>
      <c r="N118" s="697" t="str">
        <f>N$1</f>
        <v>Projected</v>
      </c>
      <c r="O118" s="545"/>
      <c r="P118" s="545"/>
      <c r="Q118" s="545"/>
      <c r="R118" s="548"/>
    </row>
    <row r="119" spans="1:18" ht="15">
      <c r="A119" s="679"/>
      <c r="C119" s="548"/>
      <c r="D119" s="1403" t="str">
        <f>+D2</f>
        <v> Utilizing FERC Form 1 Data</v>
      </c>
      <c r="E119" s="1403"/>
      <c r="F119" s="1403"/>
      <c r="G119" s="1433"/>
      <c r="H119" s="1433"/>
      <c r="M119" s="545"/>
      <c r="N119" s="697" t="s">
        <v>25</v>
      </c>
      <c r="O119" s="545"/>
      <c r="P119" s="545"/>
      <c r="Q119" s="545"/>
      <c r="R119" s="548"/>
    </row>
    <row r="120" spans="1:18" ht="15">
      <c r="A120" s="679"/>
      <c r="C120" s="548"/>
      <c r="D120" s="1403" t="str">
        <f>+D3</f>
        <v>Projected Gross Revenue Requirements</v>
      </c>
      <c r="E120" s="1403"/>
      <c r="F120" s="1403"/>
      <c r="G120" s="1433"/>
      <c r="H120" s="1433"/>
      <c r="M120" s="545"/>
      <c r="N120" s="697"/>
      <c r="O120" s="545"/>
      <c r="P120" s="545"/>
      <c r="Q120" s="545"/>
      <c r="R120" s="548"/>
    </row>
    <row r="121" spans="1:18" ht="15">
      <c r="A121" s="679"/>
      <c r="D121" s="1403" t="str">
        <f>+D4</f>
        <v>For the 12 months ended - December 31, 20xx</v>
      </c>
      <c r="E121" s="1403"/>
      <c r="F121" s="1403"/>
      <c r="G121" s="1433"/>
      <c r="H121" s="1433"/>
      <c r="M121" s="545"/>
      <c r="O121" s="545"/>
      <c r="P121" s="545"/>
      <c r="Q121" s="545"/>
      <c r="R121" s="548"/>
    </row>
    <row r="122" spans="1:18" ht="15">
      <c r="A122" s="679"/>
      <c r="G122" s="699"/>
      <c r="M122" s="545"/>
      <c r="N122" s="545"/>
      <c r="O122" s="545"/>
      <c r="P122" s="545"/>
      <c r="Q122" s="545"/>
      <c r="R122" s="548"/>
    </row>
    <row r="123" spans="1:18" ht="15">
      <c r="A123" s="679"/>
      <c r="D123" s="1404" t="str">
        <f>+D$6</f>
        <v>WESTAR ENERGY, INC. (Westar Energy and Kansas Gas and Electric)</v>
      </c>
      <c r="E123" s="1404"/>
      <c r="F123" s="1404"/>
      <c r="G123" s="1405"/>
      <c r="H123" s="1405"/>
      <c r="M123" s="545"/>
      <c r="N123" s="545"/>
      <c r="O123" s="545"/>
      <c r="P123" s="545"/>
      <c r="Q123" s="545"/>
      <c r="R123" s="548"/>
    </row>
    <row r="124" spans="1:18" ht="15">
      <c r="A124" s="679"/>
      <c r="D124" s="1404" t="str">
        <f>+D$7</f>
        <v>(WESTAR)</v>
      </c>
      <c r="E124" s="1404"/>
      <c r="F124" s="1404"/>
      <c r="G124" s="1405"/>
      <c r="H124" s="1405"/>
      <c r="I124" s="548"/>
      <c r="J124" s="548"/>
      <c r="K124" s="548"/>
      <c r="L124" s="548"/>
      <c r="M124" s="548"/>
      <c r="N124" s="548"/>
      <c r="O124" s="548"/>
      <c r="P124" s="548"/>
      <c r="Q124" s="548"/>
      <c r="R124" s="548"/>
    </row>
    <row r="125" spans="1:18" ht="15">
      <c r="A125" s="679"/>
      <c r="D125" s="676"/>
      <c r="E125" s="676"/>
      <c r="F125" s="676"/>
      <c r="G125" s="677"/>
      <c r="H125" s="677"/>
      <c r="I125" s="548"/>
      <c r="J125" s="548"/>
      <c r="K125" s="548"/>
      <c r="L125" s="548"/>
      <c r="M125" s="548"/>
      <c r="N125" s="548"/>
      <c r="O125" s="548"/>
      <c r="P125" s="548"/>
      <c r="Q125" s="548"/>
      <c r="R125" s="548"/>
    </row>
    <row r="126" spans="1:18" ht="15.75">
      <c r="A126" s="679"/>
      <c r="D126" s="1402" t="s">
        <v>1063</v>
      </c>
      <c r="E126" s="1402"/>
      <c r="F126" s="1402"/>
      <c r="G126" s="1403"/>
      <c r="H126" s="1403"/>
      <c r="I126" s="963"/>
      <c r="J126" s="553"/>
      <c r="K126" s="553"/>
      <c r="L126" s="553"/>
      <c r="M126" s="545"/>
      <c r="N126" s="545"/>
      <c r="O126" s="548"/>
      <c r="P126" s="548"/>
      <c r="Q126" s="548"/>
      <c r="R126" s="548"/>
    </row>
    <row r="127" spans="1:18" ht="15">
      <c r="A127" s="679"/>
      <c r="C127" s="680" t="s">
        <v>1121</v>
      </c>
      <c r="D127" s="680" t="s">
        <v>1122</v>
      </c>
      <c r="E127" s="680" t="s">
        <v>1147</v>
      </c>
      <c r="F127" s="700" t="s">
        <v>1148</v>
      </c>
      <c r="G127" s="700" t="s">
        <v>1149</v>
      </c>
      <c r="H127" s="545" t="s">
        <v>1100</v>
      </c>
      <c r="I127" s="545"/>
      <c r="J127" s="701" t="s">
        <v>1355</v>
      </c>
      <c r="K127" s="545"/>
      <c r="L127" s="701" t="s">
        <v>1357</v>
      </c>
      <c r="M127" s="545"/>
      <c r="N127" s="545"/>
      <c r="O127" s="548"/>
      <c r="P127" s="548"/>
      <c r="Q127" s="548"/>
      <c r="R127" s="548"/>
    </row>
    <row r="128" spans="1:18" ht="15.75">
      <c r="A128" s="679"/>
      <c r="C128" s="680"/>
      <c r="D128" s="589"/>
      <c r="F128" s="14" t="s">
        <v>1353</v>
      </c>
      <c r="G128" s="545"/>
      <c r="H128" s="545"/>
      <c r="I128" s="545"/>
      <c r="J128" s="679"/>
      <c r="K128" s="545"/>
      <c r="M128" s="589"/>
      <c r="N128" s="16"/>
      <c r="O128" s="545"/>
      <c r="P128" s="553"/>
      <c r="Q128" s="545"/>
      <c r="R128" s="548"/>
    </row>
    <row r="129" spans="1:18" ht="15.75">
      <c r="A129" s="679" t="s">
        <v>1101</v>
      </c>
      <c r="C129" s="548"/>
      <c r="D129" s="14" t="s">
        <v>1150</v>
      </c>
      <c r="E129" s="14" t="s">
        <v>1352</v>
      </c>
      <c r="F129" s="20" t="s">
        <v>1354</v>
      </c>
      <c r="H129" s="21"/>
      <c r="I129" s="16"/>
      <c r="K129" s="21"/>
      <c r="L129" s="16"/>
      <c r="M129" s="545"/>
      <c r="N129" s="16"/>
      <c r="O129" s="545"/>
      <c r="P129" s="553"/>
      <c r="Q129" s="545"/>
      <c r="R129" s="548"/>
    </row>
    <row r="130" spans="1:18" ht="16.5" thickBot="1">
      <c r="A130" s="591" t="s">
        <v>1103</v>
      </c>
      <c r="B130" s="681"/>
      <c r="C130" s="952"/>
      <c r="D130" s="438" t="s">
        <v>252</v>
      </c>
      <c r="E130" s="223" t="s">
        <v>778</v>
      </c>
      <c r="F130" s="438" t="s">
        <v>780</v>
      </c>
      <c r="G130" s="441" t="s">
        <v>253</v>
      </c>
      <c r="H130" s="582"/>
      <c r="I130" s="441" t="s">
        <v>254</v>
      </c>
      <c r="J130" s="582"/>
      <c r="K130" s="582"/>
      <c r="L130" s="441" t="s">
        <v>1151</v>
      </c>
      <c r="M130" s="545"/>
      <c r="N130" s="16"/>
      <c r="O130" s="545"/>
      <c r="P130" s="553"/>
      <c r="Q130" s="545"/>
      <c r="R130" s="548"/>
    </row>
    <row r="131" spans="1:18" ht="15.75">
      <c r="A131" s="679"/>
      <c r="D131" s="548"/>
      <c r="E131" s="548"/>
      <c r="F131" s="548"/>
      <c r="G131" s="699"/>
      <c r="H131" s="548"/>
      <c r="I131" s="548"/>
      <c r="J131" s="548"/>
      <c r="K131" s="548"/>
      <c r="L131" s="9" t="s">
        <v>577</v>
      </c>
      <c r="M131" s="548"/>
      <c r="N131" s="548"/>
      <c r="O131" s="545"/>
      <c r="P131" s="553"/>
      <c r="Q131" s="545"/>
      <c r="R131" s="548"/>
    </row>
    <row r="132" spans="1:18" ht="15">
      <c r="A132" s="679"/>
      <c r="D132" s="548"/>
      <c r="E132" s="548"/>
      <c r="F132" s="548"/>
      <c r="G132" s="699"/>
      <c r="H132" s="548"/>
      <c r="I132" s="548"/>
      <c r="J132" s="548"/>
      <c r="K132" s="548"/>
      <c r="L132" s="548"/>
      <c r="M132" s="548"/>
      <c r="N132" s="548"/>
      <c r="O132" s="545"/>
      <c r="P132" s="553"/>
      <c r="Q132" s="545"/>
      <c r="R132" s="548"/>
    </row>
    <row r="133" spans="1:18" ht="15.75">
      <c r="A133" s="679"/>
      <c r="C133" s="195" t="s">
        <v>594</v>
      </c>
      <c r="D133" s="917"/>
      <c r="E133" s="14"/>
      <c r="F133" s="20"/>
      <c r="G133" s="16"/>
      <c r="H133" s="917"/>
      <c r="I133" s="917"/>
      <c r="J133" s="917"/>
      <c r="K133" s="544"/>
      <c r="L133" s="544"/>
      <c r="M133" s="548"/>
      <c r="N133" s="548"/>
      <c r="O133" s="545"/>
      <c r="P133" s="553"/>
      <c r="Q133" s="545"/>
      <c r="R133" s="548"/>
    </row>
    <row r="134" spans="1:18" ht="15">
      <c r="A134" s="679"/>
      <c r="C134" s="687"/>
      <c r="D134" s="917"/>
      <c r="H134" s="917"/>
      <c r="I134" s="917"/>
      <c r="J134" s="917"/>
      <c r="K134" s="917"/>
      <c r="L134" s="917"/>
      <c r="M134" s="548"/>
      <c r="N134" s="548"/>
      <c r="O134" s="545"/>
      <c r="P134" s="553"/>
      <c r="Q134" s="545"/>
      <c r="R134" s="548"/>
    </row>
    <row r="135" spans="1:18" ht="15">
      <c r="A135" s="679">
        <v>1</v>
      </c>
      <c r="C135" s="944" t="s">
        <v>1029</v>
      </c>
      <c r="D135" s="917" t="s">
        <v>1408</v>
      </c>
      <c r="E135" s="964"/>
      <c r="F135" s="964"/>
      <c r="G135" s="547"/>
      <c r="H135" s="547"/>
      <c r="I135" s="547"/>
      <c r="J135" s="547"/>
      <c r="K135" s="547"/>
      <c r="L135" s="550">
        <f>G156</f>
        <v>866063011</v>
      </c>
      <c r="M135" s="548"/>
      <c r="N135" s="548"/>
      <c r="O135" s="545"/>
      <c r="P135" s="553"/>
      <c r="Q135" s="545"/>
      <c r="R135" s="548"/>
    </row>
    <row r="136" spans="1:18" ht="15">
      <c r="A136" s="679">
        <v>2</v>
      </c>
      <c r="C136" s="944" t="s">
        <v>1030</v>
      </c>
      <c r="D136" s="544" t="s">
        <v>1152</v>
      </c>
      <c r="E136" s="703">
        <f>+'Actual Gross Rev'!E145</f>
        <v>0</v>
      </c>
      <c r="F136" s="703">
        <f>+'Actual Gross Rev'!F145</f>
        <v>0</v>
      </c>
      <c r="G136" s="550">
        <f>E136+F136</f>
        <v>0</v>
      </c>
      <c r="H136" s="544"/>
      <c r="I136" s="544"/>
      <c r="J136" s="544"/>
      <c r="K136" s="544"/>
      <c r="L136" s="689">
        <v>0</v>
      </c>
      <c r="M136" s="548"/>
      <c r="N136" s="548"/>
      <c r="O136" s="545"/>
      <c r="P136" s="553"/>
      <c r="Q136" s="545"/>
      <c r="R136" s="548"/>
    </row>
    <row r="137" spans="1:18" ht="15.75" thickBot="1">
      <c r="A137" s="679">
        <v>3</v>
      </c>
      <c r="C137" s="965" t="s">
        <v>446</v>
      </c>
      <c r="D137" s="966" t="s">
        <v>1153</v>
      </c>
      <c r="E137" s="967">
        <f>+'Actual Gross Rev'!E146</f>
        <v>2312875</v>
      </c>
      <c r="F137" s="968">
        <f>+'Actual Gross Rev'!F146</f>
        <v>0</v>
      </c>
      <c r="G137" s="691">
        <f>E137+F137</f>
        <v>2312875</v>
      </c>
      <c r="H137" s="852"/>
      <c r="I137" s="547"/>
      <c r="J137" s="969"/>
      <c r="K137" s="547"/>
      <c r="L137" s="705">
        <f>G137</f>
        <v>2312875</v>
      </c>
      <c r="M137" s="548"/>
      <c r="N137" s="548"/>
      <c r="O137" s="545"/>
      <c r="P137" s="553"/>
      <c r="Q137" s="545"/>
      <c r="R137" s="548"/>
    </row>
    <row r="138" spans="1:18" ht="15">
      <c r="A138" s="679">
        <v>4</v>
      </c>
      <c r="C138" s="944" t="s">
        <v>116</v>
      </c>
      <c r="D138" s="917" t="s">
        <v>447</v>
      </c>
      <c r="E138" s="917"/>
      <c r="F138" s="917"/>
      <c r="G138" s="547"/>
      <c r="H138" s="852"/>
      <c r="I138" s="547"/>
      <c r="J138" s="969"/>
      <c r="K138" s="547"/>
      <c r="L138" s="550">
        <f>L135-L136-L137</f>
        <v>863750136</v>
      </c>
      <c r="M138" s="548"/>
      <c r="N138" s="548"/>
      <c r="O138" s="545"/>
      <c r="P138" s="553"/>
      <c r="Q138" s="545"/>
      <c r="R138" s="548"/>
    </row>
    <row r="139" spans="1:18" ht="15">
      <c r="A139" s="679"/>
      <c r="C139" s="544"/>
      <c r="D139" s="917"/>
      <c r="E139" s="917"/>
      <c r="F139" s="917"/>
      <c r="G139" s="547"/>
      <c r="H139" s="852"/>
      <c r="I139" s="547"/>
      <c r="J139" s="969"/>
      <c r="K139" s="547"/>
      <c r="L139" s="544"/>
      <c r="M139" s="548"/>
      <c r="N139" s="548"/>
      <c r="O139" s="545"/>
      <c r="P139" s="553"/>
      <c r="Q139" s="545"/>
      <c r="R139" s="548"/>
    </row>
    <row r="140" spans="1:18" ht="15">
      <c r="A140" s="679">
        <v>5</v>
      </c>
      <c r="C140" s="944" t="s">
        <v>448</v>
      </c>
      <c r="D140" s="970" t="s">
        <v>1028</v>
      </c>
      <c r="E140" s="970"/>
      <c r="F140" s="970"/>
      <c r="G140" s="971"/>
      <c r="H140" s="972"/>
      <c r="I140" s="971"/>
      <c r="J140" s="973"/>
      <c r="K140" s="547" t="s">
        <v>1306</v>
      </c>
      <c r="L140" s="974">
        <f>IF(L135&gt;0,L138/L135,0)</f>
        <v>0.9973294379616451</v>
      </c>
      <c r="M140" s="548"/>
      <c r="N140" s="548"/>
      <c r="O140" s="545"/>
      <c r="P140" s="553"/>
      <c r="Q140" s="545"/>
      <c r="R140" s="548"/>
    </row>
    <row r="141" spans="1:18" ht="15">
      <c r="A141" s="679"/>
      <c r="D141" s="548"/>
      <c r="E141" s="548"/>
      <c r="F141" s="548"/>
      <c r="G141" s="699"/>
      <c r="H141" s="548"/>
      <c r="I141" s="548"/>
      <c r="J141" s="548"/>
      <c r="K141" s="548"/>
      <c r="L141" s="548"/>
      <c r="M141" s="548"/>
      <c r="N141" s="548"/>
      <c r="O141" s="545"/>
      <c r="P141" s="553"/>
      <c r="Q141" s="545"/>
      <c r="R141" s="548"/>
    </row>
    <row r="142" spans="1:18" ht="15.75">
      <c r="A142" s="679"/>
      <c r="C142" s="30" t="s">
        <v>1304</v>
      </c>
      <c r="D142" s="544"/>
      <c r="E142" s="544"/>
      <c r="F142" s="544"/>
      <c r="G142" s="544"/>
      <c r="H142" s="828"/>
      <c r="I142" s="544"/>
      <c r="J142" s="544"/>
      <c r="K142" s="544"/>
      <c r="L142" s="544"/>
      <c r="M142" s="545"/>
      <c r="N142" s="545"/>
      <c r="O142" s="545"/>
      <c r="P142" s="545"/>
      <c r="Q142" s="545"/>
      <c r="R142" s="548"/>
    </row>
    <row r="143" spans="1:18" ht="15">
      <c r="A143" s="679"/>
      <c r="C143" s="544"/>
      <c r="D143" s="544"/>
      <c r="E143" s="544"/>
      <c r="F143" s="544"/>
      <c r="G143" s="544"/>
      <c r="H143" s="828"/>
      <c r="I143" s="544"/>
      <c r="J143" s="544"/>
      <c r="K143" s="544"/>
      <c r="L143" s="544"/>
      <c r="M143" s="545"/>
      <c r="N143" s="545"/>
      <c r="O143" s="545"/>
      <c r="P143" s="545"/>
      <c r="Q143" s="545"/>
      <c r="R143" s="548"/>
    </row>
    <row r="144" spans="1:18" ht="15">
      <c r="A144" s="679">
        <v>6</v>
      </c>
      <c r="B144" s="544"/>
      <c r="C144" s="544" t="s">
        <v>330</v>
      </c>
      <c r="D144" s="544" t="s">
        <v>64</v>
      </c>
      <c r="E144" s="544"/>
      <c r="F144" s="544"/>
      <c r="G144" s="917"/>
      <c r="H144" s="835"/>
      <c r="I144" s="917"/>
      <c r="J144" s="975"/>
      <c r="K144" s="917"/>
      <c r="L144" s="550">
        <f>G64</f>
        <v>395366.94688488</v>
      </c>
      <c r="M144" s="545"/>
      <c r="N144" s="545"/>
      <c r="O144" s="545"/>
      <c r="P144" s="545"/>
      <c r="Q144" s="545"/>
      <c r="R144" s="548"/>
    </row>
    <row r="145" spans="1:18" ht="15.75" thickBot="1">
      <c r="A145" s="679">
        <v>7</v>
      </c>
      <c r="B145" s="544"/>
      <c r="C145" s="965" t="s">
        <v>329</v>
      </c>
      <c r="D145" s="966" t="s">
        <v>65</v>
      </c>
      <c r="E145" s="691"/>
      <c r="F145" s="691"/>
      <c r="G145" s="691"/>
      <c r="H145" s="852"/>
      <c r="I145" s="547"/>
      <c r="J145" s="547"/>
      <c r="K145" s="547"/>
      <c r="L145" s="558">
        <f>G65</f>
        <v>28544.470737874854</v>
      </c>
      <c r="M145" s="545"/>
      <c r="N145" s="545"/>
      <c r="O145" s="545"/>
      <c r="P145" s="545"/>
      <c r="Q145" s="545"/>
      <c r="R145" s="548"/>
    </row>
    <row r="146" spans="1:18" ht="15">
      <c r="A146" s="679">
        <v>8</v>
      </c>
      <c r="C146" s="944" t="s">
        <v>1678</v>
      </c>
      <c r="D146" s="970"/>
      <c r="E146" s="970"/>
      <c r="F146" s="970"/>
      <c r="G146" s="971"/>
      <c r="H146" s="971"/>
      <c r="I146" s="971"/>
      <c r="J146" s="973"/>
      <c r="K146" s="971"/>
      <c r="L146" s="550">
        <f>+L144-L145</f>
        <v>366822.47614700516</v>
      </c>
      <c r="O146" s="545"/>
      <c r="P146" s="545"/>
      <c r="Q146" s="545"/>
      <c r="R146" s="548"/>
    </row>
    <row r="147" spans="1:18" ht="15">
      <c r="A147" s="679"/>
      <c r="C147" s="944"/>
      <c r="D147" s="917"/>
      <c r="E147" s="917"/>
      <c r="F147" s="917"/>
      <c r="G147" s="547"/>
      <c r="H147" s="547"/>
      <c r="I147" s="547"/>
      <c r="J147" s="547"/>
      <c r="K147" s="544"/>
      <c r="L147" s="544"/>
      <c r="O147" s="545"/>
      <c r="P147" s="545"/>
      <c r="Q147" s="545"/>
      <c r="R147" s="548"/>
    </row>
    <row r="148" spans="1:18" ht="15">
      <c r="A148" s="679">
        <v>9</v>
      </c>
      <c r="C148" s="944" t="s">
        <v>1679</v>
      </c>
      <c r="D148" s="917"/>
      <c r="E148" s="917"/>
      <c r="F148" s="917"/>
      <c r="G148" s="547"/>
      <c r="H148" s="547"/>
      <c r="I148" s="547"/>
      <c r="J148" s="547"/>
      <c r="K148" s="547"/>
      <c r="L148" s="559">
        <f>IF(L144&gt;0,L146/L144,0)</f>
        <v>0.9278025870326833</v>
      </c>
      <c r="O148" s="545"/>
      <c r="P148" s="545"/>
      <c r="Q148" s="545"/>
      <c r="R148" s="548"/>
    </row>
    <row r="149" spans="1:18" ht="15">
      <c r="A149" s="679">
        <v>10</v>
      </c>
      <c r="C149" s="944" t="s">
        <v>1680</v>
      </c>
      <c r="D149" s="917"/>
      <c r="E149" s="917"/>
      <c r="F149" s="917"/>
      <c r="G149" s="547"/>
      <c r="H149" s="547"/>
      <c r="I149" s="547"/>
      <c r="J149" s="547"/>
      <c r="K149" s="917" t="s">
        <v>1306</v>
      </c>
      <c r="L149" s="976">
        <f>L140</f>
        <v>0.9973294379616451</v>
      </c>
      <c r="O149" s="545"/>
      <c r="P149" s="545"/>
      <c r="Q149" s="545"/>
      <c r="R149" s="548"/>
    </row>
    <row r="150" spans="1:18" ht="15">
      <c r="A150" s="679">
        <v>11</v>
      </c>
      <c r="C150" s="944" t="s">
        <v>196</v>
      </c>
      <c r="D150" s="917"/>
      <c r="E150" s="917"/>
      <c r="F150" s="917"/>
      <c r="G150" s="917"/>
      <c r="H150" s="917"/>
      <c r="I150" s="917"/>
      <c r="J150" s="917"/>
      <c r="K150" s="917" t="s">
        <v>1305</v>
      </c>
      <c r="L150" s="719">
        <f>+L149*L148</f>
        <v>0.9253248326646663</v>
      </c>
      <c r="O150" s="545"/>
      <c r="P150" s="545"/>
      <c r="Q150" s="545"/>
      <c r="R150" s="548"/>
    </row>
    <row r="151" spans="1:18" ht="15">
      <c r="A151" s="679"/>
      <c r="C151" s="944"/>
      <c r="D151" s="917"/>
      <c r="E151" s="917"/>
      <c r="F151" s="917"/>
      <c r="G151" s="917"/>
      <c r="H151" s="917"/>
      <c r="I151" s="917"/>
      <c r="J151" s="917"/>
      <c r="K151" s="917"/>
      <c r="L151" s="719"/>
      <c r="O151" s="545"/>
      <c r="P151" s="545"/>
      <c r="Q151" s="545"/>
      <c r="R151" s="548"/>
    </row>
    <row r="152" spans="1:18" ht="15.75">
      <c r="A152" s="679"/>
      <c r="C152" s="165" t="s">
        <v>1096</v>
      </c>
      <c r="D152" s="548"/>
      <c r="E152" s="548"/>
      <c r="F152" s="548"/>
      <c r="G152" s="699"/>
      <c r="H152" s="548"/>
      <c r="I152" s="548"/>
      <c r="J152" s="548"/>
      <c r="K152" s="548"/>
      <c r="L152" s="548"/>
      <c r="M152" s="548"/>
      <c r="N152" s="548"/>
      <c r="O152" s="545"/>
      <c r="P152" s="553"/>
      <c r="Q152" s="545"/>
      <c r="R152" s="548"/>
    </row>
    <row r="153" spans="1:18" ht="15">
      <c r="A153" s="679"/>
      <c r="D153" s="548"/>
      <c r="E153" s="548"/>
      <c r="F153" s="548"/>
      <c r="G153" s="699"/>
      <c r="H153" s="548"/>
      <c r="I153" s="548"/>
      <c r="J153" s="548"/>
      <c r="K153" s="548"/>
      <c r="L153" s="548"/>
      <c r="M153" s="548"/>
      <c r="N153" s="548"/>
      <c r="O153" s="545"/>
      <c r="P153" s="553"/>
      <c r="Q153" s="545"/>
      <c r="R153" s="548"/>
    </row>
    <row r="154" spans="1:18" ht="15.75">
      <c r="A154" s="679"/>
      <c r="C154" s="548" t="s">
        <v>592</v>
      </c>
      <c r="D154" s="37"/>
      <c r="E154" s="37"/>
      <c r="F154" s="37"/>
      <c r="G154" s="545"/>
      <c r="H154" s="545"/>
      <c r="I154" s="545"/>
      <c r="J154" s="545"/>
      <c r="K154" s="545"/>
      <c r="L154" s="545"/>
      <c r="M154" s="548"/>
      <c r="N154" s="548"/>
      <c r="O154" s="545"/>
      <c r="P154" s="553"/>
      <c r="Q154" s="545"/>
      <c r="R154" s="548"/>
    </row>
    <row r="155" spans="1:18" ht="15">
      <c r="A155" s="702">
        <v>12</v>
      </c>
      <c r="B155" s="544"/>
      <c r="C155" s="560" t="s">
        <v>256</v>
      </c>
      <c r="D155" s="547" t="s">
        <v>99</v>
      </c>
      <c r="E155" s="977">
        <f>+'Actual Gross Rev'!E164</f>
        <v>1934338020</v>
      </c>
      <c r="F155" s="977">
        <f>+'Actual Gross Rev'!F164</f>
        <v>2193360594</v>
      </c>
      <c r="G155" s="550">
        <f>E155+F155</f>
        <v>4127698614</v>
      </c>
      <c r="H155" s="547"/>
      <c r="I155" s="547" t="s">
        <v>257</v>
      </c>
      <c r="J155" s="559"/>
      <c r="K155" s="547"/>
      <c r="L155" s="548">
        <f>+J155*G155</f>
        <v>0</v>
      </c>
      <c r="M155" s="548"/>
      <c r="N155" s="548"/>
      <c r="O155" s="545"/>
      <c r="P155" s="553"/>
      <c r="Q155" s="545"/>
      <c r="R155" s="548"/>
    </row>
    <row r="156" spans="1:18" ht="15">
      <c r="A156" s="679">
        <v>13</v>
      </c>
      <c r="C156" s="548" t="s">
        <v>258</v>
      </c>
      <c r="D156" s="547" t="s">
        <v>66</v>
      </c>
      <c r="E156" s="932">
        <f>'Actual Gross Rev'!E165</f>
        <v>471305367</v>
      </c>
      <c r="F156" s="932">
        <f>'Actual Gross Rev'!F165</f>
        <v>394757644</v>
      </c>
      <c r="G156" s="550">
        <f>E156+F156</f>
        <v>866063011</v>
      </c>
      <c r="H156" s="545"/>
      <c r="I156" s="545" t="s">
        <v>1108</v>
      </c>
      <c r="J156" s="556">
        <f>L140</f>
        <v>0.9973294379616451</v>
      </c>
      <c r="K156" s="545"/>
      <c r="L156" s="545">
        <f>+J156*G156</f>
        <v>863750136</v>
      </c>
      <c r="M156" s="548"/>
      <c r="N156" s="548"/>
      <c r="O156" s="545"/>
      <c r="P156" s="553"/>
      <c r="Q156" s="545"/>
      <c r="R156" s="548"/>
    </row>
    <row r="157" spans="1:18" ht="15">
      <c r="A157" s="702">
        <v>14</v>
      </c>
      <c r="B157" s="544"/>
      <c r="C157" s="560" t="s">
        <v>1280</v>
      </c>
      <c r="D157" s="547" t="s">
        <v>100</v>
      </c>
      <c r="E157" s="932">
        <f>+'Actual Gross Rev'!E166</f>
        <v>884997507</v>
      </c>
      <c r="F157" s="647">
        <f>+'Actual Gross Rev'!F166</f>
        <v>740366619</v>
      </c>
      <c r="G157" s="689">
        <f>E157+F157</f>
        <v>1625364126</v>
      </c>
      <c r="H157" s="547"/>
      <c r="I157" s="547" t="s">
        <v>257</v>
      </c>
      <c r="J157" s="559"/>
      <c r="K157" s="547"/>
      <c r="L157" s="545">
        <f>+J157*G157</f>
        <v>0</v>
      </c>
      <c r="M157" s="548"/>
      <c r="N157" s="548"/>
      <c r="O157" s="545"/>
      <c r="P157" s="553"/>
      <c r="Q157" s="545"/>
      <c r="R157" s="548"/>
    </row>
    <row r="158" spans="1:18" ht="15">
      <c r="A158" s="702">
        <v>15</v>
      </c>
      <c r="B158" s="544"/>
      <c r="C158" s="684" t="s">
        <v>1281</v>
      </c>
      <c r="D158" s="547" t="s">
        <v>101</v>
      </c>
      <c r="E158" s="978">
        <f>+'Actual Gross Rev'!E167</f>
        <v>195225358</v>
      </c>
      <c r="F158" s="979">
        <f>+'Actual Gross Rev'!F167</f>
        <v>121545354</v>
      </c>
      <c r="G158" s="689">
        <f>E158+F158</f>
        <v>316770712</v>
      </c>
      <c r="H158" s="547"/>
      <c r="I158" s="547" t="s">
        <v>1282</v>
      </c>
      <c r="J158" s="559">
        <f>L198</f>
        <v>0.053603184670747886</v>
      </c>
      <c r="K158" s="547"/>
      <c r="L158" s="547">
        <f>+J158*G158</f>
        <v>16979918.97362029</v>
      </c>
      <c r="M158" s="548"/>
      <c r="N158" s="548"/>
      <c r="O158" s="545"/>
      <c r="P158" s="553"/>
      <c r="Q158" s="545"/>
      <c r="R158" s="548"/>
    </row>
    <row r="159" spans="1:18" ht="15.75" thickBot="1">
      <c r="A159" s="702">
        <v>16</v>
      </c>
      <c r="B159" s="544"/>
      <c r="C159" s="560" t="s">
        <v>1283</v>
      </c>
      <c r="D159" s="547" t="s">
        <v>1070</v>
      </c>
      <c r="E159" s="648">
        <f>+'Actual Gross Rev'!E168</f>
        <v>0</v>
      </c>
      <c r="F159" s="648">
        <f>+'Actual Gross Rev'!F168</f>
        <v>0</v>
      </c>
      <c r="G159" s="558">
        <f>E159+F159</f>
        <v>0</v>
      </c>
      <c r="H159" s="547"/>
      <c r="I159" s="547" t="s">
        <v>715</v>
      </c>
      <c r="J159" s="559">
        <f>N204</f>
        <v>0.053603184670747886</v>
      </c>
      <c r="K159" s="547"/>
      <c r="L159" s="980">
        <f>+J159*G159</f>
        <v>0</v>
      </c>
      <c r="M159" s="548"/>
      <c r="N159" s="548"/>
      <c r="O159" s="545"/>
      <c r="P159" s="553"/>
      <c r="Q159" s="545"/>
      <c r="R159" s="548"/>
    </row>
    <row r="160" spans="1:18" ht="15">
      <c r="A160" s="702">
        <v>17</v>
      </c>
      <c r="B160" s="544"/>
      <c r="C160" s="687" t="s">
        <v>1473</v>
      </c>
      <c r="D160" s="547"/>
      <c r="E160" s="550">
        <f>SUM(E155:E159)</f>
        <v>3485866252</v>
      </c>
      <c r="F160" s="550">
        <f>SUM(F155:F159)</f>
        <v>3450030211</v>
      </c>
      <c r="G160" s="550">
        <f>SUM(G155:G159)</f>
        <v>6935896463</v>
      </c>
      <c r="H160" s="547"/>
      <c r="I160" s="547" t="s">
        <v>1060</v>
      </c>
      <c r="J160" s="688">
        <f>IF(L160&gt;0,L160/G160,0)</f>
        <v>0.12698143054354016</v>
      </c>
      <c r="K160" s="547"/>
      <c r="L160" s="550">
        <f>SUM(L155:L159)</f>
        <v>880730054.9736203</v>
      </c>
      <c r="M160" s="548"/>
      <c r="N160" s="548"/>
      <c r="O160" s="545"/>
      <c r="P160" s="553"/>
      <c r="Q160" s="545"/>
      <c r="R160" s="548"/>
    </row>
    <row r="161" spans="3:18" ht="15">
      <c r="C161" s="548"/>
      <c r="D161" s="545"/>
      <c r="E161" s="547"/>
      <c r="F161" s="547"/>
      <c r="G161" s="545"/>
      <c r="H161" s="545"/>
      <c r="I161" s="545"/>
      <c r="J161" s="551"/>
      <c r="K161" s="545"/>
      <c r="L161" s="545"/>
      <c r="M161" s="548"/>
      <c r="N161" s="548"/>
      <c r="O161" s="545"/>
      <c r="P161" s="553"/>
      <c r="Q161" s="545"/>
      <c r="R161" s="548"/>
    </row>
    <row r="162" spans="3:18" ht="15">
      <c r="C162" s="548" t="s">
        <v>1211</v>
      </c>
      <c r="D162" s="545"/>
      <c r="E162" s="547"/>
      <c r="F162" s="547"/>
      <c r="G162" s="545"/>
      <c r="H162" s="545"/>
      <c r="I162" s="545"/>
      <c r="J162" s="545"/>
      <c r="K162" s="545"/>
      <c r="L162" s="545"/>
      <c r="M162" s="548"/>
      <c r="N162" s="548"/>
      <c r="O162" s="545"/>
      <c r="P162" s="553"/>
      <c r="Q162" s="545"/>
      <c r="R162" s="548"/>
    </row>
    <row r="163" spans="1:18" ht="15">
      <c r="A163" s="702">
        <v>18</v>
      </c>
      <c r="B163" s="544"/>
      <c r="C163" s="560" t="str">
        <f>+C155</f>
        <v>  Production</v>
      </c>
      <c r="D163" s="547" t="s">
        <v>593</v>
      </c>
      <c r="E163" s="977">
        <f>+'Actual Gross Rev'!E172</f>
        <v>783283833</v>
      </c>
      <c r="F163" s="977">
        <f>+'Actual Gross Rev'!F172</f>
        <v>1051368933</v>
      </c>
      <c r="G163" s="550">
        <f>E163+F163</f>
        <v>1834652766</v>
      </c>
      <c r="H163" s="547"/>
      <c r="I163" s="547" t="str">
        <f aca="true" t="shared" si="3" ref="I163:J167">+I155</f>
        <v>NA</v>
      </c>
      <c r="J163" s="559"/>
      <c r="K163" s="547"/>
      <c r="L163" s="545">
        <f>+J163*G163</f>
        <v>0</v>
      </c>
      <c r="M163" s="548"/>
      <c r="N163" s="548"/>
      <c r="O163" s="545"/>
      <c r="P163" s="553"/>
      <c r="Q163" s="545"/>
      <c r="R163" s="548"/>
    </row>
    <row r="164" spans="1:18" ht="15">
      <c r="A164" s="702">
        <v>19</v>
      </c>
      <c r="B164" s="544"/>
      <c r="C164" s="560" t="str">
        <f>+C156</f>
        <v>  Transmission</v>
      </c>
      <c r="D164" s="547" t="s">
        <v>105</v>
      </c>
      <c r="E164" s="932">
        <f>'Actual Gross Rev'!E173</f>
        <v>166273849</v>
      </c>
      <c r="F164" s="932">
        <f>'Actual Gross Rev'!F173</f>
        <v>148329537</v>
      </c>
      <c r="G164" s="550">
        <f>E164+F164</f>
        <v>314603386</v>
      </c>
      <c r="H164" s="547"/>
      <c r="I164" s="547" t="str">
        <f t="shared" si="3"/>
        <v>TP</v>
      </c>
      <c r="J164" s="559">
        <f t="shared" si="3"/>
        <v>0.9973294379616451</v>
      </c>
      <c r="K164" s="547"/>
      <c r="L164" s="545">
        <f>+J164*G164</f>
        <v>313763218.1402105</v>
      </c>
      <c r="M164" s="548"/>
      <c r="N164" s="548"/>
      <c r="O164" s="545"/>
      <c r="P164" s="553"/>
      <c r="Q164" s="545"/>
      <c r="R164" s="548"/>
    </row>
    <row r="165" spans="1:18" ht="15">
      <c r="A165" s="702">
        <v>20</v>
      </c>
      <c r="B165" s="544"/>
      <c r="C165" s="560" t="str">
        <f>+C157</f>
        <v>  Distribution</v>
      </c>
      <c r="D165" s="547" t="s">
        <v>1631</v>
      </c>
      <c r="E165" s="932">
        <f>+'Actual Gross Rev'!E174</f>
        <v>328289362</v>
      </c>
      <c r="F165" s="647">
        <f>+'Actual Gross Rev'!F174</f>
        <v>264902445</v>
      </c>
      <c r="G165" s="689">
        <f>E165+F165</f>
        <v>593191807</v>
      </c>
      <c r="H165" s="547"/>
      <c r="I165" s="547" t="str">
        <f t="shared" si="3"/>
        <v>NA</v>
      </c>
      <c r="J165" s="559"/>
      <c r="K165" s="547"/>
      <c r="L165" s="545">
        <f>+J165*G165</f>
        <v>0</v>
      </c>
      <c r="M165" s="548"/>
      <c r="N165" s="548"/>
      <c r="O165" s="545"/>
      <c r="P165" s="553"/>
      <c r="Q165" s="545"/>
      <c r="R165" s="548"/>
    </row>
    <row r="166" spans="1:18" ht="15">
      <c r="A166" s="702">
        <v>21</v>
      </c>
      <c r="B166" s="544"/>
      <c r="C166" s="560" t="str">
        <f>+C158</f>
        <v>  General &amp; Intangible</v>
      </c>
      <c r="D166" s="547" t="s">
        <v>1025</v>
      </c>
      <c r="E166" s="932">
        <f>+'Actual Gross Rev'!E175</f>
        <v>101411356.92</v>
      </c>
      <c r="F166" s="647">
        <f>+'Actual Gross Rev'!F175</f>
        <v>63284126.42</v>
      </c>
      <c r="G166" s="689">
        <f>E166+F166</f>
        <v>164695483.34</v>
      </c>
      <c r="H166" s="547"/>
      <c r="I166" s="547" t="str">
        <f t="shared" si="3"/>
        <v>W/S</v>
      </c>
      <c r="J166" s="559">
        <f t="shared" si="3"/>
        <v>0.053603184670747886</v>
      </c>
      <c r="K166" s="547"/>
      <c r="L166" s="547">
        <f>+J166*G166</f>
        <v>8828202.407912102</v>
      </c>
      <c r="M166" s="548"/>
      <c r="N166" s="548"/>
      <c r="O166" s="545"/>
      <c r="P166" s="553"/>
      <c r="Q166" s="545"/>
      <c r="R166" s="548"/>
    </row>
    <row r="167" spans="1:18" ht="15.75" thickBot="1">
      <c r="A167" s="702">
        <v>22</v>
      </c>
      <c r="B167" s="544"/>
      <c r="C167" s="560" t="str">
        <f>+C159</f>
        <v>  Common</v>
      </c>
      <c r="D167" s="547" t="s">
        <v>1026</v>
      </c>
      <c r="E167" s="648">
        <f>+'Actual Gross Rev'!E176</f>
        <v>0</v>
      </c>
      <c r="F167" s="648">
        <f>+'Actual Gross Rev'!F176</f>
        <v>0</v>
      </c>
      <c r="G167" s="558">
        <f>E167+F167</f>
        <v>0</v>
      </c>
      <c r="H167" s="547"/>
      <c r="I167" s="547" t="str">
        <f t="shared" si="3"/>
        <v>CE</v>
      </c>
      <c r="J167" s="559">
        <f t="shared" si="3"/>
        <v>0.053603184670747886</v>
      </c>
      <c r="K167" s="547"/>
      <c r="L167" s="980">
        <f>+J167*G167</f>
        <v>0</v>
      </c>
      <c r="M167" s="548"/>
      <c r="N167" s="548"/>
      <c r="O167" s="545"/>
      <c r="P167" s="553"/>
      <c r="Q167" s="545"/>
      <c r="R167" s="548"/>
    </row>
    <row r="168" spans="1:18" ht="15">
      <c r="A168" s="702">
        <v>23</v>
      </c>
      <c r="B168" s="544"/>
      <c r="C168" s="560" t="s">
        <v>1474</v>
      </c>
      <c r="D168" s="547"/>
      <c r="E168" s="550">
        <f>SUM(E163:E167)</f>
        <v>1379258400.92</v>
      </c>
      <c r="F168" s="550">
        <f>SUM(F163:F167)</f>
        <v>1527885041.42</v>
      </c>
      <c r="G168" s="550">
        <f>SUM(G163:G167)</f>
        <v>2907143442.34</v>
      </c>
      <c r="H168" s="547"/>
      <c r="I168" s="547"/>
      <c r="J168" s="547"/>
      <c r="K168" s="547"/>
      <c r="L168" s="550">
        <f>SUM(L163:L167)</f>
        <v>322591420.5481226</v>
      </c>
      <c r="M168" s="548"/>
      <c r="N168" s="548"/>
      <c r="O168" s="545"/>
      <c r="P168" s="553"/>
      <c r="Q168" s="545"/>
      <c r="R168" s="548"/>
    </row>
    <row r="169" spans="1:18" ht="15">
      <c r="A169" s="679"/>
      <c r="D169" s="545" t="s">
        <v>1100</v>
      </c>
      <c r="F169" s="544"/>
      <c r="H169" s="545"/>
      <c r="I169" s="545"/>
      <c r="J169" s="551"/>
      <c r="K169" s="545"/>
      <c r="M169" s="545"/>
      <c r="N169" s="545"/>
      <c r="O169" s="545"/>
      <c r="P169" s="553"/>
      <c r="Q169" s="545"/>
      <c r="R169" s="548"/>
    </row>
    <row r="170" spans="1:18" ht="15">
      <c r="A170" s="679"/>
      <c r="C170" s="548" t="s">
        <v>1094</v>
      </c>
      <c r="D170" s="545"/>
      <c r="E170" s="545"/>
      <c r="F170" s="547"/>
      <c r="G170" s="545"/>
      <c r="H170" s="545"/>
      <c r="I170" s="545"/>
      <c r="J170" s="545"/>
      <c r="K170" s="545"/>
      <c r="L170" s="545"/>
      <c r="M170" s="545"/>
      <c r="N170" s="545"/>
      <c r="O170" s="545"/>
      <c r="P170" s="553"/>
      <c r="Q170" s="545"/>
      <c r="R170" s="548"/>
    </row>
    <row r="171" spans="1:18" ht="15">
      <c r="A171" s="702">
        <v>24</v>
      </c>
      <c r="B171" s="544"/>
      <c r="C171" s="560" t="str">
        <f>+C163</f>
        <v>  Production</v>
      </c>
      <c r="D171" s="547" t="s">
        <v>150</v>
      </c>
      <c r="E171" s="550">
        <f aca="true" t="shared" si="4" ref="E171:G175">E155-E163</f>
        <v>1151054187</v>
      </c>
      <c r="F171" s="550">
        <f t="shared" si="4"/>
        <v>1141991661</v>
      </c>
      <c r="G171" s="550">
        <f t="shared" si="4"/>
        <v>2293045848</v>
      </c>
      <c r="H171" s="547"/>
      <c r="I171" s="547"/>
      <c r="J171" s="690"/>
      <c r="K171" s="547"/>
      <c r="L171" s="547">
        <f>L155-L163</f>
        <v>0</v>
      </c>
      <c r="M171" s="545"/>
      <c r="N171" s="545"/>
      <c r="O171" s="545"/>
      <c r="P171" s="553"/>
      <c r="Q171" s="545"/>
      <c r="R171" s="548"/>
    </row>
    <row r="172" spans="1:18" ht="15">
      <c r="A172" s="702">
        <v>25</v>
      </c>
      <c r="B172" s="544"/>
      <c r="C172" s="560" t="str">
        <f>+C164</f>
        <v>  Transmission</v>
      </c>
      <c r="D172" s="547" t="s">
        <v>151</v>
      </c>
      <c r="E172" s="689">
        <f t="shared" si="4"/>
        <v>305031518</v>
      </c>
      <c r="F172" s="689">
        <f t="shared" si="4"/>
        <v>246428107</v>
      </c>
      <c r="G172" s="689">
        <f t="shared" si="4"/>
        <v>551459625</v>
      </c>
      <c r="H172" s="547"/>
      <c r="I172" s="547"/>
      <c r="J172" s="559"/>
      <c r="K172" s="547"/>
      <c r="L172" s="547">
        <f>L156-L164</f>
        <v>549986917.8597895</v>
      </c>
      <c r="M172" s="545"/>
      <c r="N172" s="545"/>
      <c r="O172" s="545"/>
      <c r="P172" s="553"/>
      <c r="Q172" s="545"/>
      <c r="R172" s="548"/>
    </row>
    <row r="173" spans="1:18" ht="15">
      <c r="A173" s="702">
        <v>26</v>
      </c>
      <c r="B173" s="544"/>
      <c r="C173" s="560" t="str">
        <f>+C165</f>
        <v>  Distribution</v>
      </c>
      <c r="D173" s="547" t="s">
        <v>152</v>
      </c>
      <c r="E173" s="689">
        <f t="shared" si="4"/>
        <v>556708145</v>
      </c>
      <c r="F173" s="689">
        <f t="shared" si="4"/>
        <v>475464174</v>
      </c>
      <c r="G173" s="689">
        <f t="shared" si="4"/>
        <v>1032172319</v>
      </c>
      <c r="H173" s="547"/>
      <c r="I173" s="547"/>
      <c r="J173" s="690"/>
      <c r="K173" s="547"/>
      <c r="L173" s="547">
        <f>L157-L165</f>
        <v>0</v>
      </c>
      <c r="M173" s="545"/>
      <c r="N173" s="545"/>
      <c r="O173" s="545"/>
      <c r="P173" s="553"/>
      <c r="Q173" s="545"/>
      <c r="R173" s="548"/>
    </row>
    <row r="174" spans="1:18" ht="15">
      <c r="A174" s="702">
        <v>27</v>
      </c>
      <c r="B174" s="544"/>
      <c r="C174" s="560" t="str">
        <f>+C166</f>
        <v>  General &amp; Intangible</v>
      </c>
      <c r="D174" s="547" t="s">
        <v>153</v>
      </c>
      <c r="E174" s="689">
        <f t="shared" si="4"/>
        <v>93814001.08</v>
      </c>
      <c r="F174" s="689">
        <f t="shared" si="4"/>
        <v>58261227.58</v>
      </c>
      <c r="G174" s="689">
        <f t="shared" si="4"/>
        <v>152075228.66</v>
      </c>
      <c r="H174" s="547"/>
      <c r="I174" s="547"/>
      <c r="J174" s="690"/>
      <c r="K174" s="547"/>
      <c r="L174" s="547">
        <f>L158-L166</f>
        <v>8151716.56570819</v>
      </c>
      <c r="M174" s="545"/>
      <c r="N174" s="545"/>
      <c r="O174" s="545"/>
      <c r="P174" s="553"/>
      <c r="Q174" s="545"/>
      <c r="R174" s="548"/>
    </row>
    <row r="175" spans="1:18" ht="15.75" thickBot="1">
      <c r="A175" s="702">
        <v>28</v>
      </c>
      <c r="B175" s="544"/>
      <c r="C175" s="560" t="str">
        <f>+C167</f>
        <v>  Common</v>
      </c>
      <c r="D175" s="547" t="s">
        <v>154</v>
      </c>
      <c r="E175" s="558">
        <f t="shared" si="4"/>
        <v>0</v>
      </c>
      <c r="F175" s="558">
        <f t="shared" si="4"/>
        <v>0</v>
      </c>
      <c r="G175" s="558">
        <f t="shared" si="4"/>
        <v>0</v>
      </c>
      <c r="H175" s="547"/>
      <c r="I175" s="547"/>
      <c r="J175" s="690"/>
      <c r="K175" s="547"/>
      <c r="L175" s="980">
        <f>L159-L167</f>
        <v>0</v>
      </c>
      <c r="M175" s="545"/>
      <c r="N175" s="545"/>
      <c r="O175" s="545"/>
      <c r="P175" s="553"/>
      <c r="Q175" s="545"/>
      <c r="R175" s="548"/>
    </row>
    <row r="176" spans="1:18" ht="15">
      <c r="A176" s="702">
        <v>29</v>
      </c>
      <c r="B176" s="544"/>
      <c r="C176" s="560" t="s">
        <v>1475</v>
      </c>
      <c r="D176" s="547"/>
      <c r="E176" s="550">
        <f>SUM(E171:E175)</f>
        <v>2106607851.08</v>
      </c>
      <c r="F176" s="550">
        <f>SUM(F171:F175)</f>
        <v>1922145169.58</v>
      </c>
      <c r="G176" s="550">
        <f>SUM(G171:G175)</f>
        <v>4028753020.66</v>
      </c>
      <c r="H176" s="547"/>
      <c r="I176" s="547" t="s">
        <v>1061</v>
      </c>
      <c r="J176" s="688">
        <f>IF(L176&gt;0,L176/G176,0)</f>
        <v>0.1385388063163182</v>
      </c>
      <c r="K176" s="547"/>
      <c r="L176" s="550">
        <f>SUM(L171:L175)</f>
        <v>558138634.4254977</v>
      </c>
      <c r="M176" s="545"/>
      <c r="N176" s="545"/>
      <c r="O176" s="545"/>
      <c r="P176" s="553"/>
      <c r="Q176" s="545"/>
      <c r="R176" s="548"/>
    </row>
    <row r="177" spans="1:18" ht="15">
      <c r="A177" s="679"/>
      <c r="C177" s="544"/>
      <c r="D177" s="544"/>
      <c r="E177" s="544"/>
      <c r="F177" s="544"/>
      <c r="G177" s="544"/>
      <c r="H177" s="828"/>
      <c r="I177" s="544"/>
      <c r="J177" s="544"/>
      <c r="K177" s="544"/>
      <c r="L177" s="544"/>
      <c r="M177" s="545"/>
      <c r="N177" s="545"/>
      <c r="O177" s="545"/>
      <c r="P177" s="545"/>
      <c r="Q177" s="545"/>
      <c r="R177" s="548"/>
    </row>
    <row r="178" spans="1:18" ht="15">
      <c r="A178" s="679"/>
      <c r="C178" s="548"/>
      <c r="D178" s="1403" t="str">
        <f>+D1</f>
        <v>     Rate Formula Template</v>
      </c>
      <c r="E178" s="1403"/>
      <c r="F178" s="1403"/>
      <c r="G178" s="1403"/>
      <c r="H178" s="1403"/>
      <c r="L178" s="697"/>
      <c r="M178" s="545"/>
      <c r="N178" s="697" t="str">
        <f>N$1</f>
        <v>Projected</v>
      </c>
      <c r="O178" s="545"/>
      <c r="P178" s="545"/>
      <c r="Q178" s="545"/>
      <c r="R178" s="548"/>
    </row>
    <row r="179" spans="1:18" ht="15">
      <c r="A179" s="679"/>
      <c r="C179" s="548"/>
      <c r="D179" s="1403" t="str">
        <f>+D2</f>
        <v> Utilizing FERC Form 1 Data</v>
      </c>
      <c r="E179" s="1403"/>
      <c r="F179" s="1403"/>
      <c r="G179" s="1433"/>
      <c r="H179" s="1433"/>
      <c r="M179" s="545"/>
      <c r="N179" s="697" t="s">
        <v>26</v>
      </c>
      <c r="O179" s="545"/>
      <c r="P179" s="545"/>
      <c r="Q179" s="545"/>
      <c r="R179" s="548"/>
    </row>
    <row r="180" spans="1:18" ht="15">
      <c r="A180" s="679"/>
      <c r="C180" s="548"/>
      <c r="D180" s="1403" t="str">
        <f>+D3</f>
        <v>Projected Gross Revenue Requirements</v>
      </c>
      <c r="E180" s="1403"/>
      <c r="F180" s="1403"/>
      <c r="G180" s="1433"/>
      <c r="H180" s="1433"/>
      <c r="M180" s="545"/>
      <c r="N180" s="697"/>
      <c r="O180" s="545"/>
      <c r="P180" s="545"/>
      <c r="Q180" s="545"/>
      <c r="R180" s="548"/>
    </row>
    <row r="181" spans="1:18" ht="15">
      <c r="A181" s="679"/>
      <c r="D181" s="1403" t="str">
        <f>+D4</f>
        <v>For the 12 months ended - December 31, 20xx</v>
      </c>
      <c r="E181" s="1403"/>
      <c r="F181" s="1403"/>
      <c r="G181" s="1433"/>
      <c r="H181" s="1433"/>
      <c r="M181" s="545"/>
      <c r="O181" s="545"/>
      <c r="P181" s="545"/>
      <c r="Q181" s="545"/>
      <c r="R181" s="548"/>
    </row>
    <row r="182" spans="1:18" ht="15">
      <c r="A182" s="679"/>
      <c r="G182" s="699"/>
      <c r="M182" s="545"/>
      <c r="N182" s="545"/>
      <c r="O182" s="545"/>
      <c r="P182" s="545"/>
      <c r="Q182" s="545"/>
      <c r="R182" s="548"/>
    </row>
    <row r="183" spans="1:18" ht="15">
      <c r="A183" s="679"/>
      <c r="D183" s="1404" t="str">
        <f>+D$6</f>
        <v>WESTAR ENERGY, INC. (Westar Energy and Kansas Gas and Electric)</v>
      </c>
      <c r="E183" s="1404"/>
      <c r="F183" s="1404"/>
      <c r="G183" s="1405"/>
      <c r="H183" s="1405"/>
      <c r="M183" s="545"/>
      <c r="N183" s="545"/>
      <c r="O183" s="545"/>
      <c r="P183" s="545"/>
      <c r="Q183" s="545"/>
      <c r="R183" s="548"/>
    </row>
    <row r="184" spans="1:18" ht="15">
      <c r="A184" s="679"/>
      <c r="D184" s="1404" t="str">
        <f>+D$7</f>
        <v>(WESTAR)</v>
      </c>
      <c r="E184" s="1404"/>
      <c r="F184" s="1404"/>
      <c r="G184" s="1405"/>
      <c r="H184" s="1405"/>
      <c r="I184" s="548"/>
      <c r="J184" s="548"/>
      <c r="K184" s="548"/>
      <c r="L184" s="548"/>
      <c r="M184" s="548"/>
      <c r="N184" s="548"/>
      <c r="O184" s="545"/>
      <c r="P184" s="545"/>
      <c r="Q184" s="545"/>
      <c r="R184" s="548"/>
    </row>
    <row r="185" spans="1:18" ht="15">
      <c r="A185" s="679"/>
      <c r="D185" s="676"/>
      <c r="E185" s="676"/>
      <c r="F185" s="676"/>
      <c r="G185" s="677"/>
      <c r="H185" s="677"/>
      <c r="I185" s="548"/>
      <c r="J185" s="548"/>
      <c r="K185" s="548"/>
      <c r="L185" s="548"/>
      <c r="M185" s="548"/>
      <c r="N185" s="548"/>
      <c r="O185" s="545"/>
      <c r="P185" s="545"/>
      <c r="Q185" s="545"/>
      <c r="R185" s="548"/>
    </row>
    <row r="186" spans="1:18" ht="15.75">
      <c r="A186" s="679"/>
      <c r="D186" s="1402" t="s">
        <v>1063</v>
      </c>
      <c r="E186" s="1402"/>
      <c r="F186" s="1402"/>
      <c r="G186" s="1403"/>
      <c r="H186" s="1403"/>
      <c r="I186" s="963"/>
      <c r="J186" s="553"/>
      <c r="K186" s="553"/>
      <c r="L186" s="553"/>
      <c r="M186" s="545"/>
      <c r="N186" s="545"/>
      <c r="O186" s="545"/>
      <c r="P186" s="545"/>
      <c r="Q186" s="545"/>
      <c r="R186" s="548"/>
    </row>
    <row r="187" spans="1:18" ht="15">
      <c r="A187" s="679"/>
      <c r="C187" s="680" t="s">
        <v>1121</v>
      </c>
      <c r="D187" s="680" t="s">
        <v>1122</v>
      </c>
      <c r="E187" s="680" t="s">
        <v>1147</v>
      </c>
      <c r="F187" s="700" t="s">
        <v>1148</v>
      </c>
      <c r="G187" s="700" t="s">
        <v>1149</v>
      </c>
      <c r="H187" s="545" t="s">
        <v>1100</v>
      </c>
      <c r="I187" s="545"/>
      <c r="J187" s="701" t="s">
        <v>1355</v>
      </c>
      <c r="K187" s="545"/>
      <c r="L187" s="701" t="s">
        <v>1357</v>
      </c>
      <c r="M187" s="545"/>
      <c r="N187" s="545"/>
      <c r="O187" s="545"/>
      <c r="P187" s="545"/>
      <c r="Q187" s="545"/>
      <c r="R187" s="548"/>
    </row>
    <row r="188" spans="1:18" ht="15.75">
      <c r="A188" s="679"/>
      <c r="C188" s="680"/>
      <c r="D188" s="589"/>
      <c r="F188" s="14" t="s">
        <v>1353</v>
      </c>
      <c r="G188" s="545"/>
      <c r="H188" s="545"/>
      <c r="I188" s="545"/>
      <c r="J188" s="679"/>
      <c r="K188" s="545"/>
      <c r="M188" s="589"/>
      <c r="N188" s="16"/>
      <c r="O188" s="545"/>
      <c r="P188" s="545"/>
      <c r="Q188" s="545"/>
      <c r="R188" s="548"/>
    </row>
    <row r="189" spans="1:18" ht="15.75">
      <c r="A189" s="679" t="s">
        <v>1101</v>
      </c>
      <c r="C189" s="548"/>
      <c r="D189" s="14" t="s">
        <v>1150</v>
      </c>
      <c r="E189" s="14" t="s">
        <v>1352</v>
      </c>
      <c r="F189" s="20" t="s">
        <v>1354</v>
      </c>
      <c r="H189" s="21"/>
      <c r="I189" s="16"/>
      <c r="K189" s="21"/>
      <c r="L189" s="16"/>
      <c r="M189" s="545"/>
      <c r="N189" s="16"/>
      <c r="O189" s="545"/>
      <c r="P189" s="545"/>
      <c r="Q189" s="545"/>
      <c r="R189" s="548"/>
    </row>
    <row r="190" spans="1:18" ht="16.5" thickBot="1">
      <c r="A190" s="591" t="s">
        <v>1103</v>
      </c>
      <c r="B190" s="681"/>
      <c r="C190" s="952"/>
      <c r="D190" s="438" t="s">
        <v>252</v>
      </c>
      <c r="E190" s="223" t="s">
        <v>778</v>
      </c>
      <c r="F190" s="438" t="s">
        <v>780</v>
      </c>
      <c r="G190" s="441" t="s">
        <v>253</v>
      </c>
      <c r="H190" s="582"/>
      <c r="I190" s="441" t="s">
        <v>254</v>
      </c>
      <c r="J190" s="582"/>
      <c r="K190" s="582"/>
      <c r="L190" s="441" t="s">
        <v>1151</v>
      </c>
      <c r="M190" s="545"/>
      <c r="N190" s="16"/>
      <c r="O190" s="545"/>
      <c r="P190" s="545"/>
      <c r="Q190" s="545"/>
      <c r="R190" s="548"/>
    </row>
    <row r="191" spans="1:18" ht="15.75">
      <c r="A191" s="679"/>
      <c r="L191" s="9" t="s">
        <v>577</v>
      </c>
      <c r="O191" s="545"/>
      <c r="P191" s="545"/>
      <c r="Q191" s="545"/>
      <c r="R191" s="548"/>
    </row>
    <row r="192" spans="1:18" ht="15.75">
      <c r="A192" s="679" t="s">
        <v>1100</v>
      </c>
      <c r="C192" s="11" t="s">
        <v>1307</v>
      </c>
      <c r="D192" s="545"/>
      <c r="E192" s="545"/>
      <c r="F192" s="545"/>
      <c r="G192" s="37"/>
      <c r="H192" s="545"/>
      <c r="I192" s="545"/>
      <c r="J192" s="545"/>
      <c r="K192" s="545"/>
      <c r="L192" s="545"/>
      <c r="M192" s="545"/>
      <c r="N192" s="545"/>
      <c r="O192" s="545"/>
      <c r="P192" s="545"/>
      <c r="Q192" s="545"/>
      <c r="R192" s="548"/>
    </row>
    <row r="193" spans="1:18" ht="15.75" thickBot="1">
      <c r="A193" s="679" t="s">
        <v>1100</v>
      </c>
      <c r="C193" s="548"/>
      <c r="D193" s="957"/>
      <c r="E193" s="574" t="s">
        <v>1308</v>
      </c>
      <c r="F193" s="574" t="s">
        <v>1308</v>
      </c>
      <c r="G193" s="574" t="s">
        <v>1308</v>
      </c>
      <c r="H193" s="574" t="s">
        <v>1108</v>
      </c>
      <c r="I193" s="545"/>
      <c r="J193" s="574" t="s">
        <v>1309</v>
      </c>
      <c r="K193" s="545"/>
      <c r="L193" s="545"/>
      <c r="M193" s="545"/>
      <c r="N193" s="545"/>
      <c r="O193" s="545"/>
      <c r="P193" s="545"/>
      <c r="Q193" s="545"/>
      <c r="R193" s="548"/>
    </row>
    <row r="194" spans="1:18" ht="15">
      <c r="A194" s="679">
        <v>1</v>
      </c>
      <c r="C194" s="548" t="s">
        <v>256</v>
      </c>
      <c r="D194" s="547" t="s">
        <v>1804</v>
      </c>
      <c r="E194" s="962">
        <f>'A-10 (Wages &amp; Salaries)'!F11</f>
        <v>31056550</v>
      </c>
      <c r="F194" s="962">
        <f>'A-10 (Wages &amp; Salaries)'!L11</f>
        <v>33054831.77</v>
      </c>
      <c r="G194" s="552">
        <f>E194+F194</f>
        <v>64111381.769999996</v>
      </c>
      <c r="H194" s="716">
        <v>0</v>
      </c>
      <c r="I194" s="677"/>
      <c r="J194" s="545">
        <f>G194*H194</f>
        <v>0</v>
      </c>
      <c r="K194" s="545"/>
      <c r="L194" s="545"/>
      <c r="M194" s="545"/>
      <c r="N194" s="545"/>
      <c r="O194" s="545"/>
      <c r="P194" s="545"/>
      <c r="Q194" s="545"/>
      <c r="R194" s="548"/>
    </row>
    <row r="195" spans="1:18" ht="15">
      <c r="A195" s="679">
        <v>2</v>
      </c>
      <c r="C195" s="548" t="s">
        <v>258</v>
      </c>
      <c r="D195" s="547" t="s">
        <v>1804</v>
      </c>
      <c r="E195" s="962">
        <f>'A-10 (Wages &amp; Salaries)'!F12</f>
        <v>3058725</v>
      </c>
      <c r="F195" s="962">
        <f>'A-10 (Wages &amp; Salaries)'!L12</f>
        <v>2886775</v>
      </c>
      <c r="G195" s="557">
        <f>E195+F195</f>
        <v>5945500</v>
      </c>
      <c r="H195" s="716">
        <f>L140</f>
        <v>0.9973294379616451</v>
      </c>
      <c r="I195" s="677"/>
      <c r="J195" s="545">
        <f>G195*H195</f>
        <v>5929622.173400961</v>
      </c>
      <c r="K195" s="545"/>
      <c r="L195" s="545"/>
      <c r="M195" s="545"/>
      <c r="N195" s="545"/>
      <c r="O195" s="545"/>
      <c r="P195" s="545"/>
      <c r="Q195" s="545"/>
      <c r="R195" s="548"/>
    </row>
    <row r="196" spans="1:18" ht="15">
      <c r="A196" s="679">
        <v>3</v>
      </c>
      <c r="C196" s="548" t="s">
        <v>1280</v>
      </c>
      <c r="D196" s="547" t="s">
        <v>1804</v>
      </c>
      <c r="E196" s="962">
        <f>'A-10 (Wages &amp; Salaries)'!F13</f>
        <v>14460558</v>
      </c>
      <c r="F196" s="962">
        <f>'A-10 (Wages &amp; Salaries)'!L13</f>
        <v>11798801</v>
      </c>
      <c r="G196" s="557">
        <f>E196+F196</f>
        <v>26259359</v>
      </c>
      <c r="H196" s="716">
        <v>0</v>
      </c>
      <c r="I196" s="677"/>
      <c r="J196" s="545">
        <f>G196*H196</f>
        <v>0</v>
      </c>
      <c r="K196" s="545"/>
      <c r="L196" s="576" t="s">
        <v>1311</v>
      </c>
      <c r="M196" s="545"/>
      <c r="N196" s="545"/>
      <c r="O196" s="545" t="s">
        <v>1100</v>
      </c>
      <c r="P196" s="545"/>
      <c r="Q196" s="545"/>
      <c r="R196" s="548"/>
    </row>
    <row r="197" spans="1:18" ht="15.75" thickBot="1">
      <c r="A197" s="679">
        <v>4</v>
      </c>
      <c r="C197" s="548" t="s">
        <v>1312</v>
      </c>
      <c r="D197" s="547" t="s">
        <v>1804</v>
      </c>
      <c r="E197" s="981">
        <f>'A-10 (Wages &amp; Salaries)'!F14</f>
        <v>8208453</v>
      </c>
      <c r="F197" s="981">
        <f>'A-10 (Wages &amp; Salaries)'!L14</f>
        <v>6096013</v>
      </c>
      <c r="G197" s="982">
        <f>E197+F197</f>
        <v>14304466</v>
      </c>
      <c r="H197" s="716">
        <v>0</v>
      </c>
      <c r="I197" s="677"/>
      <c r="J197" s="582">
        <f>G197*H197</f>
        <v>0</v>
      </c>
      <c r="K197" s="545"/>
      <c r="L197" s="591" t="s">
        <v>708</v>
      </c>
      <c r="M197" s="545"/>
      <c r="N197" s="545"/>
      <c r="O197" s="545"/>
      <c r="P197" s="545"/>
      <c r="Q197" s="545"/>
      <c r="R197" s="548"/>
    </row>
    <row r="198" spans="1:18" ht="15">
      <c r="A198" s="679">
        <v>5</v>
      </c>
      <c r="C198" s="548" t="s">
        <v>494</v>
      </c>
      <c r="D198" s="545"/>
      <c r="E198" s="545">
        <f>SUM(E194:E197)</f>
        <v>56784286</v>
      </c>
      <c r="F198" s="545">
        <f>SUM(F194:F197)</f>
        <v>53836420.769999996</v>
      </c>
      <c r="G198" s="552">
        <f>SUM(G194:G197)</f>
        <v>110620706.77</v>
      </c>
      <c r="H198" s="545"/>
      <c r="I198" s="545"/>
      <c r="J198" s="545">
        <f>SUM(J194:J197)</f>
        <v>5929622.173400961</v>
      </c>
      <c r="K198" s="680" t="s">
        <v>709</v>
      </c>
      <c r="L198" s="556">
        <f>IF(J198&gt;0,J198/G198,0)</f>
        <v>0.053603184670747886</v>
      </c>
      <c r="M198" s="590" t="s">
        <v>709</v>
      </c>
      <c r="N198" s="590" t="s">
        <v>775</v>
      </c>
      <c r="O198" s="545"/>
      <c r="P198" s="983"/>
      <c r="Q198" s="545"/>
      <c r="R198" s="548"/>
    </row>
    <row r="199" spans="1:18" ht="15">
      <c r="A199" s="679" t="s">
        <v>1100</v>
      </c>
      <c r="C199" s="548" t="s">
        <v>1100</v>
      </c>
      <c r="D199" s="545" t="s">
        <v>1100</v>
      </c>
      <c r="E199" s="545"/>
      <c r="F199" s="545"/>
      <c r="H199" s="545"/>
      <c r="I199" s="545"/>
      <c r="N199" s="545"/>
      <c r="O199" s="545"/>
      <c r="P199" s="545"/>
      <c r="Q199" s="545"/>
      <c r="R199" s="548"/>
    </row>
    <row r="200" spans="1:18" ht="15">
      <c r="A200" s="679"/>
      <c r="C200" s="548"/>
      <c r="D200" s="545"/>
      <c r="E200" s="545"/>
      <c r="F200" s="545"/>
      <c r="G200" s="545"/>
      <c r="H200" s="545"/>
      <c r="I200" s="545"/>
      <c r="J200" s="545"/>
      <c r="K200" s="545"/>
      <c r="L200" s="545"/>
      <c r="M200" s="545"/>
      <c r="N200" s="545"/>
      <c r="O200" s="545"/>
      <c r="P200" s="545"/>
      <c r="Q200" s="545"/>
      <c r="R200" s="548"/>
    </row>
    <row r="201" spans="1:18" ht="15.75">
      <c r="A201" s="679"/>
      <c r="C201" s="11" t="s">
        <v>231</v>
      </c>
      <c r="D201" s="545"/>
      <c r="E201" s="545"/>
      <c r="F201" s="545"/>
      <c r="G201" s="37"/>
      <c r="H201" s="545"/>
      <c r="I201" s="545"/>
      <c r="J201" s="545"/>
      <c r="K201" s="545"/>
      <c r="L201" s="545"/>
      <c r="M201" s="545"/>
      <c r="N201" s="545"/>
      <c r="O201" s="545"/>
      <c r="P201" s="545"/>
      <c r="Q201" s="545"/>
      <c r="R201" s="548"/>
    </row>
    <row r="202" spans="1:18" ht="15.75">
      <c r="A202" s="679"/>
      <c r="C202" s="548"/>
      <c r="D202" s="545"/>
      <c r="E202" s="545"/>
      <c r="F202" s="545"/>
      <c r="G202" s="14" t="s">
        <v>1308</v>
      </c>
      <c r="H202" s="545"/>
      <c r="I202" s="545"/>
      <c r="J202" s="590" t="s">
        <v>710</v>
      </c>
      <c r="K202" s="720" t="s">
        <v>1100</v>
      </c>
      <c r="L202" s="551" t="str">
        <f>+L196</f>
        <v>W&amp;S Allocator</v>
      </c>
      <c r="O202" s="545"/>
      <c r="P202" s="545"/>
      <c r="Q202" s="545"/>
      <c r="R202" s="548"/>
    </row>
    <row r="203" spans="1:18" ht="15">
      <c r="A203" s="679">
        <v>6</v>
      </c>
      <c r="C203" s="548" t="s">
        <v>711</v>
      </c>
      <c r="D203" s="545" t="s">
        <v>1027</v>
      </c>
      <c r="E203" s="703">
        <f>+'Actual Gross Rev'!E212</f>
        <v>3166651235</v>
      </c>
      <c r="F203" s="977">
        <f>+'Actual Gross Rev'!F212</f>
        <v>3154705080</v>
      </c>
      <c r="G203" s="550">
        <f>E203+F203</f>
        <v>6321356315</v>
      </c>
      <c r="H203" s="545"/>
      <c r="J203" s="679" t="s">
        <v>14</v>
      </c>
      <c r="K203" s="984"/>
      <c r="L203" s="679" t="s">
        <v>15</v>
      </c>
      <c r="M203" s="545"/>
      <c r="N203" s="680" t="s">
        <v>715</v>
      </c>
      <c r="O203" s="545"/>
      <c r="P203" s="545"/>
      <c r="Q203" s="545"/>
      <c r="R203" s="548"/>
    </row>
    <row r="204" spans="1:18" ht="15">
      <c r="A204" s="679">
        <v>7</v>
      </c>
      <c r="C204" s="548" t="s">
        <v>716</v>
      </c>
      <c r="D204" s="545" t="s">
        <v>0</v>
      </c>
      <c r="E204" s="932">
        <f>+'Actual Gross Rev'!E213</f>
        <v>0</v>
      </c>
      <c r="F204" s="932">
        <f>+'Actual Gross Rev'!F213</f>
        <v>0</v>
      </c>
      <c r="G204" s="689">
        <f>E204+F204</f>
        <v>0</v>
      </c>
      <c r="H204" s="545"/>
      <c r="J204" s="985">
        <f>IF(G206&gt;0,G203/G206,0)</f>
        <v>1</v>
      </c>
      <c r="K204" s="590" t="s">
        <v>718</v>
      </c>
      <c r="L204" s="985">
        <f>L198</f>
        <v>0.053603184670747886</v>
      </c>
      <c r="M204" s="720" t="s">
        <v>709</v>
      </c>
      <c r="N204" s="986">
        <f>L204*J204</f>
        <v>0.053603184670747886</v>
      </c>
      <c r="O204" s="545"/>
      <c r="P204" s="545"/>
      <c r="Q204" s="545"/>
      <c r="R204" s="548"/>
    </row>
    <row r="205" spans="1:18" ht="15.75" thickBot="1">
      <c r="A205" s="679">
        <v>8</v>
      </c>
      <c r="C205" s="952" t="s">
        <v>719</v>
      </c>
      <c r="D205" s="582" t="s">
        <v>1</v>
      </c>
      <c r="E205" s="648">
        <f>+'Actual Gross Rev'!E214</f>
        <v>0</v>
      </c>
      <c r="F205" s="648">
        <f>+'Actual Gross Rev'!F214</f>
        <v>0</v>
      </c>
      <c r="G205" s="558">
        <f>E205+F205</f>
        <v>0</v>
      </c>
      <c r="H205" s="582"/>
      <c r="I205" s="545"/>
      <c r="J205" s="545" t="s">
        <v>1100</v>
      </c>
      <c r="K205" s="545"/>
      <c r="L205" s="545"/>
      <c r="M205" s="545"/>
      <c r="N205" s="545"/>
      <c r="O205" s="545"/>
      <c r="P205" s="545"/>
      <c r="Q205" s="545"/>
      <c r="R205" s="548"/>
    </row>
    <row r="206" spans="1:18" ht="15">
      <c r="A206" s="679">
        <v>9</v>
      </c>
      <c r="C206" s="548" t="s">
        <v>1036</v>
      </c>
      <c r="D206" s="545"/>
      <c r="E206" s="550">
        <f>E203+E204+E205</f>
        <v>3166651235</v>
      </c>
      <c r="F206" s="550">
        <f>F203+F204+F205</f>
        <v>3154705080</v>
      </c>
      <c r="G206" s="552">
        <f>G203+G204+G205</f>
        <v>6321356315</v>
      </c>
      <c r="H206" s="545"/>
      <c r="I206" s="545"/>
      <c r="J206" s="545"/>
      <c r="K206" s="545"/>
      <c r="L206" s="545"/>
      <c r="M206" s="545"/>
      <c r="N206" s="545"/>
      <c r="O206" s="545"/>
      <c r="P206" s="545"/>
      <c r="Q206" s="545"/>
      <c r="R206" s="548"/>
    </row>
    <row r="207" spans="1:18" ht="15">
      <c r="A207" s="679"/>
      <c r="C207" s="548" t="s">
        <v>1100</v>
      </c>
      <c r="D207" s="545"/>
      <c r="E207" s="547"/>
      <c r="F207" s="547"/>
      <c r="H207" s="545"/>
      <c r="I207" s="545"/>
      <c r="J207" s="545"/>
      <c r="K207" s="545"/>
      <c r="L207" s="545" t="s">
        <v>1100</v>
      </c>
      <c r="M207" s="545" t="s">
        <v>1100</v>
      </c>
      <c r="N207" s="545"/>
      <c r="O207" s="545"/>
      <c r="P207" s="545"/>
      <c r="Q207" s="545"/>
      <c r="R207" s="548"/>
    </row>
    <row r="208" spans="1:18" ht="16.5" thickBot="1">
      <c r="A208" s="679"/>
      <c r="B208" s="589"/>
      <c r="C208" s="228" t="s">
        <v>721</v>
      </c>
      <c r="D208" s="545"/>
      <c r="E208" s="547"/>
      <c r="F208" s="547"/>
      <c r="G208" s="37"/>
      <c r="H208" s="545"/>
      <c r="I208" s="545"/>
      <c r="J208" s="545"/>
      <c r="K208" s="545"/>
      <c r="L208" s="574" t="s">
        <v>1308</v>
      </c>
      <c r="M208" s="545"/>
      <c r="N208" s="545"/>
      <c r="O208" s="545"/>
      <c r="P208" s="545"/>
      <c r="Q208" s="545"/>
      <c r="R208" s="548"/>
    </row>
    <row r="209" spans="1:18" ht="15">
      <c r="A209" s="679">
        <v>10</v>
      </c>
      <c r="B209" s="589"/>
      <c r="C209" s="546" t="s">
        <v>1364</v>
      </c>
      <c r="D209" s="545" t="s">
        <v>94</v>
      </c>
      <c r="E209" s="977">
        <f>+'Actual Gross Rev'!E218</f>
        <v>78381093</v>
      </c>
      <c r="F209" s="977">
        <f>+'Actual Gross Rev'!F218</f>
        <v>37833887</v>
      </c>
      <c r="G209" s="552">
        <f>F209+E209</f>
        <v>116214980</v>
      </c>
      <c r="H209" s="545"/>
      <c r="I209" s="545"/>
      <c r="J209" s="545"/>
      <c r="K209" s="545"/>
      <c r="L209" s="576"/>
      <c r="M209" s="545"/>
      <c r="N209" s="545"/>
      <c r="O209" s="545"/>
      <c r="P209" s="545"/>
      <c r="Q209" s="545"/>
      <c r="R209" s="548"/>
    </row>
    <row r="210" spans="1:18" ht="15">
      <c r="A210" s="679">
        <v>11</v>
      </c>
      <c r="B210" s="589"/>
      <c r="C210" s="546" t="s">
        <v>874</v>
      </c>
      <c r="D210" s="545" t="s">
        <v>95</v>
      </c>
      <c r="E210" s="932">
        <f>+'Actual Gross Rev'!E219</f>
        <v>1913543</v>
      </c>
      <c r="F210" s="932">
        <f>+'Actual Gross Rev'!F219</f>
        <v>571560</v>
      </c>
      <c r="G210" s="578">
        <f>F210+E210</f>
        <v>2485103</v>
      </c>
      <c r="H210" s="545"/>
      <c r="I210" s="545"/>
      <c r="J210" s="545"/>
      <c r="K210" s="545"/>
      <c r="L210" s="576"/>
      <c r="M210" s="545"/>
      <c r="N210" s="545"/>
      <c r="O210" s="545"/>
      <c r="P210" s="545"/>
      <c r="Q210" s="545"/>
      <c r="R210" s="548"/>
    </row>
    <row r="211" spans="1:18" ht="15">
      <c r="A211" s="679">
        <v>12</v>
      </c>
      <c r="B211" s="589"/>
      <c r="C211" s="546" t="s">
        <v>655</v>
      </c>
      <c r="D211" s="545" t="s">
        <v>96</v>
      </c>
      <c r="E211" s="932">
        <f>+'Actual Gross Rev'!E220</f>
        <v>5008589</v>
      </c>
      <c r="F211" s="932">
        <f>+'Actual Gross Rev'!F220</f>
        <v>503610</v>
      </c>
      <c r="G211" s="578">
        <f>F211+E211</f>
        <v>5512199</v>
      </c>
      <c r="H211" s="545"/>
      <c r="I211" s="545"/>
      <c r="J211" s="545"/>
      <c r="K211" s="545"/>
      <c r="L211" s="576"/>
      <c r="M211" s="545"/>
      <c r="N211" s="545"/>
      <c r="O211" s="545"/>
      <c r="P211" s="545"/>
      <c r="Q211" s="545"/>
      <c r="R211" s="548"/>
    </row>
    <row r="212" spans="1:18" ht="15">
      <c r="A212" s="679">
        <v>13</v>
      </c>
      <c r="B212" s="589"/>
      <c r="C212" s="546" t="s">
        <v>875</v>
      </c>
      <c r="D212" s="545" t="s">
        <v>97</v>
      </c>
      <c r="E212" s="932">
        <f>+'Actual Gross Rev'!E221</f>
        <v>0</v>
      </c>
      <c r="F212" s="932">
        <f>+'Actual Gross Rev'!F221</f>
        <v>0</v>
      </c>
      <c r="G212" s="578">
        <f>F212+E212</f>
        <v>0</v>
      </c>
      <c r="H212" s="545"/>
      <c r="I212" s="545"/>
      <c r="J212" s="545"/>
      <c r="K212" s="545"/>
      <c r="L212" s="576"/>
      <c r="M212" s="545"/>
      <c r="N212" s="545"/>
      <c r="O212" s="545"/>
      <c r="P212" s="545"/>
      <c r="Q212" s="545"/>
      <c r="R212" s="548"/>
    </row>
    <row r="213" spans="1:18" ht="15.75" thickBot="1">
      <c r="A213" s="679">
        <v>14</v>
      </c>
      <c r="B213" s="589"/>
      <c r="C213" s="546" t="s">
        <v>656</v>
      </c>
      <c r="D213" s="582" t="s">
        <v>98</v>
      </c>
      <c r="E213" s="648">
        <f>+'Actual Gross Rev'!E222</f>
        <v>0</v>
      </c>
      <c r="F213" s="648">
        <f>+'Actual Gross Rev'!F222</f>
        <v>0</v>
      </c>
      <c r="G213" s="581">
        <f>F213+E213</f>
        <v>0</v>
      </c>
      <c r="H213" s="582"/>
      <c r="I213" s="545"/>
      <c r="J213" s="545"/>
      <c r="K213" s="545"/>
      <c r="L213" s="576"/>
      <c r="M213" s="545"/>
      <c r="N213" s="545"/>
      <c r="O213" s="545"/>
      <c r="P213" s="545"/>
      <c r="Q213" s="545"/>
      <c r="R213" s="548"/>
    </row>
    <row r="214" spans="1:18" ht="15">
      <c r="A214" s="679">
        <v>15</v>
      </c>
      <c r="B214" s="589"/>
      <c r="C214" s="726" t="s">
        <v>1037</v>
      </c>
      <c r="D214" s="698"/>
      <c r="E214" s="552">
        <f>SUM(E209:E213)</f>
        <v>85303225</v>
      </c>
      <c r="F214" s="552">
        <f>SUM(F209:F213)</f>
        <v>38909057</v>
      </c>
      <c r="G214" s="552">
        <f>SUM(G209:G213)</f>
        <v>124212282</v>
      </c>
      <c r="H214" s="545"/>
      <c r="I214" s="545"/>
      <c r="J214" s="584"/>
      <c r="K214" s="545"/>
      <c r="L214" s="585">
        <f>G214</f>
        <v>124212282</v>
      </c>
      <c r="M214" s="545"/>
      <c r="N214" s="545"/>
      <c r="O214" s="545"/>
      <c r="P214" s="545"/>
      <c r="Q214" s="545"/>
      <c r="R214" s="548"/>
    </row>
    <row r="215" spans="1:18" ht="15">
      <c r="A215" s="679"/>
      <c r="C215" s="548"/>
      <c r="D215" s="545"/>
      <c r="E215" s="545"/>
      <c r="F215" s="545"/>
      <c r="G215" s="545"/>
      <c r="H215" s="545"/>
      <c r="I215" s="545"/>
      <c r="J215" s="545"/>
      <c r="K215" s="545"/>
      <c r="L215" s="545"/>
      <c r="M215" s="545"/>
      <c r="N215" s="545"/>
      <c r="O215" s="545"/>
      <c r="P215" s="545"/>
      <c r="Q215" s="545"/>
      <c r="R215" s="548"/>
    </row>
    <row r="216" spans="1:18" ht="15">
      <c r="A216" s="679">
        <v>16</v>
      </c>
      <c r="B216" s="589"/>
      <c r="C216" s="987" t="s">
        <v>113</v>
      </c>
      <c r="D216" s="726" t="s">
        <v>112</v>
      </c>
      <c r="E216" s="977">
        <f>+'Actual Gross Rev'!E225</f>
        <v>969793</v>
      </c>
      <c r="F216" s="977">
        <f>+'Actual Gross Rev'!F225</f>
        <v>0</v>
      </c>
      <c r="G216" s="552">
        <f>F216+E216</f>
        <v>969793</v>
      </c>
      <c r="H216" s="545"/>
      <c r="I216" s="545"/>
      <c r="J216" s="545"/>
      <c r="K216" s="547"/>
      <c r="L216" s="552">
        <f>G216</f>
        <v>969793</v>
      </c>
      <c r="M216" s="545"/>
      <c r="N216" s="545"/>
      <c r="O216" s="545"/>
      <c r="P216" s="545"/>
      <c r="Q216" s="545"/>
      <c r="R216" s="548"/>
    </row>
    <row r="217" spans="1:18" ht="15">
      <c r="A217" s="679"/>
      <c r="B217" s="589"/>
      <c r="C217" s="546"/>
      <c r="D217" s="545"/>
      <c r="E217" s="547"/>
      <c r="F217" s="547"/>
      <c r="G217" s="545"/>
      <c r="H217" s="545"/>
      <c r="I217" s="545"/>
      <c r="J217" s="545"/>
      <c r="K217" s="545"/>
      <c r="L217" s="545"/>
      <c r="M217" s="545"/>
      <c r="N217" s="545"/>
      <c r="O217" s="545"/>
      <c r="P217" s="545"/>
      <c r="Q217" s="545"/>
      <c r="R217" s="548"/>
    </row>
    <row r="218" spans="1:18" ht="15">
      <c r="A218" s="679"/>
      <c r="B218" s="589"/>
      <c r="C218" s="546" t="s">
        <v>1461</v>
      </c>
      <c r="D218" s="545"/>
      <c r="E218" s="547"/>
      <c r="F218" s="547"/>
      <c r="G218" s="545"/>
      <c r="H218" s="545"/>
      <c r="I218" s="545"/>
      <c r="J218" s="545"/>
      <c r="K218" s="545"/>
      <c r="L218" s="545"/>
      <c r="M218" s="545"/>
      <c r="N218" s="545"/>
      <c r="O218" s="545"/>
      <c r="P218" s="545"/>
      <c r="Q218" s="545"/>
      <c r="R218" s="548"/>
    </row>
    <row r="219" spans="1:18" ht="15">
      <c r="A219" s="679">
        <v>17</v>
      </c>
      <c r="B219" s="589"/>
      <c r="C219" s="547" t="s">
        <v>107</v>
      </c>
      <c r="D219" s="543" t="s">
        <v>108</v>
      </c>
      <c r="E219" s="703">
        <f>+'Actual Gross Rev'!E228</f>
        <v>2211002873</v>
      </c>
      <c r="F219" s="550"/>
      <c r="G219" s="552">
        <f>F219+E219</f>
        <v>2211002873</v>
      </c>
      <c r="H219" s="545"/>
      <c r="I219" s="545"/>
      <c r="J219" s="545"/>
      <c r="K219" s="545"/>
      <c r="L219" s="550">
        <f>G219</f>
        <v>2211002873</v>
      </c>
      <c r="M219" s="545"/>
      <c r="N219" s="545"/>
      <c r="O219" s="545"/>
      <c r="P219" s="545"/>
      <c r="Q219" s="545"/>
      <c r="R219" s="548"/>
    </row>
    <row r="220" spans="1:18" ht="15">
      <c r="A220" s="679">
        <v>18</v>
      </c>
      <c r="B220" s="589"/>
      <c r="C220" s="545" t="s">
        <v>109</v>
      </c>
      <c r="D220" s="543" t="s">
        <v>110</v>
      </c>
      <c r="E220" s="547"/>
      <c r="F220" s="547"/>
      <c r="G220" s="545"/>
      <c r="H220" s="545"/>
      <c r="I220" s="545"/>
      <c r="J220" s="545"/>
      <c r="K220" s="545"/>
      <c r="L220" s="587">
        <f>-G226</f>
        <v>-21436300</v>
      </c>
      <c r="M220" s="545"/>
      <c r="N220" s="545"/>
      <c r="O220" s="545"/>
      <c r="P220" s="545"/>
      <c r="Q220" s="545"/>
      <c r="R220" s="548"/>
    </row>
    <row r="221" spans="1:18" ht="15.75" thickBot="1">
      <c r="A221" s="679">
        <v>19</v>
      </c>
      <c r="B221" s="589"/>
      <c r="C221" s="547" t="s">
        <v>106</v>
      </c>
      <c r="D221" s="543" t="s">
        <v>111</v>
      </c>
      <c r="E221" s="544"/>
      <c r="F221" s="547"/>
      <c r="G221" s="547"/>
      <c r="H221" s="547"/>
      <c r="I221" s="547"/>
      <c r="J221" s="547"/>
      <c r="K221" s="545"/>
      <c r="L221" s="648">
        <f>+'Actual Gross Rev'!L230</f>
        <v>0</v>
      </c>
      <c r="M221" s="545"/>
      <c r="N221" s="545"/>
      <c r="O221" s="545"/>
      <c r="P221" s="545"/>
      <c r="Q221" s="545"/>
      <c r="R221" s="548"/>
    </row>
    <row r="222" spans="1:18" ht="15">
      <c r="A222" s="679">
        <v>20</v>
      </c>
      <c r="B222" s="589"/>
      <c r="C222" s="545" t="s">
        <v>1462</v>
      </c>
      <c r="D222" s="589" t="s">
        <v>1038</v>
      </c>
      <c r="F222" s="545"/>
      <c r="H222" s="589"/>
      <c r="I222" s="589"/>
      <c r="J222" s="589"/>
      <c r="K222" s="589"/>
      <c r="L222" s="552">
        <f>+L219+L220+L221</f>
        <v>2189566573</v>
      </c>
      <c r="M222" s="545"/>
      <c r="N222" s="545"/>
      <c r="O222" s="545"/>
      <c r="P222" s="545"/>
      <c r="Q222" s="545"/>
      <c r="R222" s="548"/>
    </row>
    <row r="223" spans="1:18" ht="15">
      <c r="A223" s="679"/>
      <c r="C223" s="548"/>
      <c r="D223" s="545"/>
      <c r="E223" s="545"/>
      <c r="F223" s="545"/>
      <c r="G223" s="545"/>
      <c r="H223" s="545"/>
      <c r="I223" s="545"/>
      <c r="J223" s="590" t="s">
        <v>1719</v>
      </c>
      <c r="K223" s="545"/>
      <c r="L223" s="545"/>
      <c r="M223" s="545"/>
      <c r="N223" s="545"/>
      <c r="O223" s="545"/>
      <c r="P223" s="545"/>
      <c r="Q223" s="545"/>
      <c r="R223" s="548"/>
    </row>
    <row r="224" spans="1:18" ht="16.5" thickBot="1">
      <c r="A224" s="679"/>
      <c r="C224" s="548"/>
      <c r="D224" s="37"/>
      <c r="E224" s="223" t="s">
        <v>28</v>
      </c>
      <c r="F224" s="223" t="s">
        <v>29</v>
      </c>
      <c r="G224" s="591" t="s">
        <v>1308</v>
      </c>
      <c r="H224" s="591" t="s">
        <v>1720</v>
      </c>
      <c r="I224" s="545"/>
      <c r="J224" s="591" t="s">
        <v>232</v>
      </c>
      <c r="K224" s="545"/>
      <c r="L224" s="591" t="s">
        <v>1721</v>
      </c>
      <c r="M224" s="545"/>
      <c r="N224" s="545"/>
      <c r="O224" s="545"/>
      <c r="P224" s="545"/>
      <c r="Q224" s="545"/>
      <c r="R224" s="548"/>
    </row>
    <row r="225" spans="1:18" ht="15">
      <c r="A225" s="679">
        <v>21</v>
      </c>
      <c r="B225" s="589"/>
      <c r="C225" s="687" t="s">
        <v>157</v>
      </c>
      <c r="D225" s="543" t="s">
        <v>158</v>
      </c>
      <c r="E225" s="977">
        <f>'Actual Gross Rev'!E234</f>
        <v>1631487377</v>
      </c>
      <c r="F225" s="977">
        <f>'Actual Gross Rev'!F234</f>
        <v>712402500</v>
      </c>
      <c r="G225" s="585">
        <f>SUM(E225:F225)</f>
        <v>2343889877</v>
      </c>
      <c r="H225" s="592">
        <f>IF($G$228&gt;0,G225/$G$228,0)</f>
        <v>0.5145872813360973</v>
      </c>
      <c r="I225" s="593"/>
      <c r="J225" s="594">
        <f>IF(G225&gt;0,L214/G225,0)</f>
        <v>0.05299407758822792</v>
      </c>
      <c r="L225" s="595">
        <f>J225*H225</f>
        <v>0.02727007831304041</v>
      </c>
      <c r="M225" s="596" t="s">
        <v>1722</v>
      </c>
      <c r="O225" s="545"/>
      <c r="P225" s="545"/>
      <c r="Q225" s="545"/>
      <c r="R225" s="548"/>
    </row>
    <row r="226" spans="1:18" ht="15">
      <c r="A226" s="679">
        <v>22</v>
      </c>
      <c r="B226" s="589"/>
      <c r="C226" s="687" t="s">
        <v>159</v>
      </c>
      <c r="D226" s="543" t="s">
        <v>160</v>
      </c>
      <c r="E226" s="932">
        <f>+'Actual Gross Rev'!E235</f>
        <v>21436300</v>
      </c>
      <c r="F226" s="597" t="s">
        <v>881</v>
      </c>
      <c r="G226" s="689">
        <f>+E226</f>
        <v>21436300</v>
      </c>
      <c r="H226" s="598">
        <f>IF($G$228&gt;0,G226/$G$228,0)</f>
        <v>0.0047062139937323446</v>
      </c>
      <c r="I226" s="593"/>
      <c r="J226" s="594">
        <f>IF(G226&gt;0,L216/G226,0)</f>
        <v>0.04524068985785793</v>
      </c>
      <c r="L226" s="595">
        <f>J226*H226</f>
        <v>0.00021291236769515595</v>
      </c>
      <c r="M226" s="545"/>
      <c r="O226" s="545"/>
      <c r="P226" s="545"/>
      <c r="Q226" s="545"/>
      <c r="R226" s="548"/>
    </row>
    <row r="227" spans="1:18" ht="15.75" thickBot="1">
      <c r="A227" s="679">
        <v>23</v>
      </c>
      <c r="B227" s="589"/>
      <c r="C227" s="687" t="s">
        <v>77</v>
      </c>
      <c r="D227" s="543" t="s">
        <v>613</v>
      </c>
      <c r="E227" s="956">
        <f>+L222</f>
        <v>2189566573</v>
      </c>
      <c r="F227" s="600" t="s">
        <v>881</v>
      </c>
      <c r="G227" s="558">
        <f>+E227</f>
        <v>2189566573</v>
      </c>
      <c r="H227" s="601">
        <f>IF($G$228&gt;0,G227/$G$228,0)</f>
        <v>0.48070650467017034</v>
      </c>
      <c r="I227" s="593"/>
      <c r="J227" s="988">
        <f>0.108+0.005</f>
        <v>0.113</v>
      </c>
      <c r="L227" s="602">
        <f>J227*H227</f>
        <v>0.05431983502772925</v>
      </c>
      <c r="M227" s="545"/>
      <c r="O227" s="545"/>
      <c r="P227" s="545"/>
      <c r="Q227" s="545"/>
      <c r="R227" s="548"/>
    </row>
    <row r="228" spans="1:18" ht="15">
      <c r="A228" s="679">
        <v>24</v>
      </c>
      <c r="B228" s="589"/>
      <c r="C228" s="548" t="s">
        <v>78</v>
      </c>
      <c r="D228" s="543" t="s">
        <v>79</v>
      </c>
      <c r="G228" s="552">
        <f>G227+G226+G225</f>
        <v>4554892750</v>
      </c>
      <c r="H228" s="603">
        <f>SUM(H225:H227)</f>
        <v>1</v>
      </c>
      <c r="I228" s="545"/>
      <c r="J228" s="545"/>
      <c r="K228" s="545"/>
      <c r="L228" s="595">
        <f>SUM(L225:L227)</f>
        <v>0.08180282570846481</v>
      </c>
      <c r="M228" s="596" t="s">
        <v>1723</v>
      </c>
      <c r="O228" s="545"/>
      <c r="P228" s="545"/>
      <c r="Q228" s="545"/>
      <c r="R228" s="548"/>
    </row>
    <row r="229" spans="1:18" ht="15">
      <c r="A229" s="679"/>
      <c r="C229" s="548"/>
      <c r="G229" s="545"/>
      <c r="H229" s="545"/>
      <c r="I229" s="545"/>
      <c r="J229" s="545"/>
      <c r="K229" s="545"/>
      <c r="L229" s="595"/>
      <c r="M229" s="596"/>
      <c r="O229" s="545"/>
      <c r="P229" s="545"/>
      <c r="Q229" s="545"/>
      <c r="R229" s="548"/>
    </row>
    <row r="230" spans="1:18" ht="16.5" thickBot="1">
      <c r="A230" s="702"/>
      <c r="B230" s="544"/>
      <c r="C230" s="30" t="s">
        <v>1169</v>
      </c>
      <c r="D230" s="544"/>
      <c r="E230" s="440" t="s">
        <v>88</v>
      </c>
      <c r="F230" s="638" t="s">
        <v>1586</v>
      </c>
      <c r="G230" s="440" t="s">
        <v>1491</v>
      </c>
      <c r="H230" s="639"/>
      <c r="I230" s="547"/>
      <c r="J230" s="547"/>
      <c r="K230" s="545"/>
      <c r="M230" s="596"/>
      <c r="O230" s="545"/>
      <c r="P230" s="545"/>
      <c r="Q230" s="545"/>
      <c r="R230" s="548"/>
    </row>
    <row r="231" spans="1:18" ht="15.75">
      <c r="A231" s="702"/>
      <c r="B231" s="544"/>
      <c r="C231" s="30"/>
      <c r="D231" s="544"/>
      <c r="E231" s="640" t="s">
        <v>1147</v>
      </c>
      <c r="F231" s="641" t="s">
        <v>1148</v>
      </c>
      <c r="G231" s="315" t="s">
        <v>1587</v>
      </c>
      <c r="H231" s="639"/>
      <c r="I231" s="547"/>
      <c r="J231" s="547"/>
      <c r="K231" s="545"/>
      <c r="M231" s="596"/>
      <c r="O231" s="545"/>
      <c r="P231" s="545"/>
      <c r="Q231" s="545"/>
      <c r="R231" s="548"/>
    </row>
    <row r="232" spans="1:18" ht="15">
      <c r="A232" s="702">
        <v>25</v>
      </c>
      <c r="B232" s="702"/>
      <c r="C232" s="560" t="s">
        <v>1588</v>
      </c>
      <c r="D232" s="544" t="s">
        <v>1065</v>
      </c>
      <c r="E232" s="1312">
        <f>'A-11 (Incentive Plant)'!C18</f>
        <v>0</v>
      </c>
      <c r="F232" s="1312">
        <f>'A-11 (Incentive Plant)'!D18</f>
        <v>0</v>
      </c>
      <c r="G232" s="656">
        <f>E232-F232</f>
        <v>0</v>
      </c>
      <c r="H232" s="550"/>
      <c r="I232" s="547"/>
      <c r="J232" s="547"/>
      <c r="K232" s="545"/>
      <c r="M232" s="596"/>
      <c r="O232" s="545"/>
      <c r="P232" s="545"/>
      <c r="Q232" s="545"/>
      <c r="R232" s="548"/>
    </row>
    <row r="233" spans="1:18" ht="15">
      <c r="A233" s="702">
        <v>26</v>
      </c>
      <c r="B233" s="702"/>
      <c r="C233" s="560" t="s">
        <v>1582</v>
      </c>
      <c r="D233" s="544" t="s">
        <v>1066</v>
      </c>
      <c r="E233" s="1312">
        <f>'A-11 (Incentive Plant)'!C63</f>
        <v>0</v>
      </c>
      <c r="F233" s="1312">
        <f>'A-11 (Incentive Plant)'!D63</f>
        <v>0</v>
      </c>
      <c r="G233" s="656">
        <f>E233-F233</f>
        <v>0</v>
      </c>
      <c r="H233" s="550"/>
      <c r="I233" s="547"/>
      <c r="J233" s="547"/>
      <c r="K233" s="545"/>
      <c r="M233" s="596"/>
      <c r="O233" s="545"/>
      <c r="P233" s="545"/>
      <c r="Q233" s="545"/>
      <c r="R233" s="548"/>
    </row>
    <row r="234" spans="1:18" ht="15">
      <c r="A234" s="702">
        <v>27</v>
      </c>
      <c r="B234" s="702"/>
      <c r="C234" s="560" t="s">
        <v>1583</v>
      </c>
      <c r="D234" s="544" t="s">
        <v>1067</v>
      </c>
      <c r="E234" s="1313">
        <f>'A-11 (Incentive Plant)'!C107</f>
        <v>0</v>
      </c>
      <c r="F234" s="1313">
        <f>'A-11 (Incentive Plant)'!D107</f>
        <v>0</v>
      </c>
      <c r="G234" s="656">
        <f>E234-F234</f>
        <v>0</v>
      </c>
      <c r="H234" s="550"/>
      <c r="I234" s="547"/>
      <c r="J234" s="547"/>
      <c r="K234" s="545"/>
      <c r="M234" s="596"/>
      <c r="O234" s="545"/>
      <c r="P234" s="545"/>
      <c r="Q234" s="545"/>
      <c r="R234" s="548"/>
    </row>
    <row r="235" spans="1:18" ht="15.75" thickBot="1">
      <c r="A235" s="702">
        <v>28</v>
      </c>
      <c r="B235" s="702"/>
      <c r="C235" s="560" t="s">
        <v>1584</v>
      </c>
      <c r="D235" s="544" t="s">
        <v>1585</v>
      </c>
      <c r="E235" s="681">
        <f>'P-1 (Trans Plant)'!C44</f>
        <v>0</v>
      </c>
      <c r="F235" s="681">
        <f>'P-1 (Trans Plant)'!E44</f>
        <v>0</v>
      </c>
      <c r="G235" s="691">
        <f>E235-F235</f>
        <v>0</v>
      </c>
      <c r="H235" s="550"/>
      <c r="I235" s="547"/>
      <c r="J235" s="547"/>
      <c r="K235" s="545"/>
      <c r="M235" s="596"/>
      <c r="O235" s="545"/>
      <c r="P235" s="545"/>
      <c r="Q235" s="545"/>
      <c r="R235" s="548"/>
    </row>
    <row r="236" spans="1:18" ht="15">
      <c r="A236" s="702" t="s">
        <v>1590</v>
      </c>
      <c r="B236" s="702"/>
      <c r="C236" s="560" t="s">
        <v>1589</v>
      </c>
      <c r="D236" s="544"/>
      <c r="E236" s="550">
        <f>SUM(E232:E235)</f>
        <v>0</v>
      </c>
      <c r="F236" s="550">
        <f>SUM(F232:F235)</f>
        <v>0</v>
      </c>
      <c r="G236" s="550">
        <f>SUM(G232:G235)</f>
        <v>0</v>
      </c>
      <c r="H236" s="550"/>
      <c r="I236" s="547"/>
      <c r="J236" s="547"/>
      <c r="K236" s="545"/>
      <c r="M236" s="596"/>
      <c r="O236" s="545"/>
      <c r="P236" s="545"/>
      <c r="Q236" s="545"/>
      <c r="R236" s="548"/>
    </row>
    <row r="237" spans="1:18" ht="15">
      <c r="A237" s="702"/>
      <c r="B237" s="702"/>
      <c r="C237" s="560"/>
      <c r="D237" s="544"/>
      <c r="E237" s="544"/>
      <c r="F237" s="544"/>
      <c r="G237" s="547"/>
      <c r="H237" s="547"/>
      <c r="I237" s="547"/>
      <c r="J237" s="547"/>
      <c r="K237" s="545"/>
      <c r="L237" s="595"/>
      <c r="M237" s="596"/>
      <c r="O237" s="589"/>
      <c r="P237" s="679"/>
      <c r="Q237" s="553"/>
      <c r="R237" s="548"/>
    </row>
    <row r="238" spans="1:18" ht="15">
      <c r="A238" s="702">
        <v>29</v>
      </c>
      <c r="B238" s="702"/>
      <c r="C238" s="560" t="s">
        <v>1169</v>
      </c>
      <c r="D238" s="544" t="s">
        <v>1068</v>
      </c>
      <c r="E238" s="544"/>
      <c r="F238" s="544"/>
      <c r="G238" s="544"/>
      <c r="H238" s="547"/>
      <c r="I238" s="547"/>
      <c r="J238" s="550">
        <f>'P-1 (Trans Plant)'!D46</f>
        <v>0</v>
      </c>
      <c r="K238" s="545"/>
      <c r="L238" s="595"/>
      <c r="M238" s="596"/>
      <c r="O238" s="589"/>
      <c r="P238" s="679"/>
      <c r="Q238" s="553"/>
      <c r="R238" s="553"/>
    </row>
    <row r="239" spans="1:18" ht="15">
      <c r="A239" s="679"/>
      <c r="B239" s="589"/>
      <c r="C239" s="989"/>
      <c r="D239" s="1432" t="str">
        <f>+D1</f>
        <v>     Rate Formula Template</v>
      </c>
      <c r="E239" s="1432"/>
      <c r="F239" s="1432"/>
      <c r="G239" s="1433"/>
      <c r="H239" s="1433"/>
      <c r="I239" s="545"/>
      <c r="M239" s="990"/>
      <c r="N239" s="697" t="str">
        <f>N$1</f>
        <v>Projected</v>
      </c>
      <c r="O239" s="589"/>
      <c r="P239" s="679"/>
      <c r="Q239" s="553"/>
      <c r="R239" s="553"/>
    </row>
    <row r="240" spans="1:18" ht="15">
      <c r="A240" s="679"/>
      <c r="B240" s="589"/>
      <c r="C240" s="989"/>
      <c r="D240" s="1432" t="str">
        <f>+D2</f>
        <v> Utilizing FERC Form 1 Data</v>
      </c>
      <c r="E240" s="1432"/>
      <c r="F240" s="1432"/>
      <c r="G240" s="1433"/>
      <c r="H240" s="1433"/>
      <c r="I240" s="545"/>
      <c r="J240" s="545"/>
      <c r="M240" s="990"/>
      <c r="N240" s="991" t="s">
        <v>27</v>
      </c>
      <c r="O240" s="589"/>
      <c r="P240" s="679"/>
      <c r="Q240" s="553"/>
      <c r="R240" s="553"/>
    </row>
    <row r="241" spans="1:18" ht="15">
      <c r="A241" s="679"/>
      <c r="B241" s="589"/>
      <c r="C241" s="989"/>
      <c r="D241" s="1432" t="str">
        <f>+D3</f>
        <v>Projected Gross Revenue Requirements</v>
      </c>
      <c r="E241" s="1432"/>
      <c r="F241" s="1432"/>
      <c r="G241" s="1433"/>
      <c r="H241" s="1433"/>
      <c r="I241" s="545"/>
      <c r="J241" s="545"/>
      <c r="M241" s="990"/>
      <c r="N241" s="991"/>
      <c r="O241" s="589"/>
      <c r="P241" s="679"/>
      <c r="Q241" s="553"/>
      <c r="R241" s="553"/>
    </row>
    <row r="242" spans="1:18" ht="15">
      <c r="A242" s="679"/>
      <c r="B242" s="589"/>
      <c r="C242" s="989"/>
      <c r="D242" s="1432" t="str">
        <f>+D4</f>
        <v>For the 12 months ended - December 31, 20xx</v>
      </c>
      <c r="E242" s="1432"/>
      <c r="F242" s="1432"/>
      <c r="G242" s="1433"/>
      <c r="H242" s="1433"/>
      <c r="I242" s="545"/>
      <c r="J242" s="545"/>
      <c r="K242" s="992"/>
      <c r="M242" s="990"/>
      <c r="O242" s="589"/>
      <c r="P242" s="679"/>
      <c r="Q242" s="553"/>
      <c r="R242" s="553"/>
    </row>
    <row r="243" spans="1:18" ht="15">
      <c r="A243" s="679"/>
      <c r="B243" s="589"/>
      <c r="C243" s="989"/>
      <c r="D243" s="679"/>
      <c r="E243" s="679"/>
      <c r="F243" s="679"/>
      <c r="G243" s="545"/>
      <c r="H243" s="545"/>
      <c r="I243" s="545"/>
      <c r="J243" s="545"/>
      <c r="K243" s="992"/>
      <c r="M243" s="990"/>
      <c r="N243" s="993"/>
      <c r="O243" s="589"/>
      <c r="P243" s="679"/>
      <c r="Q243" s="553"/>
      <c r="R243" s="553"/>
    </row>
    <row r="244" spans="1:18" ht="15">
      <c r="A244" s="679"/>
      <c r="B244" s="589"/>
      <c r="C244" s="989"/>
      <c r="D244" s="1404" t="str">
        <f>+D$6</f>
        <v>WESTAR ENERGY, INC. (Westar Energy and Kansas Gas and Electric)</v>
      </c>
      <c r="E244" s="1404"/>
      <c r="F244" s="1404"/>
      <c r="G244" s="1405"/>
      <c r="H244" s="1405"/>
      <c r="I244" s="545"/>
      <c r="J244" s="545"/>
      <c r="K244" s="589"/>
      <c r="M244" s="990"/>
      <c r="N244" s="993"/>
      <c r="O244" s="589"/>
      <c r="P244" s="679"/>
      <c r="Q244" s="553"/>
      <c r="R244" s="553"/>
    </row>
    <row r="245" spans="1:18" ht="15">
      <c r="A245" s="679"/>
      <c r="B245" s="589"/>
      <c r="C245" s="989"/>
      <c r="D245" s="1404" t="str">
        <f>+D$7</f>
        <v>(WESTAR)</v>
      </c>
      <c r="E245" s="1404"/>
      <c r="F245" s="1404"/>
      <c r="G245" s="1405"/>
      <c r="H245" s="1405"/>
      <c r="I245" s="545"/>
      <c r="J245" s="545"/>
      <c r="K245" s="589"/>
      <c r="L245" s="992"/>
      <c r="M245" s="990"/>
      <c r="N245" s="993"/>
      <c r="O245" s="589"/>
      <c r="P245" s="679"/>
      <c r="Q245" s="553"/>
      <c r="R245" s="553"/>
    </row>
    <row r="246" spans="1:18" ht="15">
      <c r="A246" s="679"/>
      <c r="B246" s="589"/>
      <c r="C246" s="989"/>
      <c r="D246" s="679"/>
      <c r="E246" s="679"/>
      <c r="F246" s="679"/>
      <c r="G246" s="590"/>
      <c r="H246" s="545"/>
      <c r="I246" s="545"/>
      <c r="J246" s="545"/>
      <c r="K246" s="589"/>
      <c r="L246" s="992"/>
      <c r="M246" s="990"/>
      <c r="N246" s="993"/>
      <c r="O246" s="589"/>
      <c r="P246" s="679"/>
      <c r="Q246" s="553"/>
      <c r="R246" s="553"/>
    </row>
    <row r="247" spans="2:18" ht="15.75">
      <c r="B247" s="589"/>
      <c r="C247" s="989"/>
      <c r="D247" s="1406" t="s">
        <v>16</v>
      </c>
      <c r="E247" s="1406"/>
      <c r="F247" s="1406"/>
      <c r="G247" s="1433"/>
      <c r="H247" s="1433"/>
      <c r="I247" s="545"/>
      <c r="J247" s="545"/>
      <c r="K247" s="589"/>
      <c r="L247" s="992"/>
      <c r="M247" s="990"/>
      <c r="N247" s="993"/>
      <c r="O247" s="589"/>
      <c r="P247" s="679"/>
      <c r="Q247" s="553"/>
      <c r="R247" s="553"/>
    </row>
    <row r="248" spans="1:18" ht="15">
      <c r="A248" s="702" t="s">
        <v>1616</v>
      </c>
      <c r="B248" s="944"/>
      <c r="C248" s="944" t="s">
        <v>1643</v>
      </c>
      <c r="D248" s="944"/>
      <c r="E248" s="944"/>
      <c r="F248" s="944"/>
      <c r="G248" s="944"/>
      <c r="H248" s="944"/>
      <c r="I248" s="944"/>
      <c r="J248" s="944"/>
      <c r="K248" s="944"/>
      <c r="L248" s="944"/>
      <c r="M248" s="944"/>
      <c r="N248" s="944"/>
      <c r="O248" s="944"/>
      <c r="P248" s="702"/>
      <c r="Q248" s="553"/>
      <c r="R248" s="553"/>
    </row>
    <row r="249" spans="1:18" ht="15">
      <c r="A249" s="679" t="s">
        <v>1596</v>
      </c>
      <c r="B249" s="589"/>
      <c r="C249" s="944" t="s">
        <v>1643</v>
      </c>
      <c r="D249" s="944"/>
      <c r="E249" s="944"/>
      <c r="F249" s="944"/>
      <c r="G249" s="944"/>
      <c r="H249" s="944"/>
      <c r="I249" s="944"/>
      <c r="J249" s="944"/>
      <c r="K249" s="944"/>
      <c r="L249" s="944"/>
      <c r="M249" s="944"/>
      <c r="N249" s="944"/>
      <c r="O249" s="944"/>
      <c r="P249" s="702"/>
      <c r="Q249" s="553"/>
      <c r="R249" s="553"/>
    </row>
    <row r="250" spans="1:18" ht="15">
      <c r="A250" s="679" t="s">
        <v>191</v>
      </c>
      <c r="B250" s="589"/>
      <c r="C250" s="944" t="s">
        <v>1643</v>
      </c>
      <c r="D250" s="944"/>
      <c r="E250" s="944"/>
      <c r="F250" s="944"/>
      <c r="G250" s="944"/>
      <c r="H250" s="944"/>
      <c r="I250" s="944"/>
      <c r="J250" s="944"/>
      <c r="K250" s="944"/>
      <c r="L250" s="944"/>
      <c r="M250" s="944"/>
      <c r="N250" s="944"/>
      <c r="O250" s="944"/>
      <c r="P250" s="702"/>
      <c r="Q250" s="553"/>
      <c r="R250" s="553"/>
    </row>
    <row r="251" spans="1:18" ht="15">
      <c r="A251" s="679" t="s">
        <v>194</v>
      </c>
      <c r="B251" s="589"/>
      <c r="C251" s="944" t="s">
        <v>1643</v>
      </c>
      <c r="D251" s="944"/>
      <c r="E251" s="944"/>
      <c r="F251" s="944"/>
      <c r="G251" s="944"/>
      <c r="H251" s="944"/>
      <c r="I251" s="944"/>
      <c r="J251" s="944"/>
      <c r="K251" s="944"/>
      <c r="L251" s="944"/>
      <c r="M251" s="944"/>
      <c r="N251" s="944"/>
      <c r="O251" s="944"/>
      <c r="P251" s="702"/>
      <c r="Q251" s="553"/>
      <c r="R251" s="553"/>
    </row>
    <row r="252" spans="1:18" ht="15">
      <c r="A252" s="699" t="s">
        <v>192</v>
      </c>
      <c r="C252" s="944" t="s">
        <v>1643</v>
      </c>
      <c r="D252" s="917"/>
      <c r="E252" s="917"/>
      <c r="F252" s="917"/>
      <c r="G252" s="917"/>
      <c r="H252" s="944"/>
      <c r="I252" s="944"/>
      <c r="J252" s="944"/>
      <c r="K252" s="944"/>
      <c r="L252" s="944"/>
      <c r="M252" s="944"/>
      <c r="N252" s="944"/>
      <c r="O252" s="944"/>
      <c r="P252" s="702"/>
      <c r="Q252" s="553"/>
      <c r="R252" s="553"/>
    </row>
    <row r="253" spans="1:18" ht="15">
      <c r="A253" s="699" t="s">
        <v>193</v>
      </c>
      <c r="C253" s="944" t="s">
        <v>1643</v>
      </c>
      <c r="D253" s="917"/>
      <c r="E253" s="917"/>
      <c r="F253" s="917"/>
      <c r="G253" s="917"/>
      <c r="H253" s="917"/>
      <c r="I253" s="917"/>
      <c r="J253" s="917"/>
      <c r="K253" s="917"/>
      <c r="L253" s="917"/>
      <c r="M253" s="917"/>
      <c r="N253" s="944"/>
      <c r="O253" s="944"/>
      <c r="P253" s="702"/>
      <c r="Q253" s="553"/>
      <c r="R253" s="553"/>
    </row>
    <row r="254" spans="1:18" ht="15">
      <c r="A254" s="679" t="s">
        <v>1727</v>
      </c>
      <c r="B254" s="589"/>
      <c r="C254" s="944" t="s">
        <v>1643</v>
      </c>
      <c r="D254" s="944"/>
      <c r="E254" s="944"/>
      <c r="F254" s="944"/>
      <c r="G254" s="944"/>
      <c r="H254" s="944"/>
      <c r="I254" s="944"/>
      <c r="J254" s="944"/>
      <c r="K254" s="944"/>
      <c r="L254" s="944"/>
      <c r="M254" s="944"/>
      <c r="N254" s="944"/>
      <c r="O254" s="944"/>
      <c r="P254" s="702"/>
      <c r="Q254" s="917"/>
      <c r="R254" s="553"/>
    </row>
    <row r="255" spans="1:18" ht="15">
      <c r="A255" s="679" t="s">
        <v>1729</v>
      </c>
      <c r="B255" s="589"/>
      <c r="C255" s="944" t="s">
        <v>181</v>
      </c>
      <c r="D255" s="944"/>
      <c r="E255" s="944"/>
      <c r="F255" s="944"/>
      <c r="G255" s="944"/>
      <c r="H255" s="944"/>
      <c r="I255" s="944"/>
      <c r="J255" s="944"/>
      <c r="K255" s="944"/>
      <c r="L255" s="944"/>
      <c r="M255" s="944"/>
      <c r="N255" s="944"/>
      <c r="O255" s="944"/>
      <c r="P255" s="702"/>
      <c r="Q255" s="553"/>
      <c r="R255" s="553"/>
    </row>
    <row r="256" spans="1:18" ht="15">
      <c r="A256" s="679"/>
      <c r="B256" s="589"/>
      <c r="C256" s="944" t="s">
        <v>183</v>
      </c>
      <c r="D256" s="944"/>
      <c r="E256" s="944"/>
      <c r="F256" s="944"/>
      <c r="G256" s="944"/>
      <c r="H256" s="944"/>
      <c r="I256" s="944"/>
      <c r="J256" s="944"/>
      <c r="K256" s="944"/>
      <c r="L256" s="944"/>
      <c r="M256" s="944"/>
      <c r="N256" s="944"/>
      <c r="O256" s="944"/>
      <c r="P256" s="702"/>
      <c r="Q256" s="553"/>
      <c r="R256" s="553"/>
    </row>
    <row r="257" spans="1:18" ht="15">
      <c r="A257" s="679"/>
      <c r="B257" s="589"/>
      <c r="C257" s="944" t="s">
        <v>184</v>
      </c>
      <c r="D257" s="944"/>
      <c r="E257" s="944"/>
      <c r="F257" s="944"/>
      <c r="G257" s="944"/>
      <c r="H257" s="944"/>
      <c r="I257" s="944"/>
      <c r="J257" s="944"/>
      <c r="K257" s="944"/>
      <c r="L257" s="944"/>
      <c r="M257" s="944"/>
      <c r="N257" s="944"/>
      <c r="O257" s="944"/>
      <c r="P257" s="702"/>
      <c r="Q257" s="553"/>
      <c r="R257" s="553"/>
    </row>
    <row r="258" spans="1:18" ht="15">
      <c r="A258" s="679"/>
      <c r="B258" s="589"/>
      <c r="C258" s="944" t="s">
        <v>185</v>
      </c>
      <c r="D258" s="944"/>
      <c r="E258" s="944"/>
      <c r="F258" s="944"/>
      <c r="G258" s="944"/>
      <c r="H258" s="944"/>
      <c r="I258" s="944"/>
      <c r="J258" s="944"/>
      <c r="K258" s="944"/>
      <c r="L258" s="944"/>
      <c r="M258" s="944"/>
      <c r="N258" s="944"/>
      <c r="O258" s="944"/>
      <c r="P258" s="702"/>
      <c r="Q258" s="553"/>
      <c r="R258" s="553"/>
    </row>
    <row r="259" spans="1:18" ht="15">
      <c r="A259" s="679"/>
      <c r="B259" s="589"/>
      <c r="C259" s="944" t="s">
        <v>1477</v>
      </c>
      <c r="D259" s="944"/>
      <c r="E259" s="944"/>
      <c r="F259" s="944"/>
      <c r="G259" s="944"/>
      <c r="H259" s="944"/>
      <c r="I259" s="944"/>
      <c r="J259" s="944"/>
      <c r="K259" s="944"/>
      <c r="L259" s="944"/>
      <c r="M259" s="944"/>
      <c r="N259" s="944"/>
      <c r="O259" s="944"/>
      <c r="P259" s="702"/>
      <c r="Q259" s="553"/>
      <c r="R259" s="553"/>
    </row>
    <row r="260" spans="1:18" ht="15">
      <c r="A260" s="679"/>
      <c r="B260" s="589"/>
      <c r="C260" s="944" t="s">
        <v>493</v>
      </c>
      <c r="D260" s="944"/>
      <c r="E260" s="944"/>
      <c r="F260" s="944"/>
      <c r="G260" s="944"/>
      <c r="H260" s="944"/>
      <c r="I260" s="944"/>
      <c r="J260" s="944"/>
      <c r="K260" s="944"/>
      <c r="L260" s="944"/>
      <c r="M260" s="944"/>
      <c r="N260" s="944"/>
      <c r="O260" s="944"/>
      <c r="P260" s="702"/>
      <c r="Q260" s="553"/>
      <c r="R260" s="553"/>
    </row>
    <row r="261" spans="1:18" ht="15">
      <c r="A261" s="679" t="s">
        <v>1100</v>
      </c>
      <c r="B261" s="589"/>
      <c r="C261" s="944" t="s">
        <v>774</v>
      </c>
      <c r="D261" s="935" t="s">
        <v>1478</v>
      </c>
      <c r="E261" s="1299"/>
      <c r="F261" s="944" t="s">
        <v>274</v>
      </c>
      <c r="G261" s="944"/>
      <c r="H261" s="944"/>
      <c r="K261" s="944"/>
      <c r="L261" s="944"/>
      <c r="M261" s="944"/>
      <c r="N261" s="944"/>
      <c r="O261" s="944"/>
      <c r="P261" s="702"/>
      <c r="Q261" s="553"/>
      <c r="R261" s="553"/>
    </row>
    <row r="262" spans="1:18" ht="15">
      <c r="A262" s="679"/>
      <c r="B262" s="589"/>
      <c r="C262" s="944"/>
      <c r="D262" s="935" t="s">
        <v>1479</v>
      </c>
      <c r="E262" s="1299"/>
      <c r="F262" s="944" t="s">
        <v>768</v>
      </c>
      <c r="G262" s="944"/>
      <c r="H262" s="944"/>
      <c r="K262" s="944"/>
      <c r="L262" s="944"/>
      <c r="M262" s="944"/>
      <c r="N262" s="944"/>
      <c r="O262" s="944"/>
      <c r="P262" s="702"/>
      <c r="Q262" s="553"/>
      <c r="R262" s="553"/>
    </row>
    <row r="263" spans="1:18" ht="15">
      <c r="A263" s="679"/>
      <c r="B263" s="589"/>
      <c r="C263" s="944"/>
      <c r="D263" s="935" t="s">
        <v>769</v>
      </c>
      <c r="E263" s="1299"/>
      <c r="F263" s="944" t="s">
        <v>770</v>
      </c>
      <c r="G263" s="944"/>
      <c r="H263" s="944"/>
      <c r="K263" s="944"/>
      <c r="L263" s="944"/>
      <c r="M263" s="944"/>
      <c r="N263" s="944"/>
      <c r="O263" s="944"/>
      <c r="P263" s="702"/>
      <c r="Q263" s="553"/>
      <c r="R263" s="553"/>
    </row>
    <row r="264" spans="1:18" ht="15">
      <c r="A264" s="679"/>
      <c r="B264" s="589"/>
      <c r="C264" s="944"/>
      <c r="D264" s="944"/>
      <c r="E264" s="944"/>
      <c r="F264" s="944"/>
      <c r="G264" s="944"/>
      <c r="H264" s="944"/>
      <c r="I264" s="944"/>
      <c r="J264" s="944"/>
      <c r="K264" s="944"/>
      <c r="L264" s="944"/>
      <c r="M264" s="944"/>
      <c r="N264" s="944"/>
      <c r="O264" s="944"/>
      <c r="P264" s="702"/>
      <c r="Q264" s="917"/>
      <c r="R264" s="553"/>
    </row>
    <row r="265" spans="1:18" ht="15">
      <c r="A265" s="679"/>
      <c r="B265" s="589"/>
      <c r="C265" s="944"/>
      <c r="D265" s="944"/>
      <c r="E265" s="944"/>
      <c r="F265" s="944"/>
      <c r="G265" s="944"/>
      <c r="H265" s="944"/>
      <c r="I265" s="944"/>
      <c r="J265" s="944"/>
      <c r="K265" s="944"/>
      <c r="L265" s="944"/>
      <c r="M265" s="944"/>
      <c r="N265" s="944"/>
      <c r="O265" s="944"/>
      <c r="P265" s="702"/>
      <c r="Q265" s="917"/>
      <c r="R265" s="553"/>
    </row>
    <row r="266" spans="1:18" ht="15">
      <c r="A266" s="702"/>
      <c r="B266" s="589"/>
      <c r="C266" s="546"/>
      <c r="D266" s="589"/>
      <c r="E266" s="589"/>
      <c r="F266" s="589"/>
      <c r="G266" s="944"/>
      <c r="H266" s="944"/>
      <c r="I266" s="944"/>
      <c r="J266" s="944"/>
      <c r="K266" s="944"/>
      <c r="L266" s="944"/>
      <c r="M266" s="944"/>
      <c r="N266" s="944"/>
      <c r="O266" s="944"/>
      <c r="P266" s="702"/>
      <c r="Q266" s="917"/>
      <c r="R266" s="553"/>
    </row>
    <row r="267" spans="1:18" ht="15">
      <c r="A267" s="679"/>
      <c r="B267" s="589"/>
      <c r="C267" s="944"/>
      <c r="D267" s="944"/>
      <c r="E267" s="944"/>
      <c r="F267" s="944"/>
      <c r="G267" s="944"/>
      <c r="H267" s="944"/>
      <c r="I267" s="944"/>
      <c r="J267" s="944"/>
      <c r="K267" s="944"/>
      <c r="L267" s="944"/>
      <c r="M267" s="944"/>
      <c r="N267" s="944"/>
      <c r="O267" s="944"/>
      <c r="P267" s="702"/>
      <c r="Q267" s="553"/>
      <c r="R267" s="553"/>
    </row>
    <row r="268" spans="1:18" ht="15">
      <c r="A268" s="679"/>
      <c r="B268" s="589"/>
      <c r="C268" s="944"/>
      <c r="D268" s="944"/>
      <c r="E268" s="944"/>
      <c r="F268" s="944"/>
      <c r="G268" s="944"/>
      <c r="H268" s="944"/>
      <c r="I268" s="944"/>
      <c r="J268" s="944"/>
      <c r="K268" s="944"/>
      <c r="L268" s="944"/>
      <c r="M268" s="944"/>
      <c r="N268" s="944"/>
      <c r="O268" s="944"/>
      <c r="P268" s="702"/>
      <c r="Q268" s="553"/>
      <c r="R268" s="553"/>
    </row>
    <row r="269" spans="1:18" ht="15">
      <c r="A269" s="679"/>
      <c r="B269" s="589"/>
      <c r="C269" s="944"/>
      <c r="D269" s="944"/>
      <c r="E269" s="944"/>
      <c r="F269" s="944"/>
      <c r="G269" s="944"/>
      <c r="H269" s="944"/>
      <c r="I269" s="944"/>
      <c r="J269" s="944"/>
      <c r="K269" s="944"/>
      <c r="L269" s="944"/>
      <c r="M269" s="944"/>
      <c r="N269" s="944"/>
      <c r="O269" s="944"/>
      <c r="P269" s="702"/>
      <c r="Q269" s="553"/>
      <c r="R269" s="553"/>
    </row>
    <row r="270" spans="1:18" ht="15">
      <c r="A270" s="679"/>
      <c r="B270" s="589"/>
      <c r="C270" s="944"/>
      <c r="D270" s="944"/>
      <c r="E270" s="944"/>
      <c r="F270" s="944"/>
      <c r="G270" s="944"/>
      <c r="H270" s="944"/>
      <c r="I270" s="944"/>
      <c r="J270" s="944"/>
      <c r="K270" s="944"/>
      <c r="L270" s="944"/>
      <c r="M270" s="944"/>
      <c r="N270" s="944"/>
      <c r="O270" s="944"/>
      <c r="P270" s="702"/>
      <c r="Q270" s="553"/>
      <c r="R270" s="553"/>
    </row>
    <row r="271" spans="1:18" ht="20.25" customHeight="1">
      <c r="A271" s="679"/>
      <c r="B271" s="589"/>
      <c r="C271" s="944"/>
      <c r="D271" s="944"/>
      <c r="E271" s="944"/>
      <c r="F271" s="944"/>
      <c r="G271" s="944"/>
      <c r="H271" s="944"/>
      <c r="I271" s="944"/>
      <c r="J271" s="944"/>
      <c r="K271" s="944"/>
      <c r="L271" s="944"/>
      <c r="M271" s="944"/>
      <c r="N271" s="944"/>
      <c r="O271" s="944"/>
      <c r="P271" s="702"/>
      <c r="Q271" s="553"/>
      <c r="R271" s="553"/>
    </row>
    <row r="272" spans="1:18" ht="20.25" customHeight="1">
      <c r="A272" s="699"/>
      <c r="C272" s="917"/>
      <c r="D272" s="917"/>
      <c r="E272" s="917"/>
      <c r="F272" s="917"/>
      <c r="G272" s="944"/>
      <c r="H272" s="944"/>
      <c r="I272" s="944"/>
      <c r="J272" s="944"/>
      <c r="K272" s="944"/>
      <c r="L272" s="944"/>
      <c r="M272" s="944"/>
      <c r="N272" s="944"/>
      <c r="O272" s="553"/>
      <c r="P272" s="553"/>
      <c r="Q272" s="553"/>
      <c r="R272" s="553"/>
    </row>
    <row r="273" spans="1:18" ht="20.25" customHeight="1">
      <c r="A273" s="679"/>
      <c r="B273" s="589"/>
      <c r="C273" s="944"/>
      <c r="D273" s="944"/>
      <c r="E273" s="944"/>
      <c r="F273" s="944"/>
      <c r="G273" s="944"/>
      <c r="H273" s="944"/>
      <c r="I273" s="944"/>
      <c r="J273" s="544"/>
      <c r="K273" s="944"/>
      <c r="L273" s="944"/>
      <c r="M273" s="944"/>
      <c r="N273" s="944"/>
      <c r="O273" s="553"/>
      <c r="P273" s="553"/>
      <c r="Q273" s="553"/>
      <c r="R273" s="553"/>
    </row>
    <row r="274" spans="1:18" ht="20.25" customHeight="1">
      <c r="A274" s="679"/>
      <c r="B274" s="589"/>
      <c r="C274" s="944"/>
      <c r="D274" s="944"/>
      <c r="E274" s="944"/>
      <c r="F274" s="944"/>
      <c r="G274" s="944"/>
      <c r="H274" s="944"/>
      <c r="I274" s="944"/>
      <c r="J274" s="544"/>
      <c r="K274" s="944"/>
      <c r="L274" s="944"/>
      <c r="M274" s="944"/>
      <c r="N274" s="944"/>
      <c r="O274" s="553"/>
      <c r="P274" s="553"/>
      <c r="Q274" s="553"/>
      <c r="R274" s="553"/>
    </row>
    <row r="275" spans="1:14" ht="15">
      <c r="A275" s="679"/>
      <c r="B275" s="589"/>
      <c r="C275" s="944"/>
      <c r="D275" s="944"/>
      <c r="E275" s="944"/>
      <c r="F275" s="944"/>
      <c r="G275" s="944"/>
      <c r="H275" s="944"/>
      <c r="I275" s="944"/>
      <c r="J275" s="944"/>
      <c r="K275" s="944"/>
      <c r="L275" s="944"/>
      <c r="M275" s="944"/>
      <c r="N275" s="944"/>
    </row>
    <row r="276" spans="3:14" ht="15">
      <c r="C276" s="944"/>
      <c r="K276" s="544"/>
      <c r="L276" s="544"/>
      <c r="M276" s="544"/>
      <c r="N276" s="917"/>
    </row>
    <row r="277" spans="1:14" ht="15">
      <c r="A277" s="994"/>
      <c r="C277" s="733"/>
      <c r="D277" s="733"/>
      <c r="E277" s="733"/>
      <c r="F277" s="733"/>
      <c r="G277" s="733"/>
      <c r="H277" s="733"/>
      <c r="J277" s="544"/>
      <c r="K277" s="544"/>
      <c r="L277" s="544"/>
      <c r="M277" s="544"/>
      <c r="N277" s="917"/>
    </row>
    <row r="278" spans="1:14" ht="15">
      <c r="A278" s="995"/>
      <c r="C278" s="995"/>
      <c r="D278" s="995"/>
      <c r="E278" s="995"/>
      <c r="F278" s="995"/>
      <c r="G278" s="996"/>
      <c r="H278" s="733"/>
      <c r="J278" s="544"/>
      <c r="K278" s="544"/>
      <c r="L278" s="544"/>
      <c r="M278" s="544"/>
      <c r="N278" s="917"/>
    </row>
    <row r="279" spans="1:14" s="10" customFormat="1" ht="15">
      <c r="A279" s="995"/>
      <c r="B279" s="543"/>
      <c r="C279" s="997"/>
      <c r="D279" s="997"/>
      <c r="E279" s="997"/>
      <c r="F279" s="1455"/>
      <c r="G279" s="1456"/>
      <c r="H279" s="1456"/>
      <c r="I279" s="182"/>
      <c r="J279" s="29"/>
      <c r="K279" s="29"/>
      <c r="L279" s="29"/>
      <c r="M279" s="29"/>
      <c r="N279" s="28"/>
    </row>
    <row r="280" spans="1:14" s="10" customFormat="1" ht="15">
      <c r="A280" s="998"/>
      <c r="C280" s="657"/>
      <c r="D280" s="220"/>
      <c r="E280" s="182"/>
      <c r="F280" s="658"/>
      <c r="G280" s="659"/>
      <c r="H280" s="659"/>
      <c r="I280" s="182"/>
      <c r="J280" s="29"/>
      <c r="K280" s="29"/>
      <c r="L280" s="29"/>
      <c r="M280" s="29"/>
      <c r="N280" s="28"/>
    </row>
    <row r="281" spans="1:14" s="10" customFormat="1" ht="15">
      <c r="A281" s="998"/>
      <c r="C281" s="998"/>
      <c r="G281" s="218"/>
      <c r="H281" s="74"/>
      <c r="J281" s="29"/>
      <c r="K281" s="29"/>
      <c r="L281" s="29"/>
      <c r="M281" s="29"/>
      <c r="N281" s="29"/>
    </row>
    <row r="282" spans="1:8" ht="15.75">
      <c r="A282" s="998"/>
      <c r="B282" s="10"/>
      <c r="C282" s="999"/>
      <c r="D282" s="10"/>
      <c r="E282" s="10"/>
      <c r="F282" s="219"/>
      <c r="G282" s="247"/>
      <c r="H282" s="193"/>
    </row>
    <row r="283" spans="1:8" ht="15.75">
      <c r="A283" s="995"/>
      <c r="C283" s="995"/>
      <c r="F283" s="1000"/>
      <c r="G283" s="1001"/>
      <c r="H283" s="193"/>
    </row>
    <row r="284" spans="1:8" ht="15">
      <c r="A284" s="995"/>
      <c r="C284" s="1002"/>
      <c r="F284" s="995"/>
      <c r="G284" s="1001"/>
      <c r="H284" s="1003"/>
    </row>
    <row r="285" spans="1:8" ht="15">
      <c r="A285" s="995"/>
      <c r="C285" s="1002"/>
      <c r="F285" s="995"/>
      <c r="G285" s="1001"/>
      <c r="H285" s="1003"/>
    </row>
    <row r="286" spans="1:8" ht="15">
      <c r="A286" s="995"/>
      <c r="C286" s="1002"/>
      <c r="F286" s="995"/>
      <c r="G286" s="1001"/>
      <c r="H286" s="1003"/>
    </row>
    <row r="287" spans="1:8" ht="15">
      <c r="A287" s="995"/>
      <c r="C287" s="1002"/>
      <c r="F287" s="995"/>
      <c r="G287" s="1001"/>
      <c r="H287" s="1004"/>
    </row>
    <row r="288" spans="1:8" ht="15">
      <c r="A288" s="733"/>
      <c r="C288" s="1005"/>
      <c r="F288" s="997"/>
      <c r="G288" s="1001"/>
      <c r="H288" s="1004"/>
    </row>
    <row r="289" spans="1:8" ht="15">
      <c r="A289" s="733"/>
      <c r="C289" s="1005"/>
      <c r="F289" s="997"/>
      <c r="G289" s="1001"/>
      <c r="H289" s="1004"/>
    </row>
    <row r="290" spans="1:8" ht="15">
      <c r="A290" s="733"/>
      <c r="C290" s="1005"/>
      <c r="F290" s="997"/>
      <c r="G290" s="1001"/>
      <c r="H290" s="1004"/>
    </row>
    <row r="291" spans="1:8" ht="15">
      <c r="A291" s="733"/>
      <c r="C291" s="1005"/>
      <c r="F291" s="997"/>
      <c r="G291" s="1001"/>
      <c r="H291" s="1004"/>
    </row>
    <row r="292" spans="1:8" ht="15">
      <c r="A292" s="699"/>
      <c r="C292" s="733"/>
      <c r="D292" s="733"/>
      <c r="E292" s="733"/>
      <c r="F292" s="733"/>
      <c r="G292" s="733"/>
      <c r="H292" s="733"/>
    </row>
    <row r="293" spans="3:8" ht="15">
      <c r="C293" s="733"/>
      <c r="D293" s="733"/>
      <c r="E293" s="733"/>
      <c r="F293" s="733"/>
      <c r="G293" s="733"/>
      <c r="H293" s="733"/>
    </row>
  </sheetData>
  <sheetProtection/>
  <mergeCells count="34">
    <mergeCell ref="F279:H279"/>
    <mergeCell ref="D244:H244"/>
    <mergeCell ref="D245:H245"/>
    <mergeCell ref="D3:H3"/>
    <mergeCell ref="D53:H53"/>
    <mergeCell ref="D240:H240"/>
    <mergeCell ref="D242:H242"/>
    <mergeCell ref="D241:H241"/>
    <mergeCell ref="D184:H184"/>
    <mergeCell ref="D186:H186"/>
    <mergeCell ref="D124:H124"/>
    <mergeCell ref="D247:H247"/>
    <mergeCell ref="D239:H239"/>
    <mergeCell ref="D181:H181"/>
    <mergeCell ref="D183:H183"/>
    <mergeCell ref="D180:H180"/>
    <mergeCell ref="D178:H178"/>
    <mergeCell ref="D179:H179"/>
    <mergeCell ref="D126:H126"/>
    <mergeCell ref="D1:H1"/>
    <mergeCell ref="D2:H2"/>
    <mergeCell ref="D4:H4"/>
    <mergeCell ref="D54:H54"/>
    <mergeCell ref="D6:H6"/>
    <mergeCell ref="D51:H51"/>
    <mergeCell ref="D52:H52"/>
    <mergeCell ref="D7:H7"/>
    <mergeCell ref="D121:H121"/>
    <mergeCell ref="D123:H123"/>
    <mergeCell ref="D120:H120"/>
    <mergeCell ref="D56:H56"/>
    <mergeCell ref="D57:H57"/>
    <mergeCell ref="D118:H118"/>
    <mergeCell ref="D119:H119"/>
  </mergeCells>
  <printOptions/>
  <pageMargins left="0.57" right="0.3" top="0.59" bottom="0.53" header="0.36" footer="0.31"/>
  <pageSetup fitToHeight="26" horizontalDpi="600" verticalDpi="600" orientation="landscape" scale="45" r:id="rId1"/>
  <headerFooter alignWithMargins="0">
    <oddFooter>&amp;L&amp;D&amp;R&amp;F</oddFooter>
  </headerFooter>
  <rowBreaks count="4" manualBreakCount="4">
    <brk id="50" max="13" man="1"/>
    <brk id="117" max="13" man="1"/>
    <brk id="177" max="13" man="1"/>
    <brk id="238" max="13" man="1"/>
  </rowBreaks>
</worksheet>
</file>

<file path=xl/worksheets/sheet21.xml><?xml version="1.0" encoding="utf-8"?>
<worksheet xmlns="http://schemas.openxmlformats.org/spreadsheetml/2006/main" xmlns:r="http://schemas.openxmlformats.org/officeDocument/2006/relationships">
  <sheetPr>
    <tabColor indexed="22"/>
  </sheetPr>
  <dimension ref="A1:R96"/>
  <sheetViews>
    <sheetView zoomScale="50" zoomScaleNormal="50" zoomScalePageLayoutView="0" workbookViewId="0" topLeftCell="A1">
      <selection activeCell="B28" sqref="B28"/>
    </sheetView>
  </sheetViews>
  <sheetFormatPr defaultColWidth="8.88671875" defaultRowHeight="15"/>
  <cols>
    <col min="1" max="1" width="3.10546875" style="389" customWidth="1"/>
    <col min="2" max="2" width="11.4453125" style="389" customWidth="1"/>
    <col min="3" max="3" width="17.5546875" style="389" customWidth="1"/>
    <col min="4" max="4" width="13.4453125" style="389" bestFit="1" customWidth="1"/>
    <col min="5" max="5" width="13.6640625" style="389" bestFit="1" customWidth="1"/>
    <col min="6" max="6" width="9.4453125" style="389" customWidth="1"/>
    <col min="7" max="7" width="15.88671875" style="389" customWidth="1"/>
    <col min="8" max="8" width="12.99609375" style="389" customWidth="1"/>
    <col min="9" max="9" width="11.5546875" style="389" customWidth="1"/>
    <col min="10" max="10" width="12.6640625" style="389" bestFit="1" customWidth="1"/>
    <col min="11" max="11" width="13.4453125" style="389" bestFit="1" customWidth="1"/>
    <col min="12" max="12" width="12.99609375" style="389" customWidth="1"/>
    <col min="13" max="13" width="11.88671875" style="389" customWidth="1"/>
    <col min="14" max="14" width="11.21484375" style="389" customWidth="1"/>
    <col min="15" max="15" width="13.4453125" style="389" bestFit="1" customWidth="1"/>
    <col min="16" max="16" width="11.99609375" style="389" customWidth="1"/>
    <col min="17" max="17" width="10.99609375" style="389" customWidth="1"/>
    <col min="18" max="18" width="12.77734375" style="389" customWidth="1"/>
    <col min="19" max="16384" width="8.88671875" style="389" customWidth="1"/>
  </cols>
  <sheetData>
    <row r="1" spans="1:18" ht="20.25">
      <c r="A1" s="295"/>
      <c r="B1" s="96" t="s">
        <v>170</v>
      </c>
      <c r="C1" s="295"/>
      <c r="D1" s="295"/>
      <c r="R1" s="389" t="s">
        <v>1690</v>
      </c>
    </row>
    <row r="2" spans="1:4" ht="18">
      <c r="A2" s="298"/>
      <c r="B2" s="1000" t="str">
        <f>+'Projected Gross Rev Req'!D4</f>
        <v>For the 12 months ended - December 31, 20xx</v>
      </c>
      <c r="C2" s="298"/>
      <c r="D2" s="298"/>
    </row>
    <row r="3" spans="1:4" ht="15">
      <c r="A3" s="154"/>
      <c r="B3" s="426"/>
      <c r="C3" s="383"/>
      <c r="D3" s="383"/>
    </row>
    <row r="6" spans="1:18" ht="15">
      <c r="A6" s="465"/>
      <c r="B6" s="487" t="s">
        <v>1397</v>
      </c>
      <c r="C6" s="465"/>
      <c r="D6" s="465"/>
      <c r="E6" s="465"/>
      <c r="F6" s="465"/>
      <c r="G6" s="465"/>
      <c r="H6" s="465"/>
      <c r="I6" s="465"/>
      <c r="J6" s="465"/>
      <c r="K6" s="465"/>
      <c r="L6" s="465"/>
      <c r="M6" s="465"/>
      <c r="N6" s="465"/>
      <c r="O6" s="465"/>
      <c r="P6" s="465"/>
      <c r="Q6" s="465"/>
      <c r="R6" s="465"/>
    </row>
    <row r="7" spans="1:18" ht="15">
      <c r="A7" s="482">
        <v>1</v>
      </c>
      <c r="B7" s="465"/>
      <c r="C7" s="465"/>
      <c r="D7" s="465"/>
      <c r="E7" s="465"/>
      <c r="F7" s="465"/>
      <c r="G7" s="496" t="s">
        <v>625</v>
      </c>
      <c r="H7" s="497"/>
      <c r="I7" s="497"/>
      <c r="J7" s="497"/>
      <c r="K7" s="496" t="s">
        <v>625</v>
      </c>
      <c r="L7" s="497" t="s">
        <v>278</v>
      </c>
      <c r="M7" s="497"/>
      <c r="N7" s="497"/>
      <c r="O7" s="496" t="s">
        <v>625</v>
      </c>
      <c r="P7" s="497" t="s">
        <v>279</v>
      </c>
      <c r="Q7" s="497"/>
      <c r="R7" s="498"/>
    </row>
    <row r="8" spans="1:18" ht="14.25">
      <c r="A8" s="482">
        <f>+A7+1</f>
        <v>2</v>
      </c>
      <c r="B8" s="465"/>
      <c r="C8" s="465"/>
      <c r="D8" s="465"/>
      <c r="E8" s="465"/>
      <c r="F8" s="465"/>
      <c r="G8" s="499" t="s">
        <v>1238</v>
      </c>
      <c r="H8" s="495"/>
      <c r="I8" s="495"/>
      <c r="J8" s="495"/>
      <c r="K8" s="499" t="s">
        <v>1238</v>
      </c>
      <c r="L8" s="495" t="s">
        <v>1239</v>
      </c>
      <c r="M8" s="495"/>
      <c r="N8" s="495"/>
      <c r="O8" s="499" t="s">
        <v>1238</v>
      </c>
      <c r="P8" s="495" t="s">
        <v>1754</v>
      </c>
      <c r="Q8" s="495"/>
      <c r="R8" s="571"/>
    </row>
    <row r="9" spans="1:18" ht="14.25">
      <c r="A9" s="482">
        <f aca="true" t="shared" si="0" ref="A9:A14">+A8+1</f>
        <v>3</v>
      </c>
      <c r="B9" s="465"/>
      <c r="C9" s="465"/>
      <c r="D9" s="465"/>
      <c r="E9" s="465"/>
      <c r="F9" s="465"/>
      <c r="G9" s="466" t="s">
        <v>1782</v>
      </c>
      <c r="H9" s="515">
        <f>1/15/12</f>
        <v>0.005555555555555556</v>
      </c>
      <c r="I9" s="501"/>
      <c r="J9" s="467"/>
      <c r="K9" s="466" t="s">
        <v>1782</v>
      </c>
      <c r="L9" s="500"/>
      <c r="M9" s="501"/>
      <c r="N9" s="467"/>
      <c r="O9" s="466" t="s">
        <v>1782</v>
      </c>
      <c r="P9" s="500"/>
      <c r="Q9" s="501"/>
      <c r="R9" s="468"/>
    </row>
    <row r="10" spans="1:18" ht="14.25">
      <c r="A10" s="482">
        <f t="shared" si="0"/>
        <v>4</v>
      </c>
      <c r="B10" s="465"/>
      <c r="C10" s="465"/>
      <c r="D10" s="465"/>
      <c r="E10" s="465"/>
      <c r="F10" s="465"/>
      <c r="G10" s="466" t="s">
        <v>627</v>
      </c>
      <c r="H10" s="500"/>
      <c r="I10" s="501"/>
      <c r="J10" s="467"/>
      <c r="K10" s="466" t="s">
        <v>627</v>
      </c>
      <c r="L10" s="500"/>
      <c r="M10" s="501"/>
      <c r="N10" s="467"/>
      <c r="O10" s="466" t="s">
        <v>627</v>
      </c>
      <c r="P10" s="500"/>
      <c r="Q10" s="501"/>
      <c r="R10" s="468"/>
    </row>
    <row r="11" spans="1:18" ht="14.25">
      <c r="A11" s="482">
        <f t="shared" si="0"/>
        <v>5</v>
      </c>
      <c r="B11" s="465"/>
      <c r="C11" s="465"/>
      <c r="D11" s="465"/>
      <c r="E11" s="465"/>
      <c r="F11" s="465"/>
      <c r="G11" s="466" t="s">
        <v>629</v>
      </c>
      <c r="H11" s="502">
        <f>+H10*'Actual Gross Rev'!H236</f>
        <v>0</v>
      </c>
      <c r="I11" s="501"/>
      <c r="J11" s="467"/>
      <c r="K11" s="466" t="s">
        <v>629</v>
      </c>
      <c r="L11" s="502">
        <f>+L10*'Actual Gross Rev'!$L$236</f>
        <v>0</v>
      </c>
      <c r="M11" s="501"/>
      <c r="N11" s="467"/>
      <c r="O11" s="466" t="s">
        <v>629</v>
      </c>
      <c r="P11" s="502">
        <f>+P10*'Actual Gross Rev'!$L$236</f>
        <v>0</v>
      </c>
      <c r="Q11" s="501"/>
      <c r="R11" s="468"/>
    </row>
    <row r="12" spans="1:18" ht="14.25">
      <c r="A12" s="482">
        <f t="shared" si="0"/>
        <v>6</v>
      </c>
      <c r="B12" s="465"/>
      <c r="C12" s="465"/>
      <c r="D12" s="465"/>
      <c r="E12" s="465"/>
      <c r="F12" s="465"/>
      <c r="G12" s="466" t="s">
        <v>630</v>
      </c>
      <c r="H12" s="661">
        <v>0</v>
      </c>
      <c r="I12" s="470"/>
      <c r="J12" s="467"/>
      <c r="K12" s="466" t="s">
        <v>630</v>
      </c>
      <c r="L12" s="503"/>
      <c r="M12" s="470"/>
      <c r="N12" s="467"/>
      <c r="O12" s="466" t="s">
        <v>630</v>
      </c>
      <c r="P12" s="503"/>
      <c r="Q12" s="470"/>
      <c r="R12" s="468"/>
    </row>
    <row r="13" spans="1:18" ht="15">
      <c r="A13" s="482">
        <f t="shared" si="0"/>
        <v>7</v>
      </c>
      <c r="B13" s="465"/>
      <c r="C13" s="1458" t="s">
        <v>1106</v>
      </c>
      <c r="D13" s="1458"/>
      <c r="E13" s="1458"/>
      <c r="F13" s="465"/>
      <c r="G13" s="466" t="s">
        <v>631</v>
      </c>
      <c r="H13" s="504">
        <f>ROUND(G19*H9/12,0)</f>
        <v>0</v>
      </c>
      <c r="I13" s="505"/>
      <c r="J13" s="467"/>
      <c r="K13" s="466" t="s">
        <v>631</v>
      </c>
      <c r="L13" s="504"/>
      <c r="M13" s="505"/>
      <c r="N13" s="467"/>
      <c r="O13" s="466" t="s">
        <v>631</v>
      </c>
      <c r="P13" s="504"/>
      <c r="Q13" s="505"/>
      <c r="R13" s="468"/>
    </row>
    <row r="14" spans="1:18" ht="14.25">
      <c r="A14" s="482">
        <f t="shared" si="0"/>
        <v>8</v>
      </c>
      <c r="B14" s="465"/>
      <c r="C14" s="465"/>
      <c r="D14" s="465"/>
      <c r="E14" s="465"/>
      <c r="F14" s="465"/>
      <c r="G14" s="466" t="s">
        <v>632</v>
      </c>
      <c r="H14" s="506"/>
      <c r="I14" s="507"/>
      <c r="J14" s="467"/>
      <c r="K14" s="466" t="s">
        <v>632</v>
      </c>
      <c r="L14" s="506"/>
      <c r="M14" s="507"/>
      <c r="N14" s="467"/>
      <c r="O14" s="466" t="s">
        <v>632</v>
      </c>
      <c r="P14" s="506"/>
      <c r="Q14" s="507"/>
      <c r="R14" s="468"/>
    </row>
    <row r="15" spans="7:18" ht="12.75">
      <c r="G15" s="393"/>
      <c r="H15" s="394"/>
      <c r="I15" s="394"/>
      <c r="J15" s="394"/>
      <c r="K15" s="393"/>
      <c r="L15" s="394"/>
      <c r="M15" s="394"/>
      <c r="N15" s="394"/>
      <c r="O15" s="393"/>
      <c r="P15" s="394"/>
      <c r="Q15" s="394"/>
      <c r="R15" s="421"/>
    </row>
    <row r="16" spans="2:18" ht="15">
      <c r="B16" s="443" t="s">
        <v>845</v>
      </c>
      <c r="C16" s="443" t="s">
        <v>88</v>
      </c>
      <c r="D16" s="443" t="s">
        <v>1490</v>
      </c>
      <c r="E16" s="443" t="s">
        <v>87</v>
      </c>
      <c r="F16" s="444" t="s">
        <v>845</v>
      </c>
      <c r="G16" s="508" t="s">
        <v>88</v>
      </c>
      <c r="H16" s="492" t="s">
        <v>1490</v>
      </c>
      <c r="I16" s="492" t="s">
        <v>87</v>
      </c>
      <c r="J16" s="492" t="s">
        <v>1491</v>
      </c>
      <c r="K16" s="508" t="s">
        <v>88</v>
      </c>
      <c r="L16" s="492" t="s">
        <v>1490</v>
      </c>
      <c r="M16" s="492" t="s">
        <v>87</v>
      </c>
      <c r="N16" s="492" t="s">
        <v>1491</v>
      </c>
      <c r="O16" s="508" t="s">
        <v>88</v>
      </c>
      <c r="P16" s="492" t="s">
        <v>1490</v>
      </c>
      <c r="Q16" s="492" t="s">
        <v>87</v>
      </c>
      <c r="R16" s="509" t="s">
        <v>1491</v>
      </c>
    </row>
    <row r="17" spans="7:18" ht="14.25">
      <c r="G17" s="510">
        <v>0</v>
      </c>
      <c r="H17" s="404"/>
      <c r="I17" s="404"/>
      <c r="J17" s="404"/>
      <c r="K17" s="510">
        <v>0</v>
      </c>
      <c r="L17" s="404"/>
      <c r="M17" s="404"/>
      <c r="N17" s="404"/>
      <c r="O17" s="510">
        <v>0</v>
      </c>
      <c r="P17" s="404"/>
      <c r="Q17" s="404"/>
      <c r="R17" s="455"/>
    </row>
    <row r="18" spans="1:18" ht="14.25">
      <c r="A18" s="482">
        <f>+A14+1</f>
        <v>9</v>
      </c>
      <c r="B18" s="461"/>
      <c r="C18" s="462">
        <f aca="true" t="shared" si="1" ref="C18:C41">+G18+K18+O18</f>
        <v>0</v>
      </c>
      <c r="D18" s="462">
        <f aca="true" t="shared" si="2" ref="D18:D41">+H18+L18+P18</f>
        <v>0</v>
      </c>
      <c r="E18" s="462">
        <f aca="true" t="shared" si="3" ref="E18:E41">+I18+M18+Q18</f>
        <v>0</v>
      </c>
      <c r="F18" s="474">
        <f aca="true" t="shared" si="4" ref="F18:F41">+B18</f>
        <v>0</v>
      </c>
      <c r="G18" s="510">
        <v>0</v>
      </c>
      <c r="H18" s="511">
        <f>ROUND(G17*H$9,6)</f>
        <v>0</v>
      </c>
      <c r="I18" s="470">
        <f>H13+H18</f>
        <v>0</v>
      </c>
      <c r="J18" s="475">
        <f>+G18-I18</f>
        <v>0</v>
      </c>
      <c r="K18" s="510">
        <v>0</v>
      </c>
      <c r="L18" s="511">
        <f>ROUND(K17*L$9,6)</f>
        <v>0</v>
      </c>
      <c r="M18" s="470">
        <f>L13+L18</f>
        <v>0</v>
      </c>
      <c r="N18" s="475">
        <f>+K18-M18</f>
        <v>0</v>
      </c>
      <c r="O18" s="510">
        <v>0</v>
      </c>
      <c r="P18" s="511">
        <f>ROUND(O17*P$9,6)</f>
        <v>0</v>
      </c>
      <c r="Q18" s="470">
        <f>P13+P18</f>
        <v>0</v>
      </c>
      <c r="R18" s="478">
        <f>+O18-Q18</f>
        <v>0</v>
      </c>
    </row>
    <row r="19" spans="1:18" ht="14.25">
      <c r="A19" s="482">
        <f aca="true" t="shared" si="5" ref="A19:A41">+A18+1</f>
        <v>10</v>
      </c>
      <c r="B19" s="461"/>
      <c r="C19" s="462">
        <f t="shared" si="1"/>
        <v>0</v>
      </c>
      <c r="D19" s="462">
        <f t="shared" si="2"/>
        <v>0</v>
      </c>
      <c r="E19" s="462">
        <f t="shared" si="3"/>
        <v>0</v>
      </c>
      <c r="F19" s="474">
        <f t="shared" si="4"/>
        <v>0</v>
      </c>
      <c r="G19" s="510">
        <v>0</v>
      </c>
      <c r="H19" s="511">
        <f aca="true" t="shared" si="6" ref="H19:H41">ROUND(G18*H$9,6)</f>
        <v>0</v>
      </c>
      <c r="I19" s="475">
        <f>I18+H19</f>
        <v>0</v>
      </c>
      <c r="J19" s="475">
        <f>+G19-I19</f>
        <v>0</v>
      </c>
      <c r="K19" s="510">
        <v>0</v>
      </c>
      <c r="L19" s="511">
        <f aca="true" t="shared" si="7" ref="L19:L41">ROUND(K18*L$9,6)</f>
        <v>0</v>
      </c>
      <c r="M19" s="475">
        <f>M18+L19</f>
        <v>0</v>
      </c>
      <c r="N19" s="475">
        <f>+K19-M19</f>
        <v>0</v>
      </c>
      <c r="O19" s="510">
        <v>0</v>
      </c>
      <c r="P19" s="511">
        <f aca="true" t="shared" si="8" ref="P19:P41">ROUND(O18*P$9,6)</f>
        <v>0</v>
      </c>
      <c r="Q19" s="475">
        <f>Q18+P19</f>
        <v>0</v>
      </c>
      <c r="R19" s="478">
        <f>+O19-Q19</f>
        <v>0</v>
      </c>
    </row>
    <row r="20" spans="1:18" ht="14.25">
      <c r="A20" s="482">
        <f t="shared" si="5"/>
        <v>11</v>
      </c>
      <c r="B20" s="461"/>
      <c r="C20" s="462">
        <f t="shared" si="1"/>
        <v>0</v>
      </c>
      <c r="D20" s="462">
        <f t="shared" si="2"/>
        <v>0</v>
      </c>
      <c r="E20" s="462">
        <f t="shared" si="3"/>
        <v>0</v>
      </c>
      <c r="F20" s="474">
        <f t="shared" si="4"/>
        <v>0</v>
      </c>
      <c r="G20" s="510">
        <v>0</v>
      </c>
      <c r="H20" s="511">
        <f t="shared" si="6"/>
        <v>0</v>
      </c>
      <c r="I20" s="475">
        <f>I19+H20</f>
        <v>0</v>
      </c>
      <c r="J20" s="475">
        <f aca="true" t="shared" si="9" ref="J20:J41">+G20-I20</f>
        <v>0</v>
      </c>
      <c r="K20" s="510">
        <f aca="true" t="shared" si="10" ref="K20:K28">+K19</f>
        <v>0</v>
      </c>
      <c r="L20" s="511">
        <f t="shared" si="7"/>
        <v>0</v>
      </c>
      <c r="M20" s="475">
        <f>M19+L20</f>
        <v>0</v>
      </c>
      <c r="N20" s="475">
        <f aca="true" t="shared" si="11" ref="N20:N41">+K20-M20</f>
        <v>0</v>
      </c>
      <c r="O20" s="510">
        <f aca="true" t="shared" si="12" ref="O20:O28">+O19</f>
        <v>0</v>
      </c>
      <c r="P20" s="511">
        <f t="shared" si="8"/>
        <v>0</v>
      </c>
      <c r="Q20" s="475">
        <f>Q19+P20</f>
        <v>0</v>
      </c>
      <c r="R20" s="478">
        <f aca="true" t="shared" si="13" ref="R20:R41">+O20-Q20</f>
        <v>0</v>
      </c>
    </row>
    <row r="21" spans="1:18" ht="14.25">
      <c r="A21" s="482">
        <f t="shared" si="5"/>
        <v>12</v>
      </c>
      <c r="B21" s="461"/>
      <c r="C21" s="462">
        <f t="shared" si="1"/>
        <v>0</v>
      </c>
      <c r="D21" s="462">
        <f t="shared" si="2"/>
        <v>0</v>
      </c>
      <c r="E21" s="462">
        <f t="shared" si="3"/>
        <v>0</v>
      </c>
      <c r="F21" s="474">
        <f t="shared" si="4"/>
        <v>0</v>
      </c>
      <c r="G21" s="510">
        <v>0</v>
      </c>
      <c r="H21" s="511">
        <f t="shared" si="6"/>
        <v>0</v>
      </c>
      <c r="I21" s="475">
        <f aca="true" t="shared" si="14" ref="I21:I41">I20+H21</f>
        <v>0</v>
      </c>
      <c r="J21" s="475">
        <f t="shared" si="9"/>
        <v>0</v>
      </c>
      <c r="K21" s="510">
        <f t="shared" si="10"/>
        <v>0</v>
      </c>
      <c r="L21" s="511">
        <f t="shared" si="7"/>
        <v>0</v>
      </c>
      <c r="M21" s="475">
        <f aca="true" t="shared" si="15" ref="M21:M41">M20+L21</f>
        <v>0</v>
      </c>
      <c r="N21" s="475">
        <f t="shared" si="11"/>
        <v>0</v>
      </c>
      <c r="O21" s="510">
        <f t="shared" si="12"/>
        <v>0</v>
      </c>
      <c r="P21" s="511">
        <f t="shared" si="8"/>
        <v>0</v>
      </c>
      <c r="Q21" s="475">
        <f aca="true" t="shared" si="16" ref="Q21:Q41">Q20+P21</f>
        <v>0</v>
      </c>
      <c r="R21" s="478">
        <f t="shared" si="13"/>
        <v>0</v>
      </c>
    </row>
    <row r="22" spans="1:18" ht="14.25">
      <c r="A22" s="482">
        <f t="shared" si="5"/>
        <v>13</v>
      </c>
      <c r="B22" s="461"/>
      <c r="C22" s="462">
        <f t="shared" si="1"/>
        <v>0</v>
      </c>
      <c r="D22" s="462">
        <f t="shared" si="2"/>
        <v>0</v>
      </c>
      <c r="E22" s="462">
        <f t="shared" si="3"/>
        <v>0</v>
      </c>
      <c r="F22" s="474">
        <f t="shared" si="4"/>
        <v>0</v>
      </c>
      <c r="G22" s="510">
        <v>0</v>
      </c>
      <c r="H22" s="511">
        <f t="shared" si="6"/>
        <v>0</v>
      </c>
      <c r="I22" s="475">
        <f t="shared" si="14"/>
        <v>0</v>
      </c>
      <c r="J22" s="475">
        <f t="shared" si="9"/>
        <v>0</v>
      </c>
      <c r="K22" s="510">
        <f t="shared" si="10"/>
        <v>0</v>
      </c>
      <c r="L22" s="511">
        <f t="shared" si="7"/>
        <v>0</v>
      </c>
      <c r="M22" s="475">
        <f t="shared" si="15"/>
        <v>0</v>
      </c>
      <c r="N22" s="475">
        <f t="shared" si="11"/>
        <v>0</v>
      </c>
      <c r="O22" s="510">
        <f t="shared" si="12"/>
        <v>0</v>
      </c>
      <c r="P22" s="511">
        <f t="shared" si="8"/>
        <v>0</v>
      </c>
      <c r="Q22" s="475">
        <f t="shared" si="16"/>
        <v>0</v>
      </c>
      <c r="R22" s="478">
        <f t="shared" si="13"/>
        <v>0</v>
      </c>
    </row>
    <row r="23" spans="1:18" ht="14.25">
      <c r="A23" s="482">
        <f t="shared" si="5"/>
        <v>14</v>
      </c>
      <c r="B23" s="461"/>
      <c r="C23" s="462">
        <f t="shared" si="1"/>
        <v>0</v>
      </c>
      <c r="D23" s="462">
        <f t="shared" si="2"/>
        <v>0</v>
      </c>
      <c r="E23" s="462">
        <f t="shared" si="3"/>
        <v>0</v>
      </c>
      <c r="F23" s="474">
        <f t="shared" si="4"/>
        <v>0</v>
      </c>
      <c r="G23" s="510">
        <v>0</v>
      </c>
      <c r="H23" s="511">
        <f t="shared" si="6"/>
        <v>0</v>
      </c>
      <c r="I23" s="475">
        <f t="shared" si="14"/>
        <v>0</v>
      </c>
      <c r="J23" s="475">
        <f t="shared" si="9"/>
        <v>0</v>
      </c>
      <c r="K23" s="510">
        <f t="shared" si="10"/>
        <v>0</v>
      </c>
      <c r="L23" s="511">
        <f t="shared" si="7"/>
        <v>0</v>
      </c>
      <c r="M23" s="475">
        <f t="shared" si="15"/>
        <v>0</v>
      </c>
      <c r="N23" s="475">
        <f t="shared" si="11"/>
        <v>0</v>
      </c>
      <c r="O23" s="510">
        <f t="shared" si="12"/>
        <v>0</v>
      </c>
      <c r="P23" s="511">
        <f t="shared" si="8"/>
        <v>0</v>
      </c>
      <c r="Q23" s="475">
        <f t="shared" si="16"/>
        <v>0</v>
      </c>
      <c r="R23" s="478">
        <f t="shared" si="13"/>
        <v>0</v>
      </c>
    </row>
    <row r="24" spans="1:18" ht="14.25">
      <c r="A24" s="482">
        <f t="shared" si="5"/>
        <v>15</v>
      </c>
      <c r="B24" s="461"/>
      <c r="C24" s="462">
        <f t="shared" si="1"/>
        <v>0</v>
      </c>
      <c r="D24" s="462">
        <f t="shared" si="2"/>
        <v>0</v>
      </c>
      <c r="E24" s="462">
        <f t="shared" si="3"/>
        <v>0</v>
      </c>
      <c r="F24" s="474">
        <f t="shared" si="4"/>
        <v>0</v>
      </c>
      <c r="G24" s="510">
        <v>0</v>
      </c>
      <c r="H24" s="511">
        <f t="shared" si="6"/>
        <v>0</v>
      </c>
      <c r="I24" s="475">
        <f t="shared" si="14"/>
        <v>0</v>
      </c>
      <c r="J24" s="475">
        <f t="shared" si="9"/>
        <v>0</v>
      </c>
      <c r="K24" s="510">
        <f t="shared" si="10"/>
        <v>0</v>
      </c>
      <c r="L24" s="511">
        <f t="shared" si="7"/>
        <v>0</v>
      </c>
      <c r="M24" s="475">
        <f t="shared" si="15"/>
        <v>0</v>
      </c>
      <c r="N24" s="475">
        <f t="shared" si="11"/>
        <v>0</v>
      </c>
      <c r="O24" s="510">
        <f t="shared" si="12"/>
        <v>0</v>
      </c>
      <c r="P24" s="511">
        <f t="shared" si="8"/>
        <v>0</v>
      </c>
      <c r="Q24" s="475">
        <f t="shared" si="16"/>
        <v>0</v>
      </c>
      <c r="R24" s="478">
        <f t="shared" si="13"/>
        <v>0</v>
      </c>
    </row>
    <row r="25" spans="1:18" ht="14.25">
      <c r="A25" s="482">
        <f t="shared" si="5"/>
        <v>16</v>
      </c>
      <c r="B25" s="461"/>
      <c r="C25" s="462">
        <f t="shared" si="1"/>
        <v>0</v>
      </c>
      <c r="D25" s="462">
        <f t="shared" si="2"/>
        <v>0</v>
      </c>
      <c r="E25" s="462">
        <f t="shared" si="3"/>
        <v>0</v>
      </c>
      <c r="F25" s="474">
        <f t="shared" si="4"/>
        <v>0</v>
      </c>
      <c r="G25" s="510">
        <v>0</v>
      </c>
      <c r="H25" s="511">
        <f t="shared" si="6"/>
        <v>0</v>
      </c>
      <c r="I25" s="475">
        <f t="shared" si="14"/>
        <v>0</v>
      </c>
      <c r="J25" s="475">
        <f t="shared" si="9"/>
        <v>0</v>
      </c>
      <c r="K25" s="510">
        <f t="shared" si="10"/>
        <v>0</v>
      </c>
      <c r="L25" s="511">
        <f t="shared" si="7"/>
        <v>0</v>
      </c>
      <c r="M25" s="475">
        <f t="shared" si="15"/>
        <v>0</v>
      </c>
      <c r="N25" s="475">
        <f t="shared" si="11"/>
        <v>0</v>
      </c>
      <c r="O25" s="510">
        <f t="shared" si="12"/>
        <v>0</v>
      </c>
      <c r="P25" s="511">
        <f t="shared" si="8"/>
        <v>0</v>
      </c>
      <c r="Q25" s="475">
        <f t="shared" si="16"/>
        <v>0</v>
      </c>
      <c r="R25" s="478">
        <f t="shared" si="13"/>
        <v>0</v>
      </c>
    </row>
    <row r="26" spans="1:18" ht="14.25">
      <c r="A26" s="482">
        <f t="shared" si="5"/>
        <v>17</v>
      </c>
      <c r="B26" s="461"/>
      <c r="C26" s="462">
        <f t="shared" si="1"/>
        <v>0</v>
      </c>
      <c r="D26" s="462">
        <f t="shared" si="2"/>
        <v>0</v>
      </c>
      <c r="E26" s="462">
        <f t="shared" si="3"/>
        <v>0</v>
      </c>
      <c r="F26" s="474">
        <f t="shared" si="4"/>
        <v>0</v>
      </c>
      <c r="G26" s="510">
        <v>0</v>
      </c>
      <c r="H26" s="511">
        <f t="shared" si="6"/>
        <v>0</v>
      </c>
      <c r="I26" s="475">
        <f t="shared" si="14"/>
        <v>0</v>
      </c>
      <c r="J26" s="475">
        <f t="shared" si="9"/>
        <v>0</v>
      </c>
      <c r="K26" s="510">
        <f t="shared" si="10"/>
        <v>0</v>
      </c>
      <c r="L26" s="511">
        <f t="shared" si="7"/>
        <v>0</v>
      </c>
      <c r="M26" s="475">
        <f t="shared" si="15"/>
        <v>0</v>
      </c>
      <c r="N26" s="475">
        <f t="shared" si="11"/>
        <v>0</v>
      </c>
      <c r="O26" s="510">
        <f t="shared" si="12"/>
        <v>0</v>
      </c>
      <c r="P26" s="511">
        <f t="shared" si="8"/>
        <v>0</v>
      </c>
      <c r="Q26" s="475">
        <f t="shared" si="16"/>
        <v>0</v>
      </c>
      <c r="R26" s="478">
        <f t="shared" si="13"/>
        <v>0</v>
      </c>
    </row>
    <row r="27" spans="1:18" ht="14.25">
      <c r="A27" s="482">
        <f t="shared" si="5"/>
        <v>18</v>
      </c>
      <c r="B27" s="461"/>
      <c r="C27" s="462">
        <f t="shared" si="1"/>
        <v>0</v>
      </c>
      <c r="D27" s="462">
        <f t="shared" si="2"/>
        <v>0</v>
      </c>
      <c r="E27" s="462">
        <f t="shared" si="3"/>
        <v>0</v>
      </c>
      <c r="F27" s="474">
        <f t="shared" si="4"/>
        <v>0</v>
      </c>
      <c r="G27" s="510">
        <v>0</v>
      </c>
      <c r="H27" s="511">
        <f t="shared" si="6"/>
        <v>0</v>
      </c>
      <c r="I27" s="475">
        <f t="shared" si="14"/>
        <v>0</v>
      </c>
      <c r="J27" s="475">
        <f t="shared" si="9"/>
        <v>0</v>
      </c>
      <c r="K27" s="510">
        <f t="shared" si="10"/>
        <v>0</v>
      </c>
      <c r="L27" s="511">
        <f t="shared" si="7"/>
        <v>0</v>
      </c>
      <c r="M27" s="475">
        <f t="shared" si="15"/>
        <v>0</v>
      </c>
      <c r="N27" s="475">
        <f t="shared" si="11"/>
        <v>0</v>
      </c>
      <c r="O27" s="510">
        <f t="shared" si="12"/>
        <v>0</v>
      </c>
      <c r="P27" s="511">
        <f t="shared" si="8"/>
        <v>0</v>
      </c>
      <c r="Q27" s="475">
        <f t="shared" si="16"/>
        <v>0</v>
      </c>
      <c r="R27" s="478">
        <f t="shared" si="13"/>
        <v>0</v>
      </c>
    </row>
    <row r="28" spans="1:18" ht="14.25">
      <c r="A28" s="482">
        <f t="shared" si="5"/>
        <v>19</v>
      </c>
      <c r="B28" s="461"/>
      <c r="C28" s="462">
        <f t="shared" si="1"/>
        <v>0</v>
      </c>
      <c r="D28" s="462">
        <f t="shared" si="2"/>
        <v>0</v>
      </c>
      <c r="E28" s="462">
        <f t="shared" si="3"/>
        <v>0</v>
      </c>
      <c r="F28" s="474">
        <f t="shared" si="4"/>
        <v>0</v>
      </c>
      <c r="G28" s="510">
        <v>0</v>
      </c>
      <c r="H28" s="511">
        <f t="shared" si="6"/>
        <v>0</v>
      </c>
      <c r="I28" s="475">
        <f t="shared" si="14"/>
        <v>0</v>
      </c>
      <c r="J28" s="475">
        <f t="shared" si="9"/>
        <v>0</v>
      </c>
      <c r="K28" s="510">
        <f t="shared" si="10"/>
        <v>0</v>
      </c>
      <c r="L28" s="511">
        <f t="shared" si="7"/>
        <v>0</v>
      </c>
      <c r="M28" s="475">
        <f t="shared" si="15"/>
        <v>0</v>
      </c>
      <c r="N28" s="475">
        <f t="shared" si="11"/>
        <v>0</v>
      </c>
      <c r="O28" s="510">
        <f t="shared" si="12"/>
        <v>0</v>
      </c>
      <c r="P28" s="511">
        <f t="shared" si="8"/>
        <v>0</v>
      </c>
      <c r="Q28" s="475">
        <f t="shared" si="16"/>
        <v>0</v>
      </c>
      <c r="R28" s="478">
        <f t="shared" si="13"/>
        <v>0</v>
      </c>
    </row>
    <row r="29" spans="1:18" ht="14.25">
      <c r="A29" s="482">
        <f t="shared" si="5"/>
        <v>20</v>
      </c>
      <c r="B29" s="461"/>
      <c r="C29" s="462">
        <f t="shared" si="1"/>
        <v>0</v>
      </c>
      <c r="D29" s="462">
        <f t="shared" si="2"/>
        <v>0</v>
      </c>
      <c r="E29" s="462">
        <f t="shared" si="3"/>
        <v>0</v>
      </c>
      <c r="F29" s="474">
        <f t="shared" si="4"/>
        <v>0</v>
      </c>
      <c r="G29" s="510">
        <v>0</v>
      </c>
      <c r="H29" s="511">
        <f t="shared" si="6"/>
        <v>0</v>
      </c>
      <c r="I29" s="475">
        <f t="shared" si="14"/>
        <v>0</v>
      </c>
      <c r="J29" s="475">
        <f t="shared" si="9"/>
        <v>0</v>
      </c>
      <c r="K29" s="510">
        <f>L12</f>
        <v>0</v>
      </c>
      <c r="L29" s="511">
        <f t="shared" si="7"/>
        <v>0</v>
      </c>
      <c r="M29" s="475">
        <f t="shared" si="15"/>
        <v>0</v>
      </c>
      <c r="N29" s="475">
        <f t="shared" si="11"/>
        <v>0</v>
      </c>
      <c r="O29" s="510">
        <f>P12</f>
        <v>0</v>
      </c>
      <c r="P29" s="511">
        <f t="shared" si="8"/>
        <v>0</v>
      </c>
      <c r="Q29" s="475">
        <f t="shared" si="16"/>
        <v>0</v>
      </c>
      <c r="R29" s="478">
        <f t="shared" si="13"/>
        <v>0</v>
      </c>
    </row>
    <row r="30" spans="1:18" ht="14.25">
      <c r="A30" s="482">
        <f t="shared" si="5"/>
        <v>21</v>
      </c>
      <c r="B30" s="461"/>
      <c r="C30" s="462">
        <f t="shared" si="1"/>
        <v>0</v>
      </c>
      <c r="D30" s="462">
        <f t="shared" si="2"/>
        <v>0</v>
      </c>
      <c r="E30" s="462">
        <f t="shared" si="3"/>
        <v>0</v>
      </c>
      <c r="F30" s="474">
        <f t="shared" si="4"/>
        <v>0</v>
      </c>
      <c r="G30" s="510">
        <f>G29</f>
        <v>0</v>
      </c>
      <c r="H30" s="511">
        <f t="shared" si="6"/>
        <v>0</v>
      </c>
      <c r="I30" s="475">
        <f t="shared" si="14"/>
        <v>0</v>
      </c>
      <c r="J30" s="475">
        <f t="shared" si="9"/>
        <v>0</v>
      </c>
      <c r="K30" s="510">
        <f aca="true" t="shared" si="17" ref="K30:K41">+K29</f>
        <v>0</v>
      </c>
      <c r="L30" s="511">
        <f t="shared" si="7"/>
        <v>0</v>
      </c>
      <c r="M30" s="475">
        <f t="shared" si="15"/>
        <v>0</v>
      </c>
      <c r="N30" s="475">
        <f t="shared" si="11"/>
        <v>0</v>
      </c>
      <c r="O30" s="510">
        <f aca="true" t="shared" si="18" ref="O30:O41">+O29</f>
        <v>0</v>
      </c>
      <c r="P30" s="511">
        <f t="shared" si="8"/>
        <v>0</v>
      </c>
      <c r="Q30" s="475">
        <f t="shared" si="16"/>
        <v>0</v>
      </c>
      <c r="R30" s="478">
        <f t="shared" si="13"/>
        <v>0</v>
      </c>
    </row>
    <row r="31" spans="1:18" ht="14.25">
      <c r="A31" s="482">
        <f t="shared" si="5"/>
        <v>22</v>
      </c>
      <c r="B31" s="461"/>
      <c r="C31" s="462">
        <f t="shared" si="1"/>
        <v>0</v>
      </c>
      <c r="D31" s="462">
        <f t="shared" si="2"/>
        <v>0</v>
      </c>
      <c r="E31" s="462">
        <f t="shared" si="3"/>
        <v>0</v>
      </c>
      <c r="F31" s="474">
        <f t="shared" si="4"/>
        <v>0</v>
      </c>
      <c r="G31" s="510">
        <f aca="true" t="shared" si="19" ref="G31:G40">G30</f>
        <v>0</v>
      </c>
      <c r="H31" s="511">
        <f t="shared" si="6"/>
        <v>0</v>
      </c>
      <c r="I31" s="475">
        <f t="shared" si="14"/>
        <v>0</v>
      </c>
      <c r="J31" s="475">
        <f t="shared" si="9"/>
        <v>0</v>
      </c>
      <c r="K31" s="510">
        <f t="shared" si="17"/>
        <v>0</v>
      </c>
      <c r="L31" s="511">
        <f t="shared" si="7"/>
        <v>0</v>
      </c>
      <c r="M31" s="475">
        <f t="shared" si="15"/>
        <v>0</v>
      </c>
      <c r="N31" s="475">
        <f t="shared" si="11"/>
        <v>0</v>
      </c>
      <c r="O31" s="510">
        <f t="shared" si="18"/>
        <v>0</v>
      </c>
      <c r="P31" s="511">
        <f t="shared" si="8"/>
        <v>0</v>
      </c>
      <c r="Q31" s="475">
        <f t="shared" si="16"/>
        <v>0</v>
      </c>
      <c r="R31" s="478">
        <f t="shared" si="13"/>
        <v>0</v>
      </c>
    </row>
    <row r="32" spans="1:18" ht="14.25">
      <c r="A32" s="482">
        <f t="shared" si="5"/>
        <v>23</v>
      </c>
      <c r="B32" s="461"/>
      <c r="C32" s="462">
        <f t="shared" si="1"/>
        <v>0</v>
      </c>
      <c r="D32" s="462">
        <f t="shared" si="2"/>
        <v>0</v>
      </c>
      <c r="E32" s="462">
        <f t="shared" si="3"/>
        <v>0</v>
      </c>
      <c r="F32" s="474">
        <f t="shared" si="4"/>
        <v>0</v>
      </c>
      <c r="G32" s="510">
        <f t="shared" si="19"/>
        <v>0</v>
      </c>
      <c r="H32" s="511">
        <f t="shared" si="6"/>
        <v>0</v>
      </c>
      <c r="I32" s="475">
        <f t="shared" si="14"/>
        <v>0</v>
      </c>
      <c r="J32" s="475">
        <f t="shared" si="9"/>
        <v>0</v>
      </c>
      <c r="K32" s="510">
        <f t="shared" si="17"/>
        <v>0</v>
      </c>
      <c r="L32" s="511">
        <f t="shared" si="7"/>
        <v>0</v>
      </c>
      <c r="M32" s="475">
        <f t="shared" si="15"/>
        <v>0</v>
      </c>
      <c r="N32" s="475">
        <f t="shared" si="11"/>
        <v>0</v>
      </c>
      <c r="O32" s="510">
        <f t="shared" si="18"/>
        <v>0</v>
      </c>
      <c r="P32" s="511">
        <f t="shared" si="8"/>
        <v>0</v>
      </c>
      <c r="Q32" s="475">
        <f t="shared" si="16"/>
        <v>0</v>
      </c>
      <c r="R32" s="478">
        <f t="shared" si="13"/>
        <v>0</v>
      </c>
    </row>
    <row r="33" spans="1:18" ht="14.25">
      <c r="A33" s="482">
        <f t="shared" si="5"/>
        <v>24</v>
      </c>
      <c r="B33" s="461"/>
      <c r="C33" s="462">
        <f t="shared" si="1"/>
        <v>0</v>
      </c>
      <c r="D33" s="462">
        <f t="shared" si="2"/>
        <v>0</v>
      </c>
      <c r="E33" s="462">
        <f t="shared" si="3"/>
        <v>0</v>
      </c>
      <c r="F33" s="474">
        <f t="shared" si="4"/>
        <v>0</v>
      </c>
      <c r="G33" s="510">
        <f t="shared" si="19"/>
        <v>0</v>
      </c>
      <c r="H33" s="511">
        <f t="shared" si="6"/>
        <v>0</v>
      </c>
      <c r="I33" s="475">
        <f t="shared" si="14"/>
        <v>0</v>
      </c>
      <c r="J33" s="475">
        <f t="shared" si="9"/>
        <v>0</v>
      </c>
      <c r="K33" s="510">
        <f t="shared" si="17"/>
        <v>0</v>
      </c>
      <c r="L33" s="511">
        <f t="shared" si="7"/>
        <v>0</v>
      </c>
      <c r="M33" s="475">
        <f t="shared" si="15"/>
        <v>0</v>
      </c>
      <c r="N33" s="475">
        <f t="shared" si="11"/>
        <v>0</v>
      </c>
      <c r="O33" s="510">
        <f t="shared" si="18"/>
        <v>0</v>
      </c>
      <c r="P33" s="511">
        <f t="shared" si="8"/>
        <v>0</v>
      </c>
      <c r="Q33" s="475">
        <f t="shared" si="16"/>
        <v>0</v>
      </c>
      <c r="R33" s="478">
        <f t="shared" si="13"/>
        <v>0</v>
      </c>
    </row>
    <row r="34" spans="1:18" ht="14.25">
      <c r="A34" s="482">
        <f t="shared" si="5"/>
        <v>25</v>
      </c>
      <c r="B34" s="461"/>
      <c r="C34" s="462">
        <f t="shared" si="1"/>
        <v>0</v>
      </c>
      <c r="D34" s="462">
        <f t="shared" si="2"/>
        <v>0</v>
      </c>
      <c r="E34" s="462">
        <f t="shared" si="3"/>
        <v>0</v>
      </c>
      <c r="F34" s="474">
        <f t="shared" si="4"/>
        <v>0</v>
      </c>
      <c r="G34" s="510">
        <f t="shared" si="19"/>
        <v>0</v>
      </c>
      <c r="H34" s="511">
        <f t="shared" si="6"/>
        <v>0</v>
      </c>
      <c r="I34" s="475">
        <f t="shared" si="14"/>
        <v>0</v>
      </c>
      <c r="J34" s="475">
        <f t="shared" si="9"/>
        <v>0</v>
      </c>
      <c r="K34" s="510">
        <f t="shared" si="17"/>
        <v>0</v>
      </c>
      <c r="L34" s="511">
        <f t="shared" si="7"/>
        <v>0</v>
      </c>
      <c r="M34" s="475">
        <f t="shared" si="15"/>
        <v>0</v>
      </c>
      <c r="N34" s="475">
        <f t="shared" si="11"/>
        <v>0</v>
      </c>
      <c r="O34" s="510">
        <f t="shared" si="18"/>
        <v>0</v>
      </c>
      <c r="P34" s="511">
        <f t="shared" si="8"/>
        <v>0</v>
      </c>
      <c r="Q34" s="475">
        <f t="shared" si="16"/>
        <v>0</v>
      </c>
      <c r="R34" s="478">
        <f t="shared" si="13"/>
        <v>0</v>
      </c>
    </row>
    <row r="35" spans="1:18" ht="14.25">
      <c r="A35" s="482">
        <f t="shared" si="5"/>
        <v>26</v>
      </c>
      <c r="B35" s="461"/>
      <c r="C35" s="462">
        <f t="shared" si="1"/>
        <v>0</v>
      </c>
      <c r="D35" s="462">
        <f t="shared" si="2"/>
        <v>0</v>
      </c>
      <c r="E35" s="462">
        <f t="shared" si="3"/>
        <v>0</v>
      </c>
      <c r="F35" s="474">
        <f t="shared" si="4"/>
        <v>0</v>
      </c>
      <c r="G35" s="510">
        <f t="shared" si="19"/>
        <v>0</v>
      </c>
      <c r="H35" s="511">
        <f t="shared" si="6"/>
        <v>0</v>
      </c>
      <c r="I35" s="475">
        <f t="shared" si="14"/>
        <v>0</v>
      </c>
      <c r="J35" s="475">
        <f t="shared" si="9"/>
        <v>0</v>
      </c>
      <c r="K35" s="510">
        <f t="shared" si="17"/>
        <v>0</v>
      </c>
      <c r="L35" s="511">
        <f t="shared" si="7"/>
        <v>0</v>
      </c>
      <c r="M35" s="475">
        <f t="shared" si="15"/>
        <v>0</v>
      </c>
      <c r="N35" s="475">
        <f t="shared" si="11"/>
        <v>0</v>
      </c>
      <c r="O35" s="510">
        <f t="shared" si="18"/>
        <v>0</v>
      </c>
      <c r="P35" s="511">
        <f t="shared" si="8"/>
        <v>0</v>
      </c>
      <c r="Q35" s="475">
        <f t="shared" si="16"/>
        <v>0</v>
      </c>
      <c r="R35" s="478">
        <f t="shared" si="13"/>
        <v>0</v>
      </c>
    </row>
    <row r="36" spans="1:18" ht="14.25">
      <c r="A36" s="482">
        <f t="shared" si="5"/>
        <v>27</v>
      </c>
      <c r="B36" s="461"/>
      <c r="C36" s="462">
        <f t="shared" si="1"/>
        <v>0</v>
      </c>
      <c r="D36" s="462">
        <f t="shared" si="2"/>
        <v>0</v>
      </c>
      <c r="E36" s="462">
        <f t="shared" si="3"/>
        <v>0</v>
      </c>
      <c r="F36" s="474">
        <f t="shared" si="4"/>
        <v>0</v>
      </c>
      <c r="G36" s="510">
        <f t="shared" si="19"/>
        <v>0</v>
      </c>
      <c r="H36" s="511">
        <f t="shared" si="6"/>
        <v>0</v>
      </c>
      <c r="I36" s="475">
        <f t="shared" si="14"/>
        <v>0</v>
      </c>
      <c r="J36" s="475">
        <f t="shared" si="9"/>
        <v>0</v>
      </c>
      <c r="K36" s="510">
        <f t="shared" si="17"/>
        <v>0</v>
      </c>
      <c r="L36" s="511">
        <f t="shared" si="7"/>
        <v>0</v>
      </c>
      <c r="M36" s="475">
        <f t="shared" si="15"/>
        <v>0</v>
      </c>
      <c r="N36" s="475">
        <f t="shared" si="11"/>
        <v>0</v>
      </c>
      <c r="O36" s="510">
        <f t="shared" si="18"/>
        <v>0</v>
      </c>
      <c r="P36" s="511">
        <f t="shared" si="8"/>
        <v>0</v>
      </c>
      <c r="Q36" s="475">
        <f t="shared" si="16"/>
        <v>0</v>
      </c>
      <c r="R36" s="478">
        <f t="shared" si="13"/>
        <v>0</v>
      </c>
    </row>
    <row r="37" spans="1:18" ht="14.25">
      <c r="A37" s="482">
        <f t="shared" si="5"/>
        <v>28</v>
      </c>
      <c r="B37" s="461"/>
      <c r="C37" s="462">
        <f t="shared" si="1"/>
        <v>0</v>
      </c>
      <c r="D37" s="462">
        <f t="shared" si="2"/>
        <v>0</v>
      </c>
      <c r="E37" s="462">
        <f t="shared" si="3"/>
        <v>0</v>
      </c>
      <c r="F37" s="474">
        <f t="shared" si="4"/>
        <v>0</v>
      </c>
      <c r="G37" s="510">
        <f t="shared" si="19"/>
        <v>0</v>
      </c>
      <c r="H37" s="511">
        <f t="shared" si="6"/>
        <v>0</v>
      </c>
      <c r="I37" s="475">
        <f t="shared" si="14"/>
        <v>0</v>
      </c>
      <c r="J37" s="475">
        <f t="shared" si="9"/>
        <v>0</v>
      </c>
      <c r="K37" s="510">
        <f t="shared" si="17"/>
        <v>0</v>
      </c>
      <c r="L37" s="511">
        <f t="shared" si="7"/>
        <v>0</v>
      </c>
      <c r="M37" s="475">
        <f t="shared" si="15"/>
        <v>0</v>
      </c>
      <c r="N37" s="475">
        <f t="shared" si="11"/>
        <v>0</v>
      </c>
      <c r="O37" s="510">
        <f t="shared" si="18"/>
        <v>0</v>
      </c>
      <c r="P37" s="511">
        <f t="shared" si="8"/>
        <v>0</v>
      </c>
      <c r="Q37" s="475">
        <f t="shared" si="16"/>
        <v>0</v>
      </c>
      <c r="R37" s="478">
        <f t="shared" si="13"/>
        <v>0</v>
      </c>
    </row>
    <row r="38" spans="1:18" ht="14.25">
      <c r="A38" s="482">
        <f t="shared" si="5"/>
        <v>29</v>
      </c>
      <c r="B38" s="461"/>
      <c r="C38" s="462">
        <f t="shared" si="1"/>
        <v>0</v>
      </c>
      <c r="D38" s="462">
        <f t="shared" si="2"/>
        <v>0</v>
      </c>
      <c r="E38" s="462">
        <f t="shared" si="3"/>
        <v>0</v>
      </c>
      <c r="F38" s="474">
        <f t="shared" si="4"/>
        <v>0</v>
      </c>
      <c r="G38" s="510">
        <f t="shared" si="19"/>
        <v>0</v>
      </c>
      <c r="H38" s="511">
        <f t="shared" si="6"/>
        <v>0</v>
      </c>
      <c r="I38" s="475">
        <f t="shared" si="14"/>
        <v>0</v>
      </c>
      <c r="J38" s="475">
        <f t="shared" si="9"/>
        <v>0</v>
      </c>
      <c r="K38" s="510">
        <f t="shared" si="17"/>
        <v>0</v>
      </c>
      <c r="L38" s="511">
        <f t="shared" si="7"/>
        <v>0</v>
      </c>
      <c r="M38" s="475">
        <f t="shared" si="15"/>
        <v>0</v>
      </c>
      <c r="N38" s="475">
        <f t="shared" si="11"/>
        <v>0</v>
      </c>
      <c r="O38" s="510">
        <f t="shared" si="18"/>
        <v>0</v>
      </c>
      <c r="P38" s="511">
        <f t="shared" si="8"/>
        <v>0</v>
      </c>
      <c r="Q38" s="475">
        <f t="shared" si="16"/>
        <v>0</v>
      </c>
      <c r="R38" s="478">
        <f t="shared" si="13"/>
        <v>0</v>
      </c>
    </row>
    <row r="39" spans="1:18" ht="14.25">
      <c r="A39" s="482">
        <f t="shared" si="5"/>
        <v>30</v>
      </c>
      <c r="B39" s="461"/>
      <c r="C39" s="462">
        <f t="shared" si="1"/>
        <v>0</v>
      </c>
      <c r="D39" s="462">
        <f t="shared" si="2"/>
        <v>0</v>
      </c>
      <c r="E39" s="462">
        <f t="shared" si="3"/>
        <v>0</v>
      </c>
      <c r="F39" s="474">
        <f t="shared" si="4"/>
        <v>0</v>
      </c>
      <c r="G39" s="510">
        <f t="shared" si="19"/>
        <v>0</v>
      </c>
      <c r="H39" s="511">
        <f t="shared" si="6"/>
        <v>0</v>
      </c>
      <c r="I39" s="475">
        <f t="shared" si="14"/>
        <v>0</v>
      </c>
      <c r="J39" s="475">
        <f t="shared" si="9"/>
        <v>0</v>
      </c>
      <c r="K39" s="510">
        <f t="shared" si="17"/>
        <v>0</v>
      </c>
      <c r="L39" s="511">
        <f t="shared" si="7"/>
        <v>0</v>
      </c>
      <c r="M39" s="475">
        <f t="shared" si="15"/>
        <v>0</v>
      </c>
      <c r="N39" s="475">
        <f t="shared" si="11"/>
        <v>0</v>
      </c>
      <c r="O39" s="510">
        <f t="shared" si="18"/>
        <v>0</v>
      </c>
      <c r="P39" s="511">
        <f t="shared" si="8"/>
        <v>0</v>
      </c>
      <c r="Q39" s="475">
        <f t="shared" si="16"/>
        <v>0</v>
      </c>
      <c r="R39" s="478">
        <f t="shared" si="13"/>
        <v>0</v>
      </c>
    </row>
    <row r="40" spans="1:18" ht="14.25">
      <c r="A40" s="482">
        <f t="shared" si="5"/>
        <v>31</v>
      </c>
      <c r="B40" s="461"/>
      <c r="C40" s="462">
        <f t="shared" si="1"/>
        <v>0</v>
      </c>
      <c r="D40" s="462">
        <f t="shared" si="2"/>
        <v>0</v>
      </c>
      <c r="E40" s="462">
        <f t="shared" si="3"/>
        <v>0</v>
      </c>
      <c r="F40" s="474">
        <f t="shared" si="4"/>
        <v>0</v>
      </c>
      <c r="G40" s="510">
        <f t="shared" si="19"/>
        <v>0</v>
      </c>
      <c r="H40" s="511">
        <f t="shared" si="6"/>
        <v>0</v>
      </c>
      <c r="I40" s="475">
        <f t="shared" si="14"/>
        <v>0</v>
      </c>
      <c r="J40" s="475">
        <f t="shared" si="9"/>
        <v>0</v>
      </c>
      <c r="K40" s="510">
        <f t="shared" si="17"/>
        <v>0</v>
      </c>
      <c r="L40" s="511">
        <f t="shared" si="7"/>
        <v>0</v>
      </c>
      <c r="M40" s="475">
        <f t="shared" si="15"/>
        <v>0</v>
      </c>
      <c r="N40" s="475">
        <f t="shared" si="11"/>
        <v>0</v>
      </c>
      <c r="O40" s="510">
        <f t="shared" si="18"/>
        <v>0</v>
      </c>
      <c r="P40" s="511">
        <f t="shared" si="8"/>
        <v>0</v>
      </c>
      <c r="Q40" s="475">
        <f t="shared" si="16"/>
        <v>0</v>
      </c>
      <c r="R40" s="478">
        <f t="shared" si="13"/>
        <v>0</v>
      </c>
    </row>
    <row r="41" spans="1:18" ht="14.25">
      <c r="A41" s="482">
        <f t="shared" si="5"/>
        <v>32</v>
      </c>
      <c r="B41" s="461"/>
      <c r="C41" s="462">
        <f t="shared" si="1"/>
        <v>0</v>
      </c>
      <c r="D41" s="462">
        <f t="shared" si="2"/>
        <v>0</v>
      </c>
      <c r="E41" s="462">
        <f t="shared" si="3"/>
        <v>0</v>
      </c>
      <c r="F41" s="474">
        <f t="shared" si="4"/>
        <v>0</v>
      </c>
      <c r="G41" s="510">
        <v>0</v>
      </c>
      <c r="H41" s="511">
        <f t="shared" si="6"/>
        <v>0</v>
      </c>
      <c r="I41" s="475">
        <f t="shared" si="14"/>
        <v>0</v>
      </c>
      <c r="J41" s="475">
        <f t="shared" si="9"/>
        <v>0</v>
      </c>
      <c r="K41" s="510">
        <f t="shared" si="17"/>
        <v>0</v>
      </c>
      <c r="L41" s="511">
        <f t="shared" si="7"/>
        <v>0</v>
      </c>
      <c r="M41" s="475">
        <f t="shared" si="15"/>
        <v>0</v>
      </c>
      <c r="N41" s="475">
        <f t="shared" si="11"/>
        <v>0</v>
      </c>
      <c r="O41" s="510">
        <f t="shared" si="18"/>
        <v>0</v>
      </c>
      <c r="P41" s="511">
        <f t="shared" si="8"/>
        <v>0</v>
      </c>
      <c r="Q41" s="475">
        <f t="shared" si="16"/>
        <v>0</v>
      </c>
      <c r="R41" s="478">
        <f t="shared" si="13"/>
        <v>0</v>
      </c>
    </row>
    <row r="42" spans="2:18" ht="14.25">
      <c r="B42" s="464"/>
      <c r="C42" s="465"/>
      <c r="D42" s="465"/>
      <c r="E42" s="465"/>
      <c r="F42" s="477"/>
      <c r="G42" s="476"/>
      <c r="H42" s="475"/>
      <c r="I42" s="475"/>
      <c r="J42" s="475"/>
      <c r="K42" s="476"/>
      <c r="L42" s="475"/>
      <c r="M42" s="475"/>
      <c r="N42" s="475"/>
      <c r="O42" s="476"/>
      <c r="P42" s="475"/>
      <c r="Q42" s="475"/>
      <c r="R42" s="478"/>
    </row>
    <row r="43" spans="1:18" ht="14.25">
      <c r="A43" s="482">
        <f>A41+1</f>
        <v>33</v>
      </c>
      <c r="B43" s="469" t="s">
        <v>89</v>
      </c>
      <c r="C43" s="462"/>
      <c r="D43" s="462">
        <f>SUM(D30:D41)</f>
        <v>0</v>
      </c>
      <c r="E43" s="462"/>
      <c r="F43" s="477"/>
      <c r="G43" s="479"/>
      <c r="H43" s="480">
        <f>SUM(H30:H41)</f>
        <v>0</v>
      </c>
      <c r="I43" s="480"/>
      <c r="J43" s="468"/>
      <c r="K43" s="479"/>
      <c r="L43" s="480">
        <f>SUM(L30:L41)</f>
        <v>0</v>
      </c>
      <c r="M43" s="480"/>
      <c r="N43" s="468"/>
      <c r="O43" s="479"/>
      <c r="P43" s="480">
        <f>SUM(P30:P41)</f>
        <v>0</v>
      </c>
      <c r="Q43" s="480"/>
      <c r="R43" s="468"/>
    </row>
    <row r="44" spans="1:18" ht="14.25">
      <c r="A44" s="482">
        <f>+A43+1</f>
        <v>34</v>
      </c>
      <c r="B44" s="469" t="s">
        <v>1022</v>
      </c>
      <c r="C44" s="462">
        <f>AVERAGE(C29:C41)</f>
        <v>0</v>
      </c>
      <c r="D44" s="462"/>
      <c r="E44" s="462">
        <f>AVERAGE(E29:E41)</f>
        <v>0</v>
      </c>
      <c r="F44" s="477"/>
      <c r="G44" s="479">
        <f>AVERAGE(G29:G41)</f>
        <v>0</v>
      </c>
      <c r="H44" s="480"/>
      <c r="I44" s="480">
        <f>AVERAGE(I29:I41)</f>
        <v>0</v>
      </c>
      <c r="J44" s="481">
        <f>AVERAGE(J29:J41)</f>
        <v>0</v>
      </c>
      <c r="K44" s="479">
        <f>AVERAGE(K29:K41)</f>
        <v>0</v>
      </c>
      <c r="L44" s="480"/>
      <c r="M44" s="480">
        <f>AVERAGE(M29:M41)</f>
        <v>0</v>
      </c>
      <c r="N44" s="481">
        <f>AVERAGE(N29:N41)</f>
        <v>0</v>
      </c>
      <c r="O44" s="479">
        <f>AVERAGE(O29:O41)</f>
        <v>0</v>
      </c>
      <c r="P44" s="480"/>
      <c r="Q44" s="480">
        <f>AVERAGE(Q29:Q41)</f>
        <v>0</v>
      </c>
      <c r="R44" s="481">
        <f>AVERAGE(R29:R41)</f>
        <v>0</v>
      </c>
    </row>
    <row r="45" spans="2:18" ht="14.25">
      <c r="B45" s="465"/>
      <c r="C45" s="462"/>
      <c r="D45" s="462"/>
      <c r="E45" s="462"/>
      <c r="F45" s="482"/>
      <c r="G45" s="483"/>
      <c r="H45" s="460"/>
      <c r="I45" s="460"/>
      <c r="J45" s="463"/>
      <c r="K45" s="483"/>
      <c r="L45" s="460"/>
      <c r="M45" s="460"/>
      <c r="N45" s="463"/>
      <c r="O45" s="483"/>
      <c r="P45" s="460"/>
      <c r="Q45" s="460"/>
      <c r="R45" s="463"/>
    </row>
    <row r="46" spans="1:18" ht="14.25">
      <c r="A46" s="482">
        <f>+A44+1</f>
        <v>35</v>
      </c>
      <c r="B46" s="465" t="s">
        <v>90</v>
      </c>
      <c r="C46" s="462"/>
      <c r="D46" s="462">
        <f>J46+N46+R46</f>
        <v>0</v>
      </c>
      <c r="E46" s="462"/>
      <c r="F46" s="482"/>
      <c r="G46" s="484"/>
      <c r="H46" s="485"/>
      <c r="I46" s="625" t="s">
        <v>1169</v>
      </c>
      <c r="J46" s="486">
        <f>ROUND(J44*H11,0)</f>
        <v>0</v>
      </c>
      <c r="K46" s="484"/>
      <c r="L46" s="485"/>
      <c r="M46" s="625" t="s">
        <v>1169</v>
      </c>
      <c r="N46" s="486">
        <f>ROUND(N44*L11,0)</f>
        <v>0</v>
      </c>
      <c r="O46" s="484"/>
      <c r="P46" s="485"/>
      <c r="Q46" s="625" t="s">
        <v>1169</v>
      </c>
      <c r="R46" s="486">
        <f>ROUND(R44*P11,0)</f>
        <v>0</v>
      </c>
    </row>
    <row r="47" spans="6:10" ht="12.75">
      <c r="F47" s="390"/>
      <c r="G47" s="391"/>
      <c r="H47" s="391"/>
      <c r="I47" s="391"/>
      <c r="J47" s="391"/>
    </row>
    <row r="48" spans="2:10" ht="12.75">
      <c r="B48" s="448" t="s">
        <v>1781</v>
      </c>
      <c r="F48" s="390"/>
      <c r="G48" s="391"/>
      <c r="H48" s="391"/>
      <c r="I48" s="391"/>
      <c r="J48" s="391"/>
    </row>
    <row r="49" spans="3:10" ht="15">
      <c r="C49" s="29"/>
      <c r="F49" s="390"/>
      <c r="G49" s="391"/>
      <c r="H49" s="391"/>
      <c r="I49" s="391"/>
      <c r="J49" s="391"/>
    </row>
    <row r="50" spans="2:18" ht="20.25">
      <c r="B50" s="380" t="str">
        <f>B$1</f>
        <v>Worksheet P1 - Projected Transmission Plant</v>
      </c>
      <c r="F50" s="390"/>
      <c r="G50" s="391"/>
      <c r="H50" s="391"/>
      <c r="I50" s="391"/>
      <c r="J50" s="391"/>
      <c r="R50" s="389" t="s">
        <v>1695</v>
      </c>
    </row>
    <row r="51" spans="2:10" ht="15.75">
      <c r="B51" s="241" t="str">
        <f>B$2</f>
        <v>For the 12 months ended - December 31, 20xx</v>
      </c>
      <c r="F51" s="390"/>
      <c r="G51" s="391"/>
      <c r="H51" s="391"/>
      <c r="I51" s="391"/>
      <c r="J51" s="391"/>
    </row>
    <row r="52" spans="6:10" ht="12.75">
      <c r="F52" s="390"/>
      <c r="G52" s="391"/>
      <c r="H52" s="391"/>
      <c r="I52" s="391"/>
      <c r="J52" s="391"/>
    </row>
    <row r="53" spans="6:10" ht="12.75">
      <c r="F53" s="390"/>
      <c r="G53" s="391"/>
      <c r="H53" s="391"/>
      <c r="I53" s="391"/>
      <c r="J53" s="391"/>
    </row>
    <row r="54" spans="2:14" ht="15">
      <c r="B54" s="487" t="s">
        <v>639</v>
      </c>
      <c r="C54" s="465"/>
      <c r="D54" s="465"/>
      <c r="E54" s="465"/>
      <c r="F54" s="488" t="s">
        <v>86</v>
      </c>
      <c r="G54" s="489"/>
      <c r="H54" s="489"/>
      <c r="I54" s="489"/>
      <c r="J54" s="490"/>
      <c r="K54" s="394"/>
      <c r="L54" s="394"/>
      <c r="M54" s="394"/>
      <c r="N54" s="458"/>
    </row>
    <row r="55" spans="2:14" ht="15">
      <c r="B55" s="1458" t="s">
        <v>640</v>
      </c>
      <c r="C55" s="1458"/>
      <c r="D55" s="1458"/>
      <c r="E55" s="1458"/>
      <c r="F55" s="491"/>
      <c r="G55" s="1458" t="s">
        <v>1716</v>
      </c>
      <c r="H55" s="1458"/>
      <c r="I55" s="1458"/>
      <c r="J55" s="1459"/>
      <c r="K55" s="1457"/>
      <c r="L55" s="1457"/>
      <c r="M55" s="1457"/>
      <c r="N55" s="1457"/>
    </row>
    <row r="56" spans="2:14" ht="14.25">
      <c r="B56" s="465"/>
      <c r="C56" s="465"/>
      <c r="D56" s="465"/>
      <c r="E56" s="465"/>
      <c r="F56" s="491"/>
      <c r="G56" s="567"/>
      <c r="H56" s="567"/>
      <c r="I56" s="567" t="s">
        <v>767</v>
      </c>
      <c r="J56" s="568" t="s">
        <v>767</v>
      </c>
      <c r="K56" s="445"/>
      <c r="L56" s="445"/>
      <c r="M56" s="445"/>
      <c r="N56" s="445"/>
    </row>
    <row r="57" spans="2:14" ht="14.25">
      <c r="B57" s="465"/>
      <c r="C57" s="465"/>
      <c r="D57" s="465"/>
      <c r="E57" s="465"/>
      <c r="F57" s="491"/>
      <c r="G57" s="567" t="s">
        <v>119</v>
      </c>
      <c r="H57" s="567"/>
      <c r="I57" s="567" t="s">
        <v>1489</v>
      </c>
      <c r="J57" s="568" t="s">
        <v>1489</v>
      </c>
      <c r="K57" s="445"/>
      <c r="L57" s="445"/>
      <c r="M57" s="445"/>
      <c r="N57" s="445"/>
    </row>
    <row r="58" spans="2:14" ht="14.25">
      <c r="B58" s="465"/>
      <c r="C58" s="465"/>
      <c r="D58" s="465"/>
      <c r="E58" s="465"/>
      <c r="F58" s="491"/>
      <c r="G58" s="567" t="s">
        <v>767</v>
      </c>
      <c r="H58" s="567" t="s">
        <v>767</v>
      </c>
      <c r="I58" s="567" t="s">
        <v>1490</v>
      </c>
      <c r="J58" s="568" t="s">
        <v>118</v>
      </c>
      <c r="K58" s="445"/>
      <c r="L58" s="445"/>
      <c r="M58" s="445"/>
      <c r="N58" s="445"/>
    </row>
    <row r="59" spans="2:14" ht="15.75" thickBot="1">
      <c r="B59" s="443" t="s">
        <v>845</v>
      </c>
      <c r="C59" s="443" t="s">
        <v>88</v>
      </c>
      <c r="D59" s="443" t="s">
        <v>1490</v>
      </c>
      <c r="E59" s="492" t="s">
        <v>87</v>
      </c>
      <c r="F59" s="493"/>
      <c r="G59" s="569" t="s">
        <v>1492</v>
      </c>
      <c r="H59" s="569" t="s">
        <v>117</v>
      </c>
      <c r="I59" s="569" t="s">
        <v>91</v>
      </c>
      <c r="J59" s="570" t="s">
        <v>1490</v>
      </c>
      <c r="K59" s="445"/>
      <c r="L59" s="445"/>
      <c r="M59" s="445"/>
      <c r="N59" s="445"/>
    </row>
    <row r="60" spans="1:14" ht="14.25">
      <c r="A60" s="390">
        <v>1</v>
      </c>
      <c r="B60" s="465"/>
      <c r="C60" s="465"/>
      <c r="D60" s="465"/>
      <c r="E60" s="465"/>
      <c r="F60" s="491"/>
      <c r="G60" s="467"/>
      <c r="H60" s="467"/>
      <c r="I60" s="660">
        <f>IF('Actual Gross Rev'!G17=0,0,ROUND('Actual Gross Rev'!G90/'Actual Gross Rev'!G17,6)/12)</f>
        <v>0.0015345</v>
      </c>
      <c r="J60" s="494"/>
      <c r="K60" s="394"/>
      <c r="L60" s="630"/>
      <c r="M60" s="459"/>
      <c r="N60" s="457"/>
    </row>
    <row r="61" spans="1:14" ht="14.25">
      <c r="A61" s="390">
        <v>2</v>
      </c>
      <c r="B61" s="465"/>
      <c r="C61" s="465"/>
      <c r="D61" s="465"/>
      <c r="E61" s="465"/>
      <c r="F61" s="491"/>
      <c r="G61" s="467"/>
      <c r="H61" s="467"/>
      <c r="I61" s="467"/>
      <c r="J61" s="468"/>
      <c r="K61" s="394"/>
      <c r="L61" s="394"/>
      <c r="M61" s="394"/>
      <c r="N61" s="394"/>
    </row>
    <row r="62" spans="1:14" ht="14.25">
      <c r="A62" s="390">
        <v>3</v>
      </c>
      <c r="B62" s="465"/>
      <c r="C62" s="465"/>
      <c r="D62" s="465"/>
      <c r="E62" s="465"/>
      <c r="F62" s="1008" t="s">
        <v>1629</v>
      </c>
      <c r="G62" s="495"/>
      <c r="H62" s="1009"/>
      <c r="I62" s="1010"/>
      <c r="J62" s="1011"/>
      <c r="K62" s="409"/>
      <c r="L62" s="1012"/>
      <c r="M62" s="1013"/>
      <c r="N62" s="1014"/>
    </row>
    <row r="63" spans="6:14" ht="12.75">
      <c r="F63" s="447"/>
      <c r="G63" s="394"/>
      <c r="H63" s="394"/>
      <c r="I63" s="394"/>
      <c r="J63" s="421"/>
      <c r="K63" s="394"/>
      <c r="L63" s="394"/>
      <c r="M63" s="394"/>
      <c r="N63" s="394"/>
    </row>
    <row r="64" spans="6:14" ht="12.75">
      <c r="F64" s="447" t="s">
        <v>1092</v>
      </c>
      <c r="G64" s="394"/>
      <c r="H64" s="394"/>
      <c r="I64" s="394"/>
      <c r="J64" s="421"/>
      <c r="K64" s="394"/>
      <c r="L64" s="394"/>
      <c r="M64" s="394"/>
      <c r="N64" s="394"/>
    </row>
    <row r="65" spans="6:14" ht="12.75">
      <c r="F65" s="447"/>
      <c r="G65" s="394"/>
      <c r="H65" s="394"/>
      <c r="I65" s="394"/>
      <c r="J65" s="421"/>
      <c r="K65" s="394"/>
      <c r="L65" s="394"/>
      <c r="M65" s="394"/>
      <c r="N65" s="394"/>
    </row>
    <row r="66" spans="1:14" ht="14.25">
      <c r="A66" s="482">
        <f>+A62+1</f>
        <v>4</v>
      </c>
      <c r="B66" s="461"/>
      <c r="C66" s="462">
        <f aca="true" t="shared" si="20" ref="C66:C89">H66+C18</f>
        <v>0</v>
      </c>
      <c r="D66" s="462">
        <f>I66+D18</f>
        <v>0</v>
      </c>
      <c r="E66" s="462">
        <f>J66+E18</f>
        <v>0</v>
      </c>
      <c r="F66" s="566">
        <f>+B66</f>
        <v>0</v>
      </c>
      <c r="G66" s="1009"/>
      <c r="H66" s="460">
        <f>G66+H62</f>
        <v>0</v>
      </c>
      <c r="I66" s="505">
        <f>I$60*H62</f>
        <v>0</v>
      </c>
      <c r="J66" s="463">
        <f>J62+I66</f>
        <v>0</v>
      </c>
      <c r="K66" s="1015"/>
      <c r="L66" s="630"/>
      <c r="M66" s="430"/>
      <c r="N66" s="430"/>
    </row>
    <row r="67" spans="1:14" ht="14.25">
      <c r="A67" s="482">
        <f aca="true" t="shared" si="21" ref="A67:A89">+A66+1</f>
        <v>5</v>
      </c>
      <c r="B67" s="461"/>
      <c r="C67" s="462">
        <f t="shared" si="20"/>
        <v>0</v>
      </c>
      <c r="D67" s="462">
        <f aca="true" t="shared" si="22" ref="D67:D89">I67+D19</f>
        <v>0</v>
      </c>
      <c r="E67" s="462">
        <f aca="true" t="shared" si="23" ref="E67:E89">J67+E19</f>
        <v>0</v>
      </c>
      <c r="F67" s="566">
        <f aca="true" t="shared" si="24" ref="F67:F89">+B67</f>
        <v>0</v>
      </c>
      <c r="G67" s="1009"/>
      <c r="H67" s="460">
        <f>H66+G67</f>
        <v>0</v>
      </c>
      <c r="I67" s="505">
        <f>I$60*H66</f>
        <v>0</v>
      </c>
      <c r="J67" s="463">
        <f aca="true" t="shared" si="25" ref="J67:J89">J66+I67</f>
        <v>0</v>
      </c>
      <c r="K67" s="1015"/>
      <c r="L67" s="630"/>
      <c r="M67" s="430"/>
      <c r="N67" s="430"/>
    </row>
    <row r="68" spans="1:14" ht="14.25">
      <c r="A68" s="482">
        <f t="shared" si="21"/>
        <v>6</v>
      </c>
      <c r="B68" s="461"/>
      <c r="C68" s="462">
        <f t="shared" si="20"/>
        <v>0</v>
      </c>
      <c r="D68" s="462">
        <f t="shared" si="22"/>
        <v>0</v>
      </c>
      <c r="E68" s="462">
        <f t="shared" si="23"/>
        <v>0</v>
      </c>
      <c r="F68" s="566">
        <f t="shared" si="24"/>
        <v>0</v>
      </c>
      <c r="G68" s="1009"/>
      <c r="H68" s="460">
        <f aca="true" t="shared" si="26" ref="H68:H77">H67+G68</f>
        <v>0</v>
      </c>
      <c r="I68" s="505">
        <f aca="true" t="shared" si="27" ref="I68:I89">I$60*H67</f>
        <v>0</v>
      </c>
      <c r="J68" s="463">
        <f t="shared" si="25"/>
        <v>0</v>
      </c>
      <c r="K68" s="1015"/>
      <c r="L68" s="630"/>
      <c r="M68" s="430"/>
      <c r="N68" s="430"/>
    </row>
    <row r="69" spans="1:14" ht="14.25">
      <c r="A69" s="482">
        <f t="shared" si="21"/>
        <v>7</v>
      </c>
      <c r="B69" s="461"/>
      <c r="C69" s="462">
        <f t="shared" si="20"/>
        <v>0</v>
      </c>
      <c r="D69" s="462">
        <f t="shared" si="22"/>
        <v>0</v>
      </c>
      <c r="E69" s="462">
        <f t="shared" si="23"/>
        <v>0</v>
      </c>
      <c r="F69" s="566">
        <f t="shared" si="24"/>
        <v>0</v>
      </c>
      <c r="G69" s="1009"/>
      <c r="H69" s="460">
        <f t="shared" si="26"/>
        <v>0</v>
      </c>
      <c r="I69" s="505">
        <f t="shared" si="27"/>
        <v>0</v>
      </c>
      <c r="J69" s="463">
        <f t="shared" si="25"/>
        <v>0</v>
      </c>
      <c r="K69" s="1015"/>
      <c r="L69" s="630"/>
      <c r="M69" s="430"/>
      <c r="N69" s="430"/>
    </row>
    <row r="70" spans="1:14" ht="14.25">
      <c r="A70" s="482">
        <f t="shared" si="21"/>
        <v>8</v>
      </c>
      <c r="B70" s="461"/>
      <c r="C70" s="462">
        <f t="shared" si="20"/>
        <v>0</v>
      </c>
      <c r="D70" s="462">
        <f t="shared" si="22"/>
        <v>0</v>
      </c>
      <c r="E70" s="462">
        <f t="shared" si="23"/>
        <v>0</v>
      </c>
      <c r="F70" s="566">
        <f t="shared" si="24"/>
        <v>0</v>
      </c>
      <c r="G70" s="1009"/>
      <c r="H70" s="460">
        <f t="shared" si="26"/>
        <v>0</v>
      </c>
      <c r="I70" s="505">
        <f t="shared" si="27"/>
        <v>0</v>
      </c>
      <c r="J70" s="463">
        <f t="shared" si="25"/>
        <v>0</v>
      </c>
      <c r="K70" s="1015"/>
      <c r="L70" s="630"/>
      <c r="M70" s="430"/>
      <c r="N70" s="430"/>
    </row>
    <row r="71" spans="1:14" ht="14.25">
      <c r="A71" s="482">
        <f t="shared" si="21"/>
        <v>9</v>
      </c>
      <c r="B71" s="461"/>
      <c r="C71" s="462">
        <f t="shared" si="20"/>
        <v>0</v>
      </c>
      <c r="D71" s="462">
        <f t="shared" si="22"/>
        <v>0</v>
      </c>
      <c r="E71" s="462">
        <f t="shared" si="23"/>
        <v>0</v>
      </c>
      <c r="F71" s="566">
        <f t="shared" si="24"/>
        <v>0</v>
      </c>
      <c r="G71" s="1009"/>
      <c r="H71" s="460">
        <f t="shared" si="26"/>
        <v>0</v>
      </c>
      <c r="I71" s="505">
        <f t="shared" si="27"/>
        <v>0</v>
      </c>
      <c r="J71" s="463">
        <f t="shared" si="25"/>
        <v>0</v>
      </c>
      <c r="K71" s="1015"/>
      <c r="L71" s="630"/>
      <c r="M71" s="430"/>
      <c r="N71" s="430"/>
    </row>
    <row r="72" spans="1:14" ht="14.25">
      <c r="A72" s="482">
        <f t="shared" si="21"/>
        <v>10</v>
      </c>
      <c r="B72" s="461"/>
      <c r="C72" s="462">
        <f t="shared" si="20"/>
        <v>0</v>
      </c>
      <c r="D72" s="462">
        <f t="shared" si="22"/>
        <v>0</v>
      </c>
      <c r="E72" s="462">
        <f t="shared" si="23"/>
        <v>0</v>
      </c>
      <c r="F72" s="566">
        <f t="shared" si="24"/>
        <v>0</v>
      </c>
      <c r="G72" s="1009"/>
      <c r="H72" s="460">
        <f t="shared" si="26"/>
        <v>0</v>
      </c>
      <c r="I72" s="505">
        <f t="shared" si="27"/>
        <v>0</v>
      </c>
      <c r="J72" s="463">
        <f t="shared" si="25"/>
        <v>0</v>
      </c>
      <c r="K72" s="1015"/>
      <c r="L72" s="630"/>
      <c r="M72" s="430"/>
      <c r="N72" s="430"/>
    </row>
    <row r="73" spans="1:14" ht="14.25">
      <c r="A73" s="482">
        <f t="shared" si="21"/>
        <v>11</v>
      </c>
      <c r="B73" s="461"/>
      <c r="C73" s="462">
        <f t="shared" si="20"/>
        <v>0</v>
      </c>
      <c r="D73" s="462">
        <f t="shared" si="22"/>
        <v>0</v>
      </c>
      <c r="E73" s="462">
        <f t="shared" si="23"/>
        <v>0</v>
      </c>
      <c r="F73" s="566">
        <f t="shared" si="24"/>
        <v>0</v>
      </c>
      <c r="G73" s="1009"/>
      <c r="H73" s="460">
        <f t="shared" si="26"/>
        <v>0</v>
      </c>
      <c r="I73" s="505">
        <f t="shared" si="27"/>
        <v>0</v>
      </c>
      <c r="J73" s="463">
        <f t="shared" si="25"/>
        <v>0</v>
      </c>
      <c r="K73" s="1015"/>
      <c r="L73" s="630"/>
      <c r="M73" s="430"/>
      <c r="N73" s="430"/>
    </row>
    <row r="74" spans="1:14" ht="14.25">
      <c r="A74" s="482">
        <f t="shared" si="21"/>
        <v>12</v>
      </c>
      <c r="B74" s="461"/>
      <c r="C74" s="462">
        <f t="shared" si="20"/>
        <v>0</v>
      </c>
      <c r="D74" s="462">
        <f t="shared" si="22"/>
        <v>0</v>
      </c>
      <c r="E74" s="462">
        <f t="shared" si="23"/>
        <v>0</v>
      </c>
      <c r="F74" s="566">
        <f t="shared" si="24"/>
        <v>0</v>
      </c>
      <c r="G74" s="1009"/>
      <c r="H74" s="460">
        <f t="shared" si="26"/>
        <v>0</v>
      </c>
      <c r="I74" s="505">
        <f t="shared" si="27"/>
        <v>0</v>
      </c>
      <c r="J74" s="463">
        <f t="shared" si="25"/>
        <v>0</v>
      </c>
      <c r="K74" s="1015"/>
      <c r="L74" s="630"/>
      <c r="M74" s="430"/>
      <c r="N74" s="430"/>
    </row>
    <row r="75" spans="1:14" ht="14.25">
      <c r="A75" s="482">
        <f t="shared" si="21"/>
        <v>13</v>
      </c>
      <c r="B75" s="461"/>
      <c r="C75" s="462">
        <f t="shared" si="20"/>
        <v>0</v>
      </c>
      <c r="D75" s="462">
        <f t="shared" si="22"/>
        <v>0</v>
      </c>
      <c r="E75" s="462">
        <f t="shared" si="23"/>
        <v>0</v>
      </c>
      <c r="F75" s="566">
        <f t="shared" si="24"/>
        <v>0</v>
      </c>
      <c r="G75" s="1009"/>
      <c r="H75" s="460">
        <f t="shared" si="26"/>
        <v>0</v>
      </c>
      <c r="I75" s="505">
        <f t="shared" si="27"/>
        <v>0</v>
      </c>
      <c r="J75" s="463">
        <f t="shared" si="25"/>
        <v>0</v>
      </c>
      <c r="K75" s="1015"/>
      <c r="L75" s="630"/>
      <c r="M75" s="430"/>
      <c r="N75" s="430"/>
    </row>
    <row r="76" spans="1:14" ht="14.25">
      <c r="A76" s="482">
        <f t="shared" si="21"/>
        <v>14</v>
      </c>
      <c r="B76" s="461"/>
      <c r="C76" s="462">
        <f t="shared" si="20"/>
        <v>0</v>
      </c>
      <c r="D76" s="462">
        <f t="shared" si="22"/>
        <v>0</v>
      </c>
      <c r="E76" s="462">
        <f t="shared" si="23"/>
        <v>0</v>
      </c>
      <c r="F76" s="566">
        <f t="shared" si="24"/>
        <v>0</v>
      </c>
      <c r="G76" s="1009"/>
      <c r="H76" s="460">
        <f t="shared" si="26"/>
        <v>0</v>
      </c>
      <c r="I76" s="505">
        <f t="shared" si="27"/>
        <v>0</v>
      </c>
      <c r="J76" s="463">
        <f>J75+I76</f>
        <v>0</v>
      </c>
      <c r="K76" s="1015"/>
      <c r="L76" s="630"/>
      <c r="M76" s="430"/>
      <c r="N76" s="430"/>
    </row>
    <row r="77" spans="1:14" ht="14.25">
      <c r="A77" s="482">
        <f t="shared" si="21"/>
        <v>15</v>
      </c>
      <c r="B77" s="461"/>
      <c r="C77" s="462">
        <f t="shared" si="20"/>
        <v>0</v>
      </c>
      <c r="D77" s="462">
        <f t="shared" si="22"/>
        <v>0</v>
      </c>
      <c r="E77" s="462">
        <f t="shared" si="23"/>
        <v>0</v>
      </c>
      <c r="F77" s="566">
        <f t="shared" si="24"/>
        <v>0</v>
      </c>
      <c r="G77" s="1009"/>
      <c r="H77" s="460">
        <f t="shared" si="26"/>
        <v>0</v>
      </c>
      <c r="I77" s="505">
        <f t="shared" si="27"/>
        <v>0</v>
      </c>
      <c r="J77" s="463">
        <f t="shared" si="25"/>
        <v>0</v>
      </c>
      <c r="K77" s="1015"/>
      <c r="L77" s="630"/>
      <c r="M77" s="430"/>
      <c r="N77" s="430"/>
    </row>
    <row r="78" spans="1:14" ht="14.25">
      <c r="A78" s="482">
        <f t="shared" si="21"/>
        <v>16</v>
      </c>
      <c r="B78" s="461"/>
      <c r="C78" s="462">
        <f t="shared" si="20"/>
        <v>0</v>
      </c>
      <c r="D78" s="462">
        <f t="shared" si="22"/>
        <v>0</v>
      </c>
      <c r="E78" s="462">
        <f t="shared" si="23"/>
        <v>0</v>
      </c>
      <c r="F78" s="566">
        <f t="shared" si="24"/>
        <v>0</v>
      </c>
      <c r="G78" s="1009"/>
      <c r="H78" s="460">
        <f>H77+G78</f>
        <v>0</v>
      </c>
      <c r="I78" s="505">
        <f t="shared" si="27"/>
        <v>0</v>
      </c>
      <c r="J78" s="463">
        <f t="shared" si="25"/>
        <v>0</v>
      </c>
      <c r="K78" s="1015"/>
      <c r="L78" s="630"/>
      <c r="M78" s="430"/>
      <c r="N78" s="430"/>
    </row>
    <row r="79" spans="1:14" ht="14.25">
      <c r="A79" s="482">
        <f t="shared" si="21"/>
        <v>17</v>
      </c>
      <c r="B79" s="461"/>
      <c r="C79" s="462">
        <f t="shared" si="20"/>
        <v>0</v>
      </c>
      <c r="D79" s="462">
        <f t="shared" si="22"/>
        <v>0</v>
      </c>
      <c r="E79" s="462">
        <f t="shared" si="23"/>
        <v>0</v>
      </c>
      <c r="F79" s="566">
        <f t="shared" si="24"/>
        <v>0</v>
      </c>
      <c r="G79" s="1009"/>
      <c r="H79" s="460">
        <f aca="true" t="shared" si="28" ref="H79:H89">H78+G79</f>
        <v>0</v>
      </c>
      <c r="I79" s="505">
        <f t="shared" si="27"/>
        <v>0</v>
      </c>
      <c r="J79" s="463">
        <f t="shared" si="25"/>
        <v>0</v>
      </c>
      <c r="K79" s="1015"/>
      <c r="L79" s="630"/>
      <c r="M79" s="430"/>
      <c r="N79" s="430"/>
    </row>
    <row r="80" spans="1:14" ht="14.25">
      <c r="A80" s="482">
        <f t="shared" si="21"/>
        <v>18</v>
      </c>
      <c r="B80" s="461"/>
      <c r="C80" s="462">
        <f t="shared" si="20"/>
        <v>0</v>
      </c>
      <c r="D80" s="462">
        <f t="shared" si="22"/>
        <v>0</v>
      </c>
      <c r="E80" s="462">
        <f t="shared" si="23"/>
        <v>0</v>
      </c>
      <c r="F80" s="566">
        <f t="shared" si="24"/>
        <v>0</v>
      </c>
      <c r="G80" s="1009"/>
      <c r="H80" s="460">
        <f t="shared" si="28"/>
        <v>0</v>
      </c>
      <c r="I80" s="505">
        <f t="shared" si="27"/>
        <v>0</v>
      </c>
      <c r="J80" s="463">
        <f t="shared" si="25"/>
        <v>0</v>
      </c>
      <c r="K80" s="1015"/>
      <c r="L80" s="630"/>
      <c r="M80" s="430"/>
      <c r="N80" s="430"/>
    </row>
    <row r="81" spans="1:14" ht="14.25">
      <c r="A81" s="482">
        <f t="shared" si="21"/>
        <v>19</v>
      </c>
      <c r="B81" s="461"/>
      <c r="C81" s="462">
        <f t="shared" si="20"/>
        <v>0</v>
      </c>
      <c r="D81" s="462">
        <f t="shared" si="22"/>
        <v>0</v>
      </c>
      <c r="E81" s="462">
        <f t="shared" si="23"/>
        <v>0</v>
      </c>
      <c r="F81" s="566">
        <f t="shared" si="24"/>
        <v>0</v>
      </c>
      <c r="G81" s="1009"/>
      <c r="H81" s="460">
        <f t="shared" si="28"/>
        <v>0</v>
      </c>
      <c r="I81" s="505">
        <f t="shared" si="27"/>
        <v>0</v>
      </c>
      <c r="J81" s="463">
        <f t="shared" si="25"/>
        <v>0</v>
      </c>
      <c r="K81" s="1015"/>
      <c r="L81" s="630"/>
      <c r="M81" s="430"/>
      <c r="N81" s="430"/>
    </row>
    <row r="82" spans="1:14" ht="14.25">
      <c r="A82" s="482">
        <f t="shared" si="21"/>
        <v>20</v>
      </c>
      <c r="B82" s="461"/>
      <c r="C82" s="462">
        <f t="shared" si="20"/>
        <v>0</v>
      </c>
      <c r="D82" s="462">
        <f t="shared" si="22"/>
        <v>0</v>
      </c>
      <c r="E82" s="462">
        <f t="shared" si="23"/>
        <v>0</v>
      </c>
      <c r="F82" s="566">
        <f t="shared" si="24"/>
        <v>0</v>
      </c>
      <c r="G82" s="1009"/>
      <c r="H82" s="460">
        <f t="shared" si="28"/>
        <v>0</v>
      </c>
      <c r="I82" s="505">
        <f t="shared" si="27"/>
        <v>0</v>
      </c>
      <c r="J82" s="463">
        <f t="shared" si="25"/>
        <v>0</v>
      </c>
      <c r="K82" s="1015"/>
      <c r="L82" s="630"/>
      <c r="M82" s="430"/>
      <c r="N82" s="430"/>
    </row>
    <row r="83" spans="1:14" ht="14.25">
      <c r="A83" s="482">
        <f t="shared" si="21"/>
        <v>21</v>
      </c>
      <c r="B83" s="461"/>
      <c r="C83" s="462">
        <f t="shared" si="20"/>
        <v>0</v>
      </c>
      <c r="D83" s="462">
        <f t="shared" si="22"/>
        <v>0</v>
      </c>
      <c r="E83" s="462">
        <f t="shared" si="23"/>
        <v>0</v>
      </c>
      <c r="F83" s="566">
        <f t="shared" si="24"/>
        <v>0</v>
      </c>
      <c r="G83" s="1009"/>
      <c r="H83" s="460">
        <f t="shared" si="28"/>
        <v>0</v>
      </c>
      <c r="I83" s="505">
        <f t="shared" si="27"/>
        <v>0</v>
      </c>
      <c r="J83" s="463">
        <f t="shared" si="25"/>
        <v>0</v>
      </c>
      <c r="K83" s="1015"/>
      <c r="L83" s="630"/>
      <c r="M83" s="430"/>
      <c r="N83" s="430"/>
    </row>
    <row r="84" spans="1:14" ht="14.25">
      <c r="A84" s="482">
        <f t="shared" si="21"/>
        <v>22</v>
      </c>
      <c r="B84" s="461"/>
      <c r="C84" s="462">
        <f t="shared" si="20"/>
        <v>0</v>
      </c>
      <c r="D84" s="462">
        <f t="shared" si="22"/>
        <v>0</v>
      </c>
      <c r="E84" s="462">
        <f t="shared" si="23"/>
        <v>0</v>
      </c>
      <c r="F84" s="566">
        <f t="shared" si="24"/>
        <v>0</v>
      </c>
      <c r="G84" s="1009"/>
      <c r="H84" s="460">
        <f t="shared" si="28"/>
        <v>0</v>
      </c>
      <c r="I84" s="505">
        <f t="shared" si="27"/>
        <v>0</v>
      </c>
      <c r="J84" s="463">
        <f t="shared" si="25"/>
        <v>0</v>
      </c>
      <c r="K84" s="1015"/>
      <c r="L84" s="630"/>
      <c r="M84" s="430"/>
      <c r="N84" s="430"/>
    </row>
    <row r="85" spans="1:14" ht="14.25">
      <c r="A85" s="482">
        <f t="shared" si="21"/>
        <v>23</v>
      </c>
      <c r="B85" s="461"/>
      <c r="C85" s="462">
        <f t="shared" si="20"/>
        <v>0</v>
      </c>
      <c r="D85" s="462">
        <f t="shared" si="22"/>
        <v>0</v>
      </c>
      <c r="E85" s="462">
        <f t="shared" si="23"/>
        <v>0</v>
      </c>
      <c r="F85" s="566">
        <f t="shared" si="24"/>
        <v>0</v>
      </c>
      <c r="G85" s="1009"/>
      <c r="H85" s="460">
        <f t="shared" si="28"/>
        <v>0</v>
      </c>
      <c r="I85" s="505">
        <f t="shared" si="27"/>
        <v>0</v>
      </c>
      <c r="J85" s="463">
        <f t="shared" si="25"/>
        <v>0</v>
      </c>
      <c r="K85" s="1015"/>
      <c r="L85" s="630"/>
      <c r="M85" s="430"/>
      <c r="N85" s="430"/>
    </row>
    <row r="86" spans="1:14" ht="14.25">
      <c r="A86" s="482">
        <f t="shared" si="21"/>
        <v>24</v>
      </c>
      <c r="B86" s="461"/>
      <c r="C86" s="462">
        <f t="shared" si="20"/>
        <v>0</v>
      </c>
      <c r="D86" s="462">
        <f t="shared" si="22"/>
        <v>0</v>
      </c>
      <c r="E86" s="462">
        <f t="shared" si="23"/>
        <v>0</v>
      </c>
      <c r="F86" s="566">
        <f t="shared" si="24"/>
        <v>0</v>
      </c>
      <c r="G86" s="1009"/>
      <c r="H86" s="460">
        <f t="shared" si="28"/>
        <v>0</v>
      </c>
      <c r="I86" s="505">
        <f t="shared" si="27"/>
        <v>0</v>
      </c>
      <c r="J86" s="463">
        <f t="shared" si="25"/>
        <v>0</v>
      </c>
      <c r="K86" s="1015"/>
      <c r="L86" s="630"/>
      <c r="M86" s="430"/>
      <c r="N86" s="430"/>
    </row>
    <row r="87" spans="1:14" ht="14.25">
      <c r="A87" s="482">
        <f t="shared" si="21"/>
        <v>25</v>
      </c>
      <c r="B87" s="461"/>
      <c r="C87" s="462">
        <f t="shared" si="20"/>
        <v>0</v>
      </c>
      <c r="D87" s="462">
        <f t="shared" si="22"/>
        <v>0</v>
      </c>
      <c r="E87" s="462">
        <f t="shared" si="23"/>
        <v>0</v>
      </c>
      <c r="F87" s="566">
        <f t="shared" si="24"/>
        <v>0</v>
      </c>
      <c r="G87" s="1009"/>
      <c r="H87" s="460">
        <f t="shared" si="28"/>
        <v>0</v>
      </c>
      <c r="I87" s="505">
        <f t="shared" si="27"/>
        <v>0</v>
      </c>
      <c r="J87" s="463">
        <f t="shared" si="25"/>
        <v>0</v>
      </c>
      <c r="K87" s="1015"/>
      <c r="L87" s="630"/>
      <c r="M87" s="430"/>
      <c r="N87" s="430"/>
    </row>
    <row r="88" spans="1:14" ht="15">
      <c r="A88" s="482">
        <f t="shared" si="21"/>
        <v>26</v>
      </c>
      <c r="B88" s="461"/>
      <c r="C88" s="462">
        <f t="shared" si="20"/>
        <v>0</v>
      </c>
      <c r="D88" s="462">
        <f t="shared" si="22"/>
        <v>0</v>
      </c>
      <c r="E88" s="462">
        <f t="shared" si="23"/>
        <v>0</v>
      </c>
      <c r="F88" s="566">
        <f t="shared" si="24"/>
        <v>0</v>
      </c>
      <c r="G88" s="1009"/>
      <c r="H88" s="460">
        <f t="shared" si="28"/>
        <v>0</v>
      </c>
      <c r="I88" s="505">
        <f t="shared" si="27"/>
        <v>0</v>
      </c>
      <c r="J88" s="463">
        <f t="shared" si="25"/>
        <v>0</v>
      </c>
      <c r="K88" s="1015"/>
      <c r="L88" s="1087"/>
      <c r="M88" s="430"/>
      <c r="N88" s="430"/>
    </row>
    <row r="89" spans="1:14" ht="14.25">
      <c r="A89" s="482">
        <f t="shared" si="21"/>
        <v>27</v>
      </c>
      <c r="B89" s="461"/>
      <c r="C89" s="462">
        <f t="shared" si="20"/>
        <v>0</v>
      </c>
      <c r="D89" s="462">
        <f t="shared" si="22"/>
        <v>0</v>
      </c>
      <c r="E89" s="462">
        <f t="shared" si="23"/>
        <v>0</v>
      </c>
      <c r="F89" s="566">
        <f t="shared" si="24"/>
        <v>0</v>
      </c>
      <c r="G89" s="1009"/>
      <c r="H89" s="460">
        <f t="shared" si="28"/>
        <v>0</v>
      </c>
      <c r="I89" s="505">
        <f t="shared" si="27"/>
        <v>0</v>
      </c>
      <c r="J89" s="463">
        <f t="shared" si="25"/>
        <v>0</v>
      </c>
      <c r="K89" s="1015"/>
      <c r="L89" s="630"/>
      <c r="M89" s="430"/>
      <c r="N89" s="430"/>
    </row>
    <row r="90" spans="2:14" ht="14.25">
      <c r="B90" s="464"/>
      <c r="C90" s="465"/>
      <c r="D90" s="465"/>
      <c r="E90" s="465"/>
      <c r="F90" s="466"/>
      <c r="G90" s="467"/>
      <c r="H90" s="467"/>
      <c r="I90" s="467"/>
      <c r="J90" s="468"/>
      <c r="K90" s="409"/>
      <c r="L90" s="394"/>
      <c r="M90" s="394"/>
      <c r="N90" s="394"/>
    </row>
    <row r="91" spans="1:14" ht="14.25">
      <c r="A91" s="482">
        <f>A89+1</f>
        <v>28</v>
      </c>
      <c r="B91" s="469" t="s">
        <v>89</v>
      </c>
      <c r="C91" s="462"/>
      <c r="D91" s="470">
        <f>SUM(D78:D89)</f>
        <v>0</v>
      </c>
      <c r="E91" s="462"/>
      <c r="F91" s="466" t="s">
        <v>120</v>
      </c>
      <c r="G91" s="467"/>
      <c r="H91" s="470"/>
      <c r="I91" s="470">
        <f>SUM(I78:I89)</f>
        <v>0</v>
      </c>
      <c r="J91" s="433"/>
      <c r="K91" s="394"/>
      <c r="L91" s="630"/>
      <c r="M91" s="292"/>
      <c r="N91" s="409"/>
    </row>
    <row r="92" spans="1:14" ht="14.25">
      <c r="A92" s="482">
        <f>+A91+1</f>
        <v>29</v>
      </c>
      <c r="B92" s="469" t="s">
        <v>1022</v>
      </c>
      <c r="C92" s="462">
        <f>AVERAGE(C77:C89)</f>
        <v>0</v>
      </c>
      <c r="D92" s="432"/>
      <c r="E92" s="462">
        <f>AVERAGE(E77:E89)</f>
        <v>0</v>
      </c>
      <c r="F92" s="471" t="s">
        <v>1023</v>
      </c>
      <c r="G92" s="472"/>
      <c r="H92" s="631">
        <f>AVERAGE(H77:H89)</f>
        <v>0</v>
      </c>
      <c r="I92" s="473"/>
      <c r="J92" s="1086">
        <f>AVERAGE(J77:J89)</f>
        <v>0</v>
      </c>
      <c r="K92" s="394"/>
      <c r="L92" s="394"/>
      <c r="M92" s="409"/>
      <c r="N92" s="292"/>
    </row>
    <row r="93" spans="2:14" ht="12.75">
      <c r="B93" s="429"/>
      <c r="C93" s="415"/>
      <c r="D93" s="415"/>
      <c r="E93" s="415"/>
      <c r="J93" s="290"/>
      <c r="K93" s="292"/>
      <c r="L93" s="394"/>
      <c r="M93" s="394"/>
      <c r="N93" s="394"/>
    </row>
    <row r="94" spans="1:3" ht="14.25">
      <c r="A94" s="482"/>
      <c r="B94" s="389" t="s">
        <v>1562</v>
      </c>
      <c r="C94" s="448" t="s">
        <v>825</v>
      </c>
    </row>
    <row r="95" ht="12.75">
      <c r="C95" s="448"/>
    </row>
    <row r="96" ht="12.75">
      <c r="C96" s="448"/>
    </row>
  </sheetData>
  <sheetProtection/>
  <mergeCells count="4">
    <mergeCell ref="K55:N55"/>
    <mergeCell ref="C13:E13"/>
    <mergeCell ref="B55:E55"/>
    <mergeCell ref="G55:J55"/>
  </mergeCells>
  <printOptions/>
  <pageMargins left="0.54" right="0.46" top="0.83" bottom="1" header="0.5" footer="0.5"/>
  <pageSetup fitToHeight="3" horizontalDpi="600" verticalDpi="600" orientation="landscape" scale="43" r:id="rId1"/>
  <headerFooter alignWithMargins="0">
    <oddFooter>&amp;L&amp;D&amp;R&amp;F</oddFooter>
  </headerFooter>
  <rowBreaks count="1" manualBreakCount="1">
    <brk id="49" max="17" man="1"/>
  </rowBreaks>
</worksheet>
</file>

<file path=xl/worksheets/sheet22.xml><?xml version="1.0" encoding="utf-8"?>
<worksheet xmlns="http://schemas.openxmlformats.org/spreadsheetml/2006/main" xmlns:r="http://schemas.openxmlformats.org/officeDocument/2006/relationships">
  <sheetPr>
    <tabColor indexed="22"/>
    <pageSetUpPr fitToPage="1"/>
  </sheetPr>
  <dimension ref="A1:O65"/>
  <sheetViews>
    <sheetView zoomScale="50" zoomScaleNormal="50" zoomScalePageLayoutView="0" workbookViewId="0" topLeftCell="A1">
      <selection activeCell="B50" sqref="B50"/>
    </sheetView>
  </sheetViews>
  <sheetFormatPr defaultColWidth="8.88671875" defaultRowHeight="15"/>
  <cols>
    <col min="1" max="1" width="5.3359375" style="382" customWidth="1"/>
    <col min="2" max="2" width="49.6640625" style="382" customWidth="1"/>
    <col min="3" max="3" width="43.77734375" style="382" customWidth="1"/>
    <col min="4" max="4" width="14.99609375" style="382" customWidth="1"/>
    <col min="5" max="6" width="14.5546875" style="382" customWidth="1"/>
    <col min="7" max="7" width="19.21484375" style="382" bestFit="1" customWidth="1"/>
    <col min="8" max="8" width="19.5546875" style="382" bestFit="1" customWidth="1"/>
    <col min="9" max="9" width="3.21484375" style="382" customWidth="1"/>
    <col min="10" max="10" width="13.6640625" style="382" customWidth="1"/>
    <col min="11" max="11" width="11.21484375" style="382" customWidth="1"/>
    <col min="12" max="12" width="3.21484375" style="382" customWidth="1"/>
    <col min="13" max="13" width="14.3359375" style="382" customWidth="1"/>
    <col min="14" max="14" width="13.4453125" style="382" customWidth="1"/>
    <col min="15" max="15" width="14.4453125" style="382" bestFit="1" customWidth="1"/>
    <col min="16" max="16" width="13.21484375" style="382" customWidth="1"/>
    <col min="17" max="16384" width="8.88671875" style="382" customWidth="1"/>
  </cols>
  <sheetData>
    <row r="1" spans="1:2" ht="20.25">
      <c r="A1" s="244"/>
      <c r="B1" s="96" t="s">
        <v>169</v>
      </c>
    </row>
    <row r="2" ht="15">
      <c r="B2" s="154" t="str">
        <f>+'P-1 (Trans Plant)'!B51</f>
        <v>For the 12 months ended - December 31, 20xx</v>
      </c>
    </row>
    <row r="3" ht="20.25">
      <c r="B3" s="96"/>
    </row>
    <row r="4" ht="20.25">
      <c r="B4" s="96"/>
    </row>
    <row r="5" spans="2:8" s="685" customFormat="1" ht="20.25">
      <c r="B5" s="634"/>
      <c r="D5" s="246"/>
      <c r="E5" s="246"/>
      <c r="F5" s="246"/>
      <c r="G5" s="246"/>
      <c r="H5" s="246"/>
    </row>
    <row r="6" spans="2:8" ht="15">
      <c r="B6" s="635" t="s">
        <v>1121</v>
      </c>
      <c r="C6" s="635" t="s">
        <v>1122</v>
      </c>
      <c r="D6" s="635" t="s">
        <v>1147</v>
      </c>
      <c r="E6" s="635" t="s">
        <v>1148</v>
      </c>
      <c r="F6" s="635" t="s">
        <v>1149</v>
      </c>
      <c r="G6" s="635" t="s">
        <v>1355</v>
      </c>
      <c r="H6" s="635" t="s">
        <v>1357</v>
      </c>
    </row>
    <row r="7" spans="2:15" ht="15.75">
      <c r="B7" s="241"/>
      <c r="C7" s="685"/>
      <c r="D7" s="1016"/>
      <c r="E7" s="1016"/>
      <c r="F7" s="1016"/>
      <c r="G7" s="246" t="s">
        <v>434</v>
      </c>
      <c r="H7" s="1016"/>
      <c r="I7" s="685"/>
      <c r="J7" s="685"/>
      <c r="K7" s="685"/>
      <c r="L7" s="685"/>
      <c r="M7" s="685"/>
      <c r="N7" s="685"/>
      <c r="O7" s="685"/>
    </row>
    <row r="8" spans="2:15" ht="15.75">
      <c r="B8" s="241"/>
      <c r="C8" s="685"/>
      <c r="D8" s="675" t="s">
        <v>28</v>
      </c>
      <c r="E8" s="675" t="s">
        <v>29</v>
      </c>
      <c r="F8" s="241"/>
      <c r="G8" s="246" t="s">
        <v>438</v>
      </c>
      <c r="H8" s="1016"/>
      <c r="I8" s="685"/>
      <c r="J8" s="685"/>
      <c r="K8" s="685"/>
      <c r="L8" s="685"/>
      <c r="M8" s="685"/>
      <c r="N8" s="685"/>
      <c r="O8" s="685"/>
    </row>
    <row r="9" spans="2:15" ht="15.75">
      <c r="B9" s="241"/>
      <c r="C9" s="685"/>
      <c r="D9" s="675" t="s">
        <v>436</v>
      </c>
      <c r="E9" s="675" t="s">
        <v>436</v>
      </c>
      <c r="F9" s="675" t="s">
        <v>1106</v>
      </c>
      <c r="G9" s="246" t="s">
        <v>439</v>
      </c>
      <c r="H9" s="246" t="s">
        <v>119</v>
      </c>
      <c r="I9" s="685"/>
      <c r="J9" s="685"/>
      <c r="K9" s="685"/>
      <c r="L9" s="685"/>
      <c r="M9" s="685"/>
      <c r="N9" s="685"/>
      <c r="O9" s="685"/>
    </row>
    <row r="10" spans="1:15" ht="16.5" thickBot="1">
      <c r="A10" s="1017" t="s">
        <v>1101</v>
      </c>
      <c r="B10" s="1017"/>
      <c r="C10" s="1017"/>
      <c r="D10" s="1018" t="s">
        <v>435</v>
      </c>
      <c r="E10" s="1018" t="s">
        <v>435</v>
      </c>
      <c r="F10" s="1018" t="s">
        <v>435</v>
      </c>
      <c r="G10" s="1019" t="s">
        <v>117</v>
      </c>
      <c r="H10" s="1018" t="s">
        <v>435</v>
      </c>
      <c r="I10" s="685"/>
      <c r="J10" s="685"/>
      <c r="K10" s="685"/>
      <c r="L10" s="685"/>
      <c r="M10" s="685"/>
      <c r="N10" s="685"/>
      <c r="O10" s="685"/>
    </row>
    <row r="11" spans="3:15" ht="15">
      <c r="C11" s="685"/>
      <c r="D11" s="685"/>
      <c r="E11" s="685"/>
      <c r="F11" s="685"/>
      <c r="G11" s="685" t="s">
        <v>751</v>
      </c>
      <c r="H11" s="685" t="s">
        <v>752</v>
      </c>
      <c r="I11" s="685"/>
      <c r="J11" s="685"/>
      <c r="K11" s="685"/>
      <c r="L11" s="685"/>
      <c r="M11" s="685"/>
      <c r="N11" s="685"/>
      <c r="O11" s="685"/>
    </row>
    <row r="12" spans="1:15" ht="15">
      <c r="A12" s="1020">
        <v>1</v>
      </c>
      <c r="B12" s="382" t="s">
        <v>1188</v>
      </c>
      <c r="C12" s="1021" t="s">
        <v>1645</v>
      </c>
      <c r="E12" s="1022"/>
      <c r="F12" s="1023">
        <f>'Actual Gross Rev'!L40</f>
        <v>558138634.4254977</v>
      </c>
      <c r="G12" s="1024"/>
      <c r="I12" s="685"/>
      <c r="J12" s="1022"/>
      <c r="K12" s="685"/>
      <c r="L12" s="685"/>
      <c r="M12" s="685"/>
      <c r="N12" s="685"/>
      <c r="O12" s="685"/>
    </row>
    <row r="13" spans="1:8" ht="15">
      <c r="A13" s="1025">
        <v>2</v>
      </c>
      <c r="B13" s="382" t="s">
        <v>1073</v>
      </c>
      <c r="C13" s="382" t="s">
        <v>1644</v>
      </c>
      <c r="H13" s="1026">
        <f>'Projected Gross Rev Req'!L31</f>
        <v>8151716.565708191</v>
      </c>
    </row>
    <row r="14" ht="15">
      <c r="A14" s="1027"/>
    </row>
    <row r="15" spans="1:2" ht="15.75">
      <c r="A15" s="1027"/>
      <c r="B15" s="241" t="s">
        <v>437</v>
      </c>
    </row>
    <row r="16" spans="1:11" ht="15">
      <c r="A16" s="1027">
        <f>A13+1</f>
        <v>3</v>
      </c>
      <c r="B16" s="154" t="s">
        <v>33</v>
      </c>
      <c r="C16" s="418" t="s">
        <v>1132</v>
      </c>
      <c r="D16" s="642">
        <f>'Actual Gross Rev'!E73</f>
        <v>14232812</v>
      </c>
      <c r="E16" s="642">
        <f>'Actual Gross Rev'!F73</f>
        <v>12837507</v>
      </c>
      <c r="F16" s="225">
        <f aca="true" t="shared" si="0" ref="F16:F29">D16+E16</f>
        <v>27070319</v>
      </c>
      <c r="G16" s="1028">
        <f>IF(F$12=0,0,F16/F$12)</f>
        <v>0.048501066456121567</v>
      </c>
      <c r="H16" s="1029">
        <f>G16*H$13</f>
        <v>395366.94688488</v>
      </c>
      <c r="I16" s="418"/>
      <c r="J16" s="203"/>
      <c r="K16" s="378"/>
    </row>
    <row r="17" spans="1:11" ht="15">
      <c r="A17" s="1027">
        <f aca="true" t="shared" si="1" ref="A17:A22">+A16+1</f>
        <v>4</v>
      </c>
      <c r="B17" s="154" t="s">
        <v>1759</v>
      </c>
      <c r="C17" s="418" t="s">
        <v>1123</v>
      </c>
      <c r="D17" s="646">
        <f>'Actual Gross Rev'!E74</f>
        <v>1075573</v>
      </c>
      <c r="E17" s="650">
        <f>'Actual Gross Rev'!F74</f>
        <v>878834</v>
      </c>
      <c r="F17" s="225">
        <f t="shared" si="0"/>
        <v>1954407</v>
      </c>
      <c r="G17" s="1028">
        <f>IF(F$12=0,0,F17/F$12)</f>
        <v>0.0035016515242878806</v>
      </c>
      <c r="H17" s="1029">
        <f aca="true" t="shared" si="2" ref="H17:H29">G17*H$13</f>
        <v>28544.470737874854</v>
      </c>
      <c r="I17" s="418"/>
      <c r="J17" s="15"/>
      <c r="K17" s="1030"/>
    </row>
    <row r="18" spans="1:11" ht="15">
      <c r="A18" s="1027">
        <f t="shared" si="1"/>
        <v>5</v>
      </c>
      <c r="B18" s="2" t="s">
        <v>1758</v>
      </c>
      <c r="C18" s="418" t="s">
        <v>1133</v>
      </c>
      <c r="D18" s="646">
        <f>'Actual Gross Rev'!E75</f>
        <v>3112122</v>
      </c>
      <c r="E18" s="650">
        <f>'Actual Gross Rev'!F75</f>
        <v>3100171</v>
      </c>
      <c r="F18" s="225">
        <f t="shared" si="0"/>
        <v>6212293</v>
      </c>
      <c r="G18" s="1028">
        <f>IF(F$12=0,0,F18/F$12)</f>
        <v>0.011130376248536222</v>
      </c>
      <c r="H18" s="1029">
        <f t="shared" si="2"/>
        <v>90731.67244775771</v>
      </c>
      <c r="I18" s="418"/>
      <c r="J18" s="15"/>
      <c r="K18" s="1030"/>
    </row>
    <row r="19" spans="1:11" ht="15">
      <c r="A19" s="1027">
        <f t="shared" si="1"/>
        <v>6</v>
      </c>
      <c r="B19" s="2" t="s">
        <v>1358</v>
      </c>
      <c r="C19" s="418" t="s">
        <v>1124</v>
      </c>
      <c r="D19" s="646">
        <f>'Actual Gross Rev'!E76</f>
        <v>74106631</v>
      </c>
      <c r="E19" s="650">
        <f>'Actual Gross Rev'!F76</f>
        <v>82347807</v>
      </c>
      <c r="F19" s="225">
        <f t="shared" si="0"/>
        <v>156454438</v>
      </c>
      <c r="G19" s="1028">
        <f>IF(F$12=0,0,F19/F$12)</f>
        <v>0.28031465365417935</v>
      </c>
      <c r="H19" s="1029">
        <f t="shared" si="2"/>
        <v>2285045.605803528</v>
      </c>
      <c r="I19" s="418"/>
      <c r="J19" s="15"/>
      <c r="K19" s="1030"/>
    </row>
    <row r="20" spans="1:11" ht="15">
      <c r="A20" s="1027">
        <f t="shared" si="1"/>
        <v>7</v>
      </c>
      <c r="B20" s="31" t="s">
        <v>695</v>
      </c>
      <c r="C20" s="418" t="s">
        <v>261</v>
      </c>
      <c r="D20" s="646">
        <f>'Actual Gross Rev'!E77</f>
        <v>8198784</v>
      </c>
      <c r="E20" s="650">
        <f>'Actual Gross Rev'!F77</f>
        <v>5488718</v>
      </c>
      <c r="F20" s="225">
        <f t="shared" si="0"/>
        <v>13687502</v>
      </c>
      <c r="G20" s="1028"/>
      <c r="H20" s="1029">
        <f>F20</f>
        <v>13687502</v>
      </c>
      <c r="I20" s="418"/>
      <c r="J20" s="15"/>
      <c r="K20" s="232"/>
    </row>
    <row r="21" spans="1:11" ht="15">
      <c r="A21" s="1027">
        <f t="shared" si="1"/>
        <v>8</v>
      </c>
      <c r="B21" s="31" t="s">
        <v>696</v>
      </c>
      <c r="C21" s="418" t="s">
        <v>1125</v>
      </c>
      <c r="D21" s="646">
        <f>'Actual Gross Rev'!E78</f>
        <v>9697558</v>
      </c>
      <c r="E21" s="646">
        <f>'Actual Gross Rev'!F78</f>
        <v>6642051</v>
      </c>
      <c r="F21" s="225">
        <f t="shared" si="0"/>
        <v>16339609</v>
      </c>
      <c r="G21" s="1028"/>
      <c r="H21" s="1029">
        <f>F21</f>
        <v>16339609</v>
      </c>
      <c r="I21" s="418"/>
      <c r="J21" s="15"/>
      <c r="K21" s="232"/>
    </row>
    <row r="22" spans="1:11" ht="15">
      <c r="A22" s="1027">
        <f t="shared" si="1"/>
        <v>9</v>
      </c>
      <c r="B22" s="31" t="s">
        <v>1292</v>
      </c>
      <c r="C22" s="418" t="s">
        <v>1126</v>
      </c>
      <c r="D22" s="646">
        <f>'Actual Gross Rev'!E79</f>
        <v>0</v>
      </c>
      <c r="E22" s="650">
        <f>'Actual Gross Rev'!F79</f>
        <v>0</v>
      </c>
      <c r="F22" s="225">
        <f t="shared" si="0"/>
        <v>0</v>
      </c>
      <c r="G22" s="1028">
        <f aca="true" t="shared" si="3" ref="G22:G29">IF(F$12=0,0,F22/F$12)</f>
        <v>0</v>
      </c>
      <c r="H22" s="1029">
        <f t="shared" si="2"/>
        <v>0</v>
      </c>
      <c r="I22" s="418"/>
      <c r="J22" s="15"/>
      <c r="K22" s="232"/>
    </row>
    <row r="23" spans="1:11" ht="15">
      <c r="A23" s="1027">
        <f aca="true" t="shared" si="4" ref="A23:A29">+A22+1</f>
        <v>10</v>
      </c>
      <c r="B23" s="31" t="s">
        <v>697</v>
      </c>
      <c r="C23" s="418" t="s">
        <v>1127</v>
      </c>
      <c r="D23" s="646">
        <f>'Actual Gross Rev'!E80</f>
        <v>0</v>
      </c>
      <c r="E23" s="650">
        <f>'Actual Gross Rev'!F80</f>
        <v>0</v>
      </c>
      <c r="F23" s="225">
        <f t="shared" si="0"/>
        <v>0</v>
      </c>
      <c r="G23" s="1028">
        <f t="shared" si="3"/>
        <v>0</v>
      </c>
      <c r="H23" s="1029">
        <f t="shared" si="2"/>
        <v>0</v>
      </c>
      <c r="I23" s="418"/>
      <c r="J23" s="15"/>
      <c r="K23" s="1030"/>
    </row>
    <row r="24" spans="1:11" ht="15">
      <c r="A24" s="1027">
        <f t="shared" si="4"/>
        <v>11</v>
      </c>
      <c r="B24" s="31" t="s">
        <v>408</v>
      </c>
      <c r="C24" s="418" t="s">
        <v>1739</v>
      </c>
      <c r="D24" s="646">
        <f>'Actual Gross Rev'!E81</f>
        <v>922942</v>
      </c>
      <c r="E24" s="650">
        <f>'Actual Gross Rev'!F81</f>
        <v>621481</v>
      </c>
      <c r="F24" s="225">
        <f t="shared" si="0"/>
        <v>1544423</v>
      </c>
      <c r="G24" s="1028">
        <f t="shared" si="3"/>
        <v>0.002767095672546845</v>
      </c>
      <c r="H24" s="1029">
        <f t="shared" si="2"/>
        <v>22556.579632799563</v>
      </c>
      <c r="I24" s="418"/>
      <c r="J24" s="15"/>
      <c r="K24" s="1030"/>
    </row>
    <row r="25" spans="1:11" ht="15">
      <c r="A25" s="1027">
        <f t="shared" si="4"/>
        <v>12</v>
      </c>
      <c r="B25" s="31" t="s">
        <v>407</v>
      </c>
      <c r="C25" s="418" t="s">
        <v>1740</v>
      </c>
      <c r="D25" s="646">
        <f>'Actual Gross Rev'!E82</f>
        <v>2715217</v>
      </c>
      <c r="E25" s="650">
        <f>'Actual Gross Rev'!F82</f>
        <v>2080491</v>
      </c>
      <c r="F25" s="225">
        <f t="shared" si="0"/>
        <v>4795708</v>
      </c>
      <c r="G25" s="1028">
        <f t="shared" si="3"/>
        <v>0.008592324028843319</v>
      </c>
      <c r="H25" s="1029">
        <f t="shared" si="2"/>
        <v>70042.19012385463</v>
      </c>
      <c r="I25" s="418"/>
      <c r="J25" s="15"/>
      <c r="K25" s="1030"/>
    </row>
    <row r="26" spans="1:11" ht="15">
      <c r="A26" s="1027">
        <f t="shared" si="4"/>
        <v>13</v>
      </c>
      <c r="B26" s="31" t="s">
        <v>1768</v>
      </c>
      <c r="C26" s="418" t="s">
        <v>1128</v>
      </c>
      <c r="D26" s="646">
        <f>'Actual Gross Rev'!E83</f>
        <v>490616</v>
      </c>
      <c r="E26" s="650">
        <f>'Actual Gross Rev'!F83</f>
        <v>302843</v>
      </c>
      <c r="F26" s="225">
        <f t="shared" si="0"/>
        <v>793459</v>
      </c>
      <c r="G26" s="1028">
        <f t="shared" si="3"/>
        <v>0.0014216163351901305</v>
      </c>
      <c r="H26" s="1029">
        <f t="shared" si="2"/>
        <v>11588.613429650755</v>
      </c>
      <c r="I26" s="418"/>
      <c r="J26" s="15"/>
      <c r="K26" s="1030"/>
    </row>
    <row r="27" spans="1:11" ht="15">
      <c r="A27" s="1027">
        <f t="shared" si="4"/>
        <v>14</v>
      </c>
      <c r="B27" s="31" t="s">
        <v>698</v>
      </c>
      <c r="C27" s="418" t="s">
        <v>1129</v>
      </c>
      <c r="D27" s="646">
        <f>'Actual Gross Rev'!E84</f>
        <v>194514</v>
      </c>
      <c r="E27" s="650">
        <f>'Actual Gross Rev'!F84</f>
        <v>130054</v>
      </c>
      <c r="F27" s="225">
        <f t="shared" si="0"/>
        <v>324568</v>
      </c>
      <c r="G27" s="1028">
        <f t="shared" si="3"/>
        <v>0.0005815186048428341</v>
      </c>
      <c r="H27" s="1029">
        <f t="shared" si="2"/>
        <v>4740.3748443648465</v>
      </c>
      <c r="I27" s="418"/>
      <c r="J27" s="15"/>
      <c r="K27" s="232"/>
    </row>
    <row r="28" spans="1:11" ht="15">
      <c r="A28" s="1027">
        <f t="shared" si="4"/>
        <v>15</v>
      </c>
      <c r="B28" s="31" t="s">
        <v>1283</v>
      </c>
      <c r="C28" s="418" t="s">
        <v>1130</v>
      </c>
      <c r="D28" s="646">
        <f>'Actual Gross Rev'!E85</f>
        <v>0</v>
      </c>
      <c r="E28" s="650">
        <f>'Actual Gross Rev'!F85</f>
        <v>0</v>
      </c>
      <c r="F28" s="225">
        <f t="shared" si="0"/>
        <v>0</v>
      </c>
      <c r="G28" s="1028">
        <f t="shared" si="3"/>
        <v>0</v>
      </c>
      <c r="H28" s="1029">
        <f t="shared" si="2"/>
        <v>0</v>
      </c>
      <c r="I28" s="418"/>
      <c r="J28" s="15"/>
      <c r="K28" s="232"/>
    </row>
    <row r="29" spans="1:11" ht="15">
      <c r="A29" s="1027">
        <f t="shared" si="4"/>
        <v>16</v>
      </c>
      <c r="B29" s="31" t="s">
        <v>1293</v>
      </c>
      <c r="C29" s="418" t="s">
        <v>1131</v>
      </c>
      <c r="D29" s="1031">
        <f>'Actual Gross Rev'!E86</f>
        <v>0</v>
      </c>
      <c r="E29" s="1032">
        <f>'Actual Gross Rev'!F86</f>
        <v>0</v>
      </c>
      <c r="F29" s="1033">
        <f t="shared" si="0"/>
        <v>0</v>
      </c>
      <c r="G29" s="1028">
        <f t="shared" si="3"/>
        <v>0</v>
      </c>
      <c r="H29" s="1034">
        <f t="shared" si="2"/>
        <v>0</v>
      </c>
      <c r="I29" s="418"/>
      <c r="J29" s="15"/>
      <c r="K29" s="232"/>
    </row>
    <row r="30" spans="1:11" ht="15">
      <c r="A30" s="1027">
        <v>17</v>
      </c>
      <c r="B30" s="31" t="s">
        <v>376</v>
      </c>
      <c r="C30" s="418" t="s">
        <v>377</v>
      </c>
      <c r="D30" s="231">
        <f>+D16-D17-D18+D19-D20+D21-D22-D23+D28+D29+D26-D24-D25+D27</f>
        <v>82697493</v>
      </c>
      <c r="E30" s="231">
        <f>+E16-E17-E18+E19-E20+E21-E22-E23+E28+E29+E26-E24-E25+E27</f>
        <v>90090567</v>
      </c>
      <c r="F30" s="231">
        <f>+F16-F17-F18+F19-F20+F21-F22-F23+F28+F29+F26-F24-F25+F27</f>
        <v>172788060</v>
      </c>
      <c r="H30" s="230">
        <f>+H16-H17-H18+H19-H20+H21-H22-H23+H28+H29+H26-H24-H25+H27</f>
        <v>5136973.628020137</v>
      </c>
      <c r="I30" s="418"/>
      <c r="J30" s="378"/>
      <c r="K30" s="378"/>
    </row>
    <row r="31" spans="1:6" ht="15">
      <c r="A31" s="1027"/>
      <c r="D31" s="418"/>
      <c r="E31" s="418"/>
      <c r="F31" s="418"/>
    </row>
    <row r="32" spans="1:6" ht="15.75">
      <c r="A32" s="1027"/>
      <c r="B32" s="241" t="s">
        <v>440</v>
      </c>
      <c r="D32" s="418"/>
      <c r="E32" s="418"/>
      <c r="F32" s="418"/>
    </row>
    <row r="33" spans="1:6" ht="15.75">
      <c r="A33" s="1027"/>
      <c r="B33" s="2" t="s">
        <v>1295</v>
      </c>
      <c r="C33" s="38"/>
      <c r="D33" s="418"/>
      <c r="E33" s="418"/>
      <c r="F33" s="418"/>
    </row>
    <row r="34" spans="1:8" ht="15">
      <c r="A34" s="1027">
        <v>18</v>
      </c>
      <c r="B34" s="2" t="s">
        <v>1296</v>
      </c>
      <c r="C34" s="418" t="s">
        <v>262</v>
      </c>
      <c r="D34" s="1035">
        <f>'Actual Gross Rev'!E99</f>
        <v>5031187</v>
      </c>
      <c r="E34" s="1035">
        <f>'Actual Gross Rev'!F99</f>
        <v>5447334</v>
      </c>
      <c r="F34" s="225">
        <f aca="true" t="shared" si="5" ref="F34:F40">D34+E34</f>
        <v>10478521</v>
      </c>
      <c r="G34" s="1028">
        <f aca="true" t="shared" si="6" ref="G34:G40">IF(F$12=0,0,F34/F$12)</f>
        <v>0.018774047080230765</v>
      </c>
      <c r="H34" s="1029">
        <f>G34*H$13</f>
        <v>153040.71058930262</v>
      </c>
    </row>
    <row r="35" spans="1:8" ht="15">
      <c r="A35" s="1027">
        <f aca="true" t="shared" si="7" ref="A35:A40">+A34+1</f>
        <v>19</v>
      </c>
      <c r="B35" s="2" t="s">
        <v>1297</v>
      </c>
      <c r="C35" s="418" t="s">
        <v>1205</v>
      </c>
      <c r="D35" s="1036">
        <f>'Actual Gross Rev'!E100</f>
        <v>0</v>
      </c>
      <c r="E35" s="646">
        <f>'Actual Gross Rev'!F100</f>
        <v>0</v>
      </c>
      <c r="F35" s="225">
        <f t="shared" si="5"/>
        <v>0</v>
      </c>
      <c r="G35" s="1028">
        <f t="shared" si="6"/>
        <v>0</v>
      </c>
      <c r="H35" s="1029">
        <f aca="true" t="shared" si="8" ref="H35:H40">G35*H$13</f>
        <v>0</v>
      </c>
    </row>
    <row r="36" spans="1:8" ht="15">
      <c r="A36" s="1027"/>
      <c r="B36" s="2" t="s">
        <v>1298</v>
      </c>
      <c r="C36" s="17" t="s">
        <v>1100</v>
      </c>
      <c r="D36" s="243"/>
      <c r="E36" s="226"/>
      <c r="F36" s="225">
        <f t="shared" si="5"/>
        <v>0</v>
      </c>
      <c r="G36" s="1028">
        <f t="shared" si="6"/>
        <v>0</v>
      </c>
      <c r="H36" s="1029">
        <f t="shared" si="8"/>
        <v>0</v>
      </c>
    </row>
    <row r="37" spans="1:8" ht="15">
      <c r="A37" s="1027">
        <f>+A35+1</f>
        <v>20</v>
      </c>
      <c r="B37" s="2" t="s">
        <v>1683</v>
      </c>
      <c r="C37" s="418" t="s">
        <v>1206</v>
      </c>
      <c r="D37" s="1036">
        <f>'Actual Gross Rev'!E102</f>
        <v>44976825</v>
      </c>
      <c r="E37" s="646">
        <f>'Actual Gross Rev'!F102</f>
        <v>29109226</v>
      </c>
      <c r="F37" s="225">
        <f t="shared" si="5"/>
        <v>74086051</v>
      </c>
      <c r="G37" s="1028">
        <f t="shared" si="6"/>
        <v>0.13273772219021915</v>
      </c>
      <c r="H37" s="1029">
        <f t="shared" si="8"/>
        <v>1082040.2888723812</v>
      </c>
    </row>
    <row r="38" spans="1:8" ht="15">
      <c r="A38" s="1027">
        <f t="shared" si="7"/>
        <v>21</v>
      </c>
      <c r="B38" s="2" t="s">
        <v>1299</v>
      </c>
      <c r="C38" s="418" t="s">
        <v>748</v>
      </c>
      <c r="D38" s="1036">
        <f>'Actual Gross Rev'!E103</f>
        <v>0</v>
      </c>
      <c r="E38" s="646">
        <f>'Actual Gross Rev'!F103</f>
        <v>0</v>
      </c>
      <c r="F38" s="225">
        <f t="shared" si="5"/>
        <v>0</v>
      </c>
      <c r="G38" s="1028">
        <f t="shared" si="6"/>
        <v>0</v>
      </c>
      <c r="H38" s="1029">
        <f t="shared" si="8"/>
        <v>0</v>
      </c>
    </row>
    <row r="39" spans="1:8" ht="15">
      <c r="A39" s="1027">
        <f t="shared" si="7"/>
        <v>22</v>
      </c>
      <c r="B39" s="2" t="s">
        <v>34</v>
      </c>
      <c r="C39" s="418" t="s">
        <v>749</v>
      </c>
      <c r="D39" s="1036">
        <f>'Actual Gross Rev'!E104</f>
        <v>-533204</v>
      </c>
      <c r="E39" s="646">
        <f>'Actual Gross Rev'!F104</f>
        <v>-218929</v>
      </c>
      <c r="F39" s="225">
        <f t="shared" si="5"/>
        <v>-752133</v>
      </c>
      <c r="G39" s="1028">
        <f t="shared" si="6"/>
        <v>-0.0013475737990690866</v>
      </c>
      <c r="H39" s="1029">
        <f t="shared" si="8"/>
        <v>-10985.039661385796</v>
      </c>
    </row>
    <row r="40" spans="1:8" ht="15">
      <c r="A40" s="1027">
        <f t="shared" si="7"/>
        <v>23</v>
      </c>
      <c r="B40" s="2" t="s">
        <v>1300</v>
      </c>
      <c r="C40" s="418" t="s">
        <v>750</v>
      </c>
      <c r="D40" s="1037">
        <f>'Actual Gross Rev'!E105</f>
        <v>0</v>
      </c>
      <c r="E40" s="1031">
        <f>'Actual Gross Rev'!F105</f>
        <v>0</v>
      </c>
      <c r="F40" s="1033">
        <f t="shared" si="5"/>
        <v>0</v>
      </c>
      <c r="G40" s="1028">
        <f t="shared" si="6"/>
        <v>0</v>
      </c>
      <c r="H40" s="1034">
        <f t="shared" si="8"/>
        <v>0</v>
      </c>
    </row>
    <row r="41" spans="1:8" ht="15">
      <c r="A41" s="1027" t="s">
        <v>43</v>
      </c>
      <c r="B41" s="2" t="s">
        <v>1106</v>
      </c>
      <c r="C41" s="418" t="s">
        <v>378</v>
      </c>
      <c r="D41" s="1029">
        <f>SUM(D34:D40)</f>
        <v>49474808</v>
      </c>
      <c r="E41" s="1038">
        <f>SUM(E34:E40)</f>
        <v>34337631</v>
      </c>
      <c r="F41" s="1038">
        <f>SUM(F34:F40)</f>
        <v>83812439</v>
      </c>
      <c r="H41" s="1038">
        <f>SUM(H34:H40)</f>
        <v>1224095.959800298</v>
      </c>
    </row>
    <row r="42" spans="1:8" ht="15">
      <c r="A42" s="1027"/>
      <c r="D42" s="1038"/>
      <c r="E42" s="1038"/>
      <c r="F42" s="1038"/>
      <c r="H42" s="1038"/>
    </row>
    <row r="43" spans="1:8" ht="15.75" thickBot="1">
      <c r="A43" s="1027"/>
      <c r="D43" s="1038"/>
      <c r="E43" s="1038"/>
      <c r="F43" s="1038"/>
      <c r="H43" s="1038"/>
    </row>
    <row r="44" spans="1:4" ht="16.5" thickBot="1">
      <c r="A44" s="1027"/>
      <c r="D44" s="633" t="s">
        <v>1688</v>
      </c>
    </row>
    <row r="45" spans="1:2" ht="15.75">
      <c r="A45" s="1027"/>
      <c r="B45" s="241" t="s">
        <v>1689</v>
      </c>
    </row>
    <row r="46" spans="1:4" ht="15">
      <c r="A46" s="1027">
        <f>+A40+1</f>
        <v>24</v>
      </c>
      <c r="B46" s="2" t="s">
        <v>1109</v>
      </c>
      <c r="C46" s="17"/>
      <c r="D46" s="227">
        <f>+'Actual Net Rev Req'!E16</f>
        <v>3631318.0047230404</v>
      </c>
    </row>
    <row r="47" spans="1:4" ht="15">
      <c r="A47" s="1027">
        <f>+A46+1</f>
        <v>25</v>
      </c>
      <c r="B47" s="1" t="s">
        <v>1798</v>
      </c>
      <c r="C47" s="1"/>
      <c r="D47" s="227">
        <f>+'Actual Net Rev Req'!E17</f>
        <v>14308414</v>
      </c>
    </row>
    <row r="48" spans="1:4" ht="15">
      <c r="A48" s="1027">
        <f>+A47+1</f>
        <v>26</v>
      </c>
      <c r="B48" s="18" t="s">
        <v>1561</v>
      </c>
      <c r="C48" s="4"/>
      <c r="D48" s="243">
        <v>0</v>
      </c>
    </row>
    <row r="49" spans="1:4" ht="15">
      <c r="A49" s="1027">
        <f>+A48+1</f>
        <v>27</v>
      </c>
      <c r="B49" s="18" t="s">
        <v>1687</v>
      </c>
      <c r="C49" s="4"/>
      <c r="D49" s="242">
        <v>0</v>
      </c>
    </row>
    <row r="50" spans="1:4" ht="15">
      <c r="A50" s="1027"/>
      <c r="D50" s="1038">
        <f>SUM(D46:D49)</f>
        <v>17939732.004723042</v>
      </c>
    </row>
    <row r="51" ht="15">
      <c r="A51" s="1027"/>
    </row>
    <row r="52" ht="15">
      <c r="A52" s="1027"/>
    </row>
    <row r="53" ht="15">
      <c r="A53" s="1027"/>
    </row>
    <row r="54" ht="15">
      <c r="A54" s="1027"/>
    </row>
    <row r="55" ht="15">
      <c r="A55" s="1027"/>
    </row>
    <row r="56" ht="15">
      <c r="A56" s="1027"/>
    </row>
    <row r="57" ht="15">
      <c r="A57" s="1027"/>
    </row>
    <row r="58" ht="15">
      <c r="A58" s="1027"/>
    </row>
    <row r="59" ht="15">
      <c r="A59" s="1027"/>
    </row>
    <row r="60" ht="15">
      <c r="A60" s="1027"/>
    </row>
    <row r="61" ht="15">
      <c r="A61" s="1027"/>
    </row>
    <row r="62" ht="15">
      <c r="A62" s="1027"/>
    </row>
    <row r="63" ht="15">
      <c r="A63" s="1027"/>
    </row>
    <row r="64" ht="15">
      <c r="A64" s="1027"/>
    </row>
    <row r="65" ht="15">
      <c r="A65" s="1027"/>
    </row>
  </sheetData>
  <sheetProtection/>
  <printOptions/>
  <pageMargins left="0.44" right="0.42" top="0.61" bottom="0.6" header="0.5" footer="0.5"/>
  <pageSetup fitToHeight="1" fitToWidth="1" horizontalDpi="600" verticalDpi="600" orientation="landscape" scale="60" r:id="rId1"/>
  <headerFooter alignWithMargins="0">
    <oddFooter>&amp;L&amp;D&amp;R&amp;F</oddFooter>
  </headerFooter>
</worksheet>
</file>

<file path=xl/worksheets/sheet23.xml><?xml version="1.0" encoding="utf-8"?>
<worksheet xmlns="http://schemas.openxmlformats.org/spreadsheetml/2006/main" xmlns:r="http://schemas.openxmlformats.org/officeDocument/2006/relationships">
  <sheetPr>
    <tabColor indexed="22"/>
    <pageSetUpPr fitToPage="1"/>
  </sheetPr>
  <dimension ref="A1:L26"/>
  <sheetViews>
    <sheetView zoomScale="50" zoomScaleNormal="50" zoomScalePageLayoutView="0" workbookViewId="0" topLeftCell="A1">
      <selection activeCell="F6" sqref="F6"/>
    </sheetView>
  </sheetViews>
  <sheetFormatPr defaultColWidth="8.88671875" defaultRowHeight="15"/>
  <cols>
    <col min="1" max="1" width="5.21484375" style="382" customWidth="1"/>
    <col min="2" max="2" width="15.10546875" style="382" customWidth="1"/>
    <col min="3" max="3" width="19.10546875" style="382" bestFit="1" customWidth="1"/>
    <col min="4" max="4" width="12.5546875" style="382" customWidth="1"/>
    <col min="5" max="5" width="1.2265625" style="382" customWidth="1"/>
    <col min="6" max="6" width="7.6640625" style="382" bestFit="1" customWidth="1"/>
    <col min="7" max="7" width="2.3359375" style="382" customWidth="1"/>
    <col min="8" max="8" width="6.77734375" style="382" customWidth="1"/>
    <col min="9" max="16384" width="8.88671875" style="382" customWidth="1"/>
  </cols>
  <sheetData>
    <row r="1" ht="20.25">
      <c r="A1" s="96" t="s">
        <v>1805</v>
      </c>
    </row>
    <row r="2" ht="15">
      <c r="A2" s="382" t="str">
        <f>+'P-2 (Exp. &amp; Rev. Credits)'!B2</f>
        <v>For the 12 months ended - December 31, 20xx</v>
      </c>
    </row>
    <row r="4" ht="15">
      <c r="A4" s="251" t="s">
        <v>1597</v>
      </c>
    </row>
    <row r="5" ht="15">
      <c r="A5" s="32"/>
    </row>
    <row r="6" spans="1:9" ht="15" customHeight="1">
      <c r="A6" s="253">
        <v>1</v>
      </c>
      <c r="B6" s="382" t="s">
        <v>175</v>
      </c>
      <c r="F6" s="1039"/>
      <c r="G6" s="382" t="s">
        <v>709</v>
      </c>
      <c r="H6" s="1039"/>
      <c r="I6" s="382" t="s">
        <v>174</v>
      </c>
    </row>
    <row r="8" spans="2:4" ht="15">
      <c r="B8" s="1040" t="s">
        <v>173</v>
      </c>
      <c r="C8" s="1041" t="s">
        <v>171</v>
      </c>
      <c r="D8" s="1040" t="s">
        <v>172</v>
      </c>
    </row>
    <row r="9" spans="2:4" ht="51">
      <c r="B9" s="54" t="s">
        <v>1488</v>
      </c>
      <c r="C9" s="54" t="s">
        <v>1763</v>
      </c>
      <c r="D9" s="54" t="s">
        <v>168</v>
      </c>
    </row>
    <row r="10" spans="1:4" ht="15">
      <c r="A10" s="253">
        <v>2</v>
      </c>
      <c r="B10" s="756" t="s">
        <v>1764</v>
      </c>
      <c r="C10" s="1042">
        <f>'A-2 (Divisor)'!N11</f>
        <v>0.6575291993662724</v>
      </c>
      <c r="D10" s="1043">
        <f>ROUND($H$6*C10,0)</f>
        <v>0</v>
      </c>
    </row>
    <row r="11" spans="1:4" ht="15">
      <c r="A11" s="253">
        <v>3</v>
      </c>
      <c r="B11" s="756" t="s">
        <v>1765</v>
      </c>
      <c r="C11" s="1042">
        <f>'A-2 (Divisor)'!N12</f>
        <v>0.6405806713090896</v>
      </c>
      <c r="D11" s="1043">
        <f aca="true" t="shared" si="0" ref="D11:D21">ROUND($H$6*C11,0)</f>
        <v>0</v>
      </c>
    </row>
    <row r="12" spans="1:4" ht="15">
      <c r="A12" s="253">
        <v>4</v>
      </c>
      <c r="B12" s="756" t="s">
        <v>1766</v>
      </c>
      <c r="C12" s="1042">
        <f>'A-2 (Divisor)'!N13</f>
        <v>0.6151578792233152</v>
      </c>
      <c r="D12" s="1043">
        <f t="shared" si="0"/>
        <v>0</v>
      </c>
    </row>
    <row r="13" spans="1:4" ht="15">
      <c r="A13" s="253">
        <v>5</v>
      </c>
      <c r="B13" s="756" t="s">
        <v>1767</v>
      </c>
      <c r="C13" s="1042">
        <f>'A-2 (Divisor)'!N14</f>
        <v>0.5779448067499355</v>
      </c>
      <c r="D13" s="1043">
        <f t="shared" si="0"/>
        <v>0</v>
      </c>
    </row>
    <row r="14" spans="1:4" ht="15">
      <c r="A14" s="253">
        <v>6</v>
      </c>
      <c r="B14" s="756" t="s">
        <v>30</v>
      </c>
      <c r="C14" s="1042">
        <f>'A-2 (Divisor)'!N15</f>
        <v>0.7512987730739471</v>
      </c>
      <c r="D14" s="1043">
        <f t="shared" si="0"/>
        <v>0</v>
      </c>
    </row>
    <row r="15" spans="1:4" ht="15">
      <c r="A15" s="253">
        <v>7</v>
      </c>
      <c r="B15" s="756" t="s">
        <v>161</v>
      </c>
      <c r="C15" s="1042">
        <f>'A-2 (Divisor)'!N16</f>
        <v>0.880807634206551</v>
      </c>
      <c r="D15" s="1043">
        <f t="shared" si="0"/>
        <v>0</v>
      </c>
    </row>
    <row r="16" spans="1:4" ht="15">
      <c r="A16" s="253">
        <v>8</v>
      </c>
      <c r="B16" s="756" t="s">
        <v>162</v>
      </c>
      <c r="C16" s="1042">
        <f>'A-2 (Divisor)'!N17</f>
        <v>0.946759515124719</v>
      </c>
      <c r="D16" s="1043">
        <f t="shared" si="0"/>
        <v>0</v>
      </c>
    </row>
    <row r="17" spans="1:4" ht="15">
      <c r="A17" s="253">
        <v>9</v>
      </c>
      <c r="B17" s="756" t="s">
        <v>163</v>
      </c>
      <c r="C17" s="1042">
        <f>'A-2 (Divisor)'!N18</f>
        <v>1</v>
      </c>
      <c r="D17" s="1043">
        <f t="shared" si="0"/>
        <v>0</v>
      </c>
    </row>
    <row r="18" spans="1:4" ht="15">
      <c r="A18" s="253">
        <v>10</v>
      </c>
      <c r="B18" s="756" t="s">
        <v>164</v>
      </c>
      <c r="C18" s="1042">
        <f>'A-2 (Divisor)'!N19</f>
        <v>0.7835378210088059</v>
      </c>
      <c r="D18" s="1043">
        <f t="shared" si="0"/>
        <v>0</v>
      </c>
    </row>
    <row r="19" spans="1:4" ht="15">
      <c r="A19" s="253">
        <v>11</v>
      </c>
      <c r="B19" s="756" t="s">
        <v>165</v>
      </c>
      <c r="C19" s="1042">
        <f>'A-2 (Divisor)'!N20</f>
        <v>0.5845768394679636</v>
      </c>
      <c r="D19" s="1043">
        <f t="shared" si="0"/>
        <v>0</v>
      </c>
    </row>
    <row r="20" spans="1:4" ht="15">
      <c r="A20" s="253">
        <v>12</v>
      </c>
      <c r="B20" s="756" t="s">
        <v>166</v>
      </c>
      <c r="C20" s="1042">
        <f>'A-2 (Divisor)'!N21</f>
        <v>0.5982093511661324</v>
      </c>
      <c r="D20" s="1043">
        <f t="shared" si="0"/>
        <v>0</v>
      </c>
    </row>
    <row r="21" spans="1:4" ht="15">
      <c r="A21" s="253">
        <v>13</v>
      </c>
      <c r="B21" s="756" t="s">
        <v>167</v>
      </c>
      <c r="C21" s="1042">
        <f>'A-2 (Divisor)'!N22</f>
        <v>0.7002689657713422</v>
      </c>
      <c r="D21" s="1043">
        <f t="shared" si="0"/>
        <v>0</v>
      </c>
    </row>
    <row r="22" spans="1:9" ht="15">
      <c r="A22" s="253">
        <v>14</v>
      </c>
      <c r="B22" s="765" t="s">
        <v>1106</v>
      </c>
      <c r="C22" s="755"/>
      <c r="D22" s="755">
        <f>SUM(D10:D21)</f>
        <v>0</v>
      </c>
      <c r="I22" s="1027"/>
    </row>
    <row r="23" spans="1:4" ht="15">
      <c r="A23" s="253">
        <v>15</v>
      </c>
      <c r="B23" s="765" t="s">
        <v>1611</v>
      </c>
      <c r="C23" s="755"/>
      <c r="D23" s="755">
        <f>D22/12</f>
        <v>0</v>
      </c>
    </row>
    <row r="26" spans="1:12" ht="35.25" customHeight="1">
      <c r="A26" s="1044" t="s">
        <v>761</v>
      </c>
      <c r="B26" s="1460" t="s">
        <v>1275</v>
      </c>
      <c r="C26" s="1460"/>
      <c r="D26" s="1460"/>
      <c r="E26" s="1460"/>
      <c r="F26" s="1460"/>
      <c r="G26" s="1460"/>
      <c r="H26" s="1460"/>
      <c r="I26" s="1460"/>
      <c r="J26" s="1460"/>
      <c r="K26" s="1460"/>
      <c r="L26" s="1460"/>
    </row>
  </sheetData>
  <sheetProtection/>
  <mergeCells count="1">
    <mergeCell ref="B26:L26"/>
  </mergeCells>
  <printOptions/>
  <pageMargins left="0.75" right="0.75" top="1" bottom="1" header="0.5" footer="0.5"/>
  <pageSetup fitToHeight="1" fitToWidth="1" horizontalDpi="600" verticalDpi="600" orientation="landscape" scale="96" r:id="rId1"/>
  <headerFooter alignWithMargins="0">
    <oddFooter>&amp;L&amp;D&amp;R&amp;F</oddFooter>
  </headerFooter>
</worksheet>
</file>

<file path=xl/worksheets/sheet24.xml><?xml version="1.0" encoding="utf-8"?>
<worksheet xmlns="http://schemas.openxmlformats.org/spreadsheetml/2006/main" xmlns:r="http://schemas.openxmlformats.org/officeDocument/2006/relationships">
  <sheetPr>
    <tabColor indexed="22"/>
  </sheetPr>
  <dimension ref="A1:BQ49"/>
  <sheetViews>
    <sheetView zoomScale="75" zoomScaleNormal="75" zoomScalePageLayoutView="0" workbookViewId="0" topLeftCell="A1">
      <selection activeCell="A17" sqref="A17"/>
    </sheetView>
  </sheetViews>
  <sheetFormatPr defaultColWidth="8.88671875" defaultRowHeight="15"/>
  <cols>
    <col min="1" max="1" width="5.4453125" style="389" bestFit="1" customWidth="1"/>
    <col min="2" max="2" width="10.4453125" style="389" customWidth="1"/>
    <col min="3" max="3" width="17.5546875" style="389" customWidth="1"/>
    <col min="4" max="4" width="13.4453125" style="389" customWidth="1"/>
    <col min="5" max="5" width="12.5546875" style="389" bestFit="1" customWidth="1"/>
    <col min="6" max="6" width="9.4453125" style="389" customWidth="1"/>
    <col min="7" max="7" width="14.10546875" style="389" bestFit="1" customWidth="1"/>
    <col min="8" max="8" width="11.77734375" style="389" bestFit="1" customWidth="1"/>
    <col min="9" max="9" width="12.88671875" style="389" customWidth="1"/>
    <col min="10" max="10" width="14.10546875" style="389" bestFit="1" customWidth="1"/>
    <col min="11" max="12" width="12.88671875" style="389" customWidth="1"/>
    <col min="13" max="13" width="14.10546875" style="389" bestFit="1" customWidth="1"/>
    <col min="14" max="14" width="11.5546875" style="389" customWidth="1"/>
    <col min="15" max="15" width="11.99609375" style="389" customWidth="1"/>
    <col min="16" max="16" width="14.10546875" style="389" bestFit="1" customWidth="1"/>
    <col min="17" max="17" width="11.77734375" style="389" customWidth="1"/>
    <col min="18" max="18" width="12.77734375" style="389" customWidth="1"/>
    <col min="19" max="19" width="4.10546875" style="389" customWidth="1"/>
    <col min="20" max="20" width="12.77734375" style="389" customWidth="1"/>
    <col min="21" max="21" width="14.10546875" style="389" bestFit="1" customWidth="1"/>
    <col min="22" max="22" width="11.88671875" style="389" customWidth="1"/>
    <col min="23" max="23" width="14.10546875" style="389" customWidth="1"/>
    <col min="24" max="24" width="14.10546875" style="389" bestFit="1" customWidth="1"/>
    <col min="25" max="25" width="11.88671875" style="389" customWidth="1"/>
    <col min="26" max="26" width="12.3359375" style="389" customWidth="1"/>
    <col min="27" max="27" width="14.10546875" style="389" bestFit="1" customWidth="1"/>
    <col min="28" max="28" width="11.88671875" style="389" customWidth="1"/>
    <col min="29" max="29" width="12.3359375" style="389" customWidth="1"/>
    <col min="30" max="30" width="14.10546875" style="389" bestFit="1" customWidth="1"/>
    <col min="31" max="31" width="11.88671875" style="389" customWidth="1"/>
    <col min="32" max="32" width="12.3359375" style="389" customWidth="1"/>
    <col min="33" max="33" width="14.10546875" style="389" bestFit="1" customWidth="1"/>
    <col min="34" max="34" width="11.88671875" style="389" customWidth="1"/>
    <col min="35" max="35" width="12.3359375" style="389" customWidth="1"/>
    <col min="36" max="36" width="3.10546875" style="389" bestFit="1" customWidth="1"/>
    <col min="37" max="37" width="12.3359375" style="389" customWidth="1"/>
    <col min="38" max="38" width="14.10546875" style="389" bestFit="1" customWidth="1"/>
    <col min="39" max="39" width="11.88671875" style="389" customWidth="1"/>
    <col min="40" max="40" width="12.3359375" style="389" customWidth="1"/>
    <col min="41" max="41" width="14.10546875" style="389" bestFit="1" customWidth="1"/>
    <col min="42" max="42" width="11.88671875" style="389" customWidth="1"/>
    <col min="43" max="43" width="12.3359375" style="389" customWidth="1"/>
    <col min="44" max="44" width="14.10546875" style="389" bestFit="1" customWidth="1"/>
    <col min="45" max="45" width="11.88671875" style="389" customWidth="1"/>
    <col min="46" max="46" width="12.3359375" style="389" customWidth="1"/>
    <col min="47" max="47" width="14.10546875" style="389" bestFit="1" customWidth="1"/>
    <col min="48" max="48" width="11.88671875" style="389" customWidth="1"/>
    <col min="49" max="49" width="12.3359375" style="389" customWidth="1"/>
    <col min="50" max="50" width="14.10546875" style="389" bestFit="1" customWidth="1"/>
    <col min="51" max="52" width="11.99609375" style="389" customWidth="1"/>
    <col min="53" max="53" width="3.10546875" style="389" bestFit="1" customWidth="1"/>
    <col min="54" max="54" width="11.99609375" style="389" customWidth="1"/>
    <col min="55" max="55" width="13.77734375" style="389" bestFit="1" customWidth="1"/>
    <col min="56" max="56" width="11.99609375" style="389" customWidth="1"/>
    <col min="57" max="57" width="11.4453125" style="389" customWidth="1"/>
    <col min="58" max="58" width="13.77734375" style="389" bestFit="1" customWidth="1"/>
    <col min="59" max="59" width="12.77734375" style="389" customWidth="1"/>
    <col min="60" max="60" width="11.4453125" style="389" customWidth="1"/>
    <col min="61" max="61" width="13.77734375" style="389" bestFit="1" customWidth="1"/>
    <col min="62" max="62" width="12.77734375" style="389" customWidth="1"/>
    <col min="63" max="63" width="11.4453125" style="389" customWidth="1"/>
    <col min="64" max="64" width="13.77734375" style="389" bestFit="1" customWidth="1"/>
    <col min="65" max="65" width="12.77734375" style="389" customWidth="1"/>
    <col min="66" max="66" width="11.4453125" style="389" customWidth="1"/>
    <col min="67" max="67" width="13.77734375" style="389" bestFit="1" customWidth="1"/>
    <col min="68" max="68" width="12.77734375" style="389" customWidth="1"/>
    <col min="69" max="69" width="11.4453125" style="389" customWidth="1"/>
    <col min="70" max="16384" width="8.88671875" style="389" customWidth="1"/>
  </cols>
  <sheetData>
    <row r="1" spans="1:69" ht="20.25">
      <c r="A1" s="295"/>
      <c r="B1" s="96" t="s">
        <v>641</v>
      </c>
      <c r="C1" s="295"/>
      <c r="D1" s="295"/>
      <c r="R1" s="389" t="s">
        <v>1279</v>
      </c>
      <c r="S1" s="295"/>
      <c r="T1" s="96" t="s">
        <v>641</v>
      </c>
      <c r="AI1" s="389" t="s">
        <v>1276</v>
      </c>
      <c r="AJ1" s="295"/>
      <c r="AK1" s="96" t="s">
        <v>641</v>
      </c>
      <c r="AZ1" s="389" t="s">
        <v>1277</v>
      </c>
      <c r="BA1" s="295"/>
      <c r="BB1" s="96" t="s">
        <v>641</v>
      </c>
      <c r="BQ1" s="389" t="s">
        <v>1278</v>
      </c>
    </row>
    <row r="2" spans="1:54" ht="18">
      <c r="A2" s="298"/>
      <c r="B2" s="1000" t="str">
        <f>+'Projected Gross Rev Req'!D4</f>
        <v>For the 12 months ended - December 31, 20xx</v>
      </c>
      <c r="C2" s="298"/>
      <c r="D2" s="298"/>
      <c r="S2" s="298"/>
      <c r="T2" s="1000" t="str">
        <f>B2</f>
        <v>For the 12 months ended - December 31, 20xx</v>
      </c>
      <c r="AJ2" s="298"/>
      <c r="AK2" s="1000" t="str">
        <f>$B2</f>
        <v>For the 12 months ended - December 31, 20xx</v>
      </c>
      <c r="BA2" s="298"/>
      <c r="BB2" s="1000" t="str">
        <f>$B2</f>
        <v>For the 12 months ended - December 31, 20xx</v>
      </c>
    </row>
    <row r="3" spans="1:54" ht="15">
      <c r="A3" s="154"/>
      <c r="B3" s="426"/>
      <c r="C3" s="383"/>
      <c r="D3" s="383"/>
      <c r="S3" s="154"/>
      <c r="T3" s="426"/>
      <c r="AJ3" s="154"/>
      <c r="AK3" s="426"/>
      <c r="BA3" s="154"/>
      <c r="BB3" s="426"/>
    </row>
    <row r="5" ht="12.75">
      <c r="H5" s="632"/>
    </row>
    <row r="6" spans="2:54" ht="12.75">
      <c r="B6" s="436" t="s">
        <v>642</v>
      </c>
      <c r="T6" s="436"/>
      <c r="AK6" s="436"/>
      <c r="BB6" s="436"/>
    </row>
    <row r="7" spans="1:69" ht="12.75">
      <c r="A7" s="390">
        <v>1</v>
      </c>
      <c r="B7" s="436" t="s">
        <v>92</v>
      </c>
      <c r="G7" s="392" t="s">
        <v>625</v>
      </c>
      <c r="H7" s="410"/>
      <c r="I7" s="410"/>
      <c r="J7" s="392" t="s">
        <v>625</v>
      </c>
      <c r="K7" s="410"/>
      <c r="L7" s="410"/>
      <c r="M7" s="392" t="s">
        <v>625</v>
      </c>
      <c r="N7" s="410"/>
      <c r="O7" s="419"/>
      <c r="P7" s="392" t="s">
        <v>625</v>
      </c>
      <c r="Q7" s="410"/>
      <c r="R7" s="419"/>
      <c r="S7" s="390">
        <v>1</v>
      </c>
      <c r="T7" s="436"/>
      <c r="U7" s="392" t="s">
        <v>625</v>
      </c>
      <c r="V7" s="410"/>
      <c r="W7" s="410"/>
      <c r="X7" s="392" t="s">
        <v>625</v>
      </c>
      <c r="Y7" s="410"/>
      <c r="Z7" s="419"/>
      <c r="AA7" s="392" t="s">
        <v>625</v>
      </c>
      <c r="AB7" s="410"/>
      <c r="AC7" s="419"/>
      <c r="AD7" s="392" t="s">
        <v>625</v>
      </c>
      <c r="AE7" s="410"/>
      <c r="AF7" s="419"/>
      <c r="AG7" s="392" t="s">
        <v>625</v>
      </c>
      <c r="AH7" s="410"/>
      <c r="AI7" s="419"/>
      <c r="AJ7" s="390">
        <v>1</v>
      </c>
      <c r="AK7" s="436"/>
      <c r="AL7" s="392" t="s">
        <v>625</v>
      </c>
      <c r="AM7" s="410"/>
      <c r="AN7" s="419"/>
      <c r="AO7" s="392" t="s">
        <v>625</v>
      </c>
      <c r="AP7" s="410"/>
      <c r="AQ7" s="419"/>
      <c r="AR7" s="392" t="s">
        <v>625</v>
      </c>
      <c r="AS7" s="410"/>
      <c r="AT7" s="419"/>
      <c r="AU7" s="392" t="s">
        <v>625</v>
      </c>
      <c r="AV7" s="410"/>
      <c r="AW7" s="419"/>
      <c r="AX7" s="392" t="s">
        <v>625</v>
      </c>
      <c r="AY7" s="410"/>
      <c r="AZ7" s="419"/>
      <c r="BA7" s="390">
        <v>1</v>
      </c>
      <c r="BB7" s="436"/>
      <c r="BC7" s="392" t="s">
        <v>625</v>
      </c>
      <c r="BD7" s="410"/>
      <c r="BE7" s="410"/>
      <c r="BF7" s="392" t="s">
        <v>625</v>
      </c>
      <c r="BG7" s="410"/>
      <c r="BH7" s="419"/>
      <c r="BI7" s="392" t="s">
        <v>625</v>
      </c>
      <c r="BJ7" s="410"/>
      <c r="BK7" s="419"/>
      <c r="BL7" s="392" t="s">
        <v>625</v>
      </c>
      <c r="BM7" s="410"/>
      <c r="BN7" s="419"/>
      <c r="BO7" s="392" t="s">
        <v>625</v>
      </c>
      <c r="BP7" s="410"/>
      <c r="BQ7" s="419"/>
    </row>
    <row r="8" spans="1:69" ht="106.5" customHeight="1">
      <c r="A8" s="390">
        <f>+A7+1</f>
        <v>2</v>
      </c>
      <c r="G8" s="408" t="s">
        <v>645</v>
      </c>
      <c r="H8" s="1304"/>
      <c r="I8" s="514"/>
      <c r="J8" s="408" t="s">
        <v>645</v>
      </c>
      <c r="K8" s="1304"/>
      <c r="L8" s="514"/>
      <c r="M8" s="408" t="s">
        <v>645</v>
      </c>
      <c r="N8" s="1304"/>
      <c r="O8" s="1305"/>
      <c r="P8" s="408" t="s">
        <v>645</v>
      </c>
      <c r="Q8" s="1304"/>
      <c r="R8" s="1305"/>
      <c r="S8" s="390">
        <f>+S7+1</f>
        <v>2</v>
      </c>
      <c r="U8" s="408" t="s">
        <v>645</v>
      </c>
      <c r="V8" s="1304"/>
      <c r="W8" s="514"/>
      <c r="X8" s="408" t="s">
        <v>645</v>
      </c>
      <c r="Y8" s="1304"/>
      <c r="Z8" s="1305"/>
      <c r="AA8" s="408" t="s">
        <v>645</v>
      </c>
      <c r="AB8" s="1304"/>
      <c r="AC8" s="1305"/>
      <c r="AD8" s="1307" t="s">
        <v>645</v>
      </c>
      <c r="AE8" s="1304"/>
      <c r="AF8" s="1308"/>
      <c r="AG8" s="408" t="s">
        <v>645</v>
      </c>
      <c r="AH8" s="1304"/>
      <c r="AI8" s="1308"/>
      <c r="AJ8" s="390">
        <f>+AJ7+1</f>
        <v>2</v>
      </c>
      <c r="AL8" s="408" t="s">
        <v>645</v>
      </c>
      <c r="AM8" s="1304"/>
      <c r="AN8" s="1308"/>
      <c r="AO8" s="408" t="s">
        <v>645</v>
      </c>
      <c r="AP8" s="1304"/>
      <c r="AQ8" s="1308"/>
      <c r="AR8" s="1307" t="s">
        <v>645</v>
      </c>
      <c r="AS8" s="1304"/>
      <c r="AT8" s="1308"/>
      <c r="AU8" s="408" t="s">
        <v>645</v>
      </c>
      <c r="AV8" s="1304"/>
      <c r="AW8" s="1308"/>
      <c r="AX8" s="408" t="s">
        <v>645</v>
      </c>
      <c r="AY8" s="1304"/>
      <c r="AZ8" s="1308"/>
      <c r="BA8" s="390">
        <f>+BA7+1</f>
        <v>2</v>
      </c>
      <c r="BC8" s="408" t="s">
        <v>645</v>
      </c>
      <c r="BD8" s="1304"/>
      <c r="BE8" s="1310"/>
      <c r="BF8" s="1307" t="s">
        <v>645</v>
      </c>
      <c r="BG8" s="1304"/>
      <c r="BH8" s="1308"/>
      <c r="BI8" s="408" t="s">
        <v>645</v>
      </c>
      <c r="BJ8" s="1304"/>
      <c r="BK8" s="1308"/>
      <c r="BL8" s="408" t="s">
        <v>645</v>
      </c>
      <c r="BM8" s="446"/>
      <c r="BN8" s="451"/>
      <c r="BO8" s="408" t="s">
        <v>645</v>
      </c>
      <c r="BP8" s="446"/>
      <c r="BQ8" s="451"/>
    </row>
    <row r="9" spans="1:69" ht="12.75">
      <c r="A9" s="390">
        <f>+A8+1</f>
        <v>3</v>
      </c>
      <c r="G9" s="393" t="s">
        <v>646</v>
      </c>
      <c r="H9" s="456">
        <f>IF('P-1 (Trans Plant)'!$H$92=0,0,ROUND('P-1 (Trans Plant)'!$I$91/'P-1 (Trans Plant)'!$H$92/12,6))</f>
        <v>0</v>
      </c>
      <c r="I9" s="394" t="s">
        <v>1165</v>
      </c>
      <c r="J9" s="393" t="s">
        <v>646</v>
      </c>
      <c r="K9" s="456">
        <f>IF('P-1 (Trans Plant)'!$H$92=0,0,ROUND('P-1 (Trans Plant)'!$I$91/'P-1 (Trans Plant)'!$H$92/12,6))</f>
        <v>0</v>
      </c>
      <c r="L9" s="394" t="s">
        <v>1165</v>
      </c>
      <c r="M9" s="393" t="s">
        <v>646</v>
      </c>
      <c r="N9" s="456">
        <f>IF('P-1 (Trans Plant)'!$H$92=0,0,ROUND('P-1 (Trans Plant)'!$I$91/'P-1 (Trans Plant)'!$H$92/12,6))</f>
        <v>0</v>
      </c>
      <c r="O9" s="394" t="s">
        <v>1165</v>
      </c>
      <c r="P9" s="393" t="s">
        <v>646</v>
      </c>
      <c r="Q9" s="456">
        <f>IF('P-1 (Trans Plant)'!$H$92=0,0,ROUND('P-1 (Trans Plant)'!$I$91/'P-1 (Trans Plant)'!$H$92/12,6))</f>
        <v>0</v>
      </c>
      <c r="R9" s="421" t="s">
        <v>1165</v>
      </c>
      <c r="S9" s="390">
        <f>+S8+1</f>
        <v>3</v>
      </c>
      <c r="U9" s="393" t="s">
        <v>646</v>
      </c>
      <c r="V9" s="456">
        <f>IF('P-1 (Trans Plant)'!$H$92=0,0,ROUND('P-1 (Trans Plant)'!$I$91/'P-1 (Trans Plant)'!$H$92/12,6))</f>
        <v>0</v>
      </c>
      <c r="W9" s="421" t="s">
        <v>1165</v>
      </c>
      <c r="X9" s="393" t="s">
        <v>646</v>
      </c>
      <c r="Y9" s="456">
        <f>IF('P-1 (Trans Plant)'!$H$92=0,0,ROUND('P-1 (Trans Plant)'!$I$91/'P-1 (Trans Plant)'!$H$92/12,6))</f>
        <v>0</v>
      </c>
      <c r="Z9" s="421" t="s">
        <v>1165</v>
      </c>
      <c r="AA9" s="393" t="s">
        <v>646</v>
      </c>
      <c r="AB9" s="456">
        <f>IF('P-1 (Trans Plant)'!$H$92=0,0,ROUND('P-1 (Trans Plant)'!$I$91/'P-1 (Trans Plant)'!$H$92/12,6))</f>
        <v>0</v>
      </c>
      <c r="AC9" s="421" t="s">
        <v>1165</v>
      </c>
      <c r="AD9" s="393" t="s">
        <v>646</v>
      </c>
      <c r="AE9" s="456">
        <f>IF('P-1 (Trans Plant)'!$H$92=0,0,ROUND('P-1 (Trans Plant)'!$I$91/'P-1 (Trans Plant)'!$H$92/12,6))</f>
        <v>0</v>
      </c>
      <c r="AF9" s="421" t="s">
        <v>1165</v>
      </c>
      <c r="AG9" s="393" t="s">
        <v>646</v>
      </c>
      <c r="AH9" s="456">
        <f>IF('P-1 (Trans Plant)'!$H$92=0,0,ROUND('P-1 (Trans Plant)'!$I$91/'P-1 (Trans Plant)'!$H$92/12,6))</f>
        <v>0</v>
      </c>
      <c r="AI9" s="421" t="s">
        <v>1165</v>
      </c>
      <c r="AJ9" s="390">
        <f>+AJ8+1</f>
        <v>3</v>
      </c>
      <c r="AL9" s="393" t="s">
        <v>646</v>
      </c>
      <c r="AM9" s="456">
        <f>IF('P-1 (Trans Plant)'!$H$92=0,0,ROUND('P-1 (Trans Plant)'!$I$91/'P-1 (Trans Plant)'!$H$92/12,6))</f>
        <v>0</v>
      </c>
      <c r="AN9" s="421" t="s">
        <v>1165</v>
      </c>
      <c r="AO9" s="393" t="s">
        <v>646</v>
      </c>
      <c r="AP9" s="456">
        <f>IF('P-1 (Trans Plant)'!$H$92=0,0,ROUND('P-1 (Trans Plant)'!$I$91/'P-1 (Trans Plant)'!$H$92/12,6))</f>
        <v>0</v>
      </c>
      <c r="AQ9" s="421" t="s">
        <v>1165</v>
      </c>
      <c r="AR9" s="393" t="s">
        <v>646</v>
      </c>
      <c r="AS9" s="456">
        <f>IF('P-1 (Trans Plant)'!$H$92=0,0,ROUND('P-1 (Trans Plant)'!$I$91/'P-1 (Trans Plant)'!$H$92/12,6))</f>
        <v>0</v>
      </c>
      <c r="AT9" s="421" t="s">
        <v>1165</v>
      </c>
      <c r="AU9" s="393" t="s">
        <v>646</v>
      </c>
      <c r="AV9" s="456">
        <f>IF('P-1 (Trans Plant)'!$H$92=0,0,ROUND('P-1 (Trans Plant)'!$I$91/'P-1 (Trans Plant)'!$H$92/12,6))</f>
        <v>0</v>
      </c>
      <c r="AW9" s="421" t="s">
        <v>1165</v>
      </c>
      <c r="AX9" s="393" t="s">
        <v>646</v>
      </c>
      <c r="AY9" s="456">
        <f>IF('P-1 (Trans Plant)'!$H$92=0,0,ROUND('P-1 (Trans Plant)'!$I$91/'P-1 (Trans Plant)'!$H$92/12,6))</f>
        <v>0</v>
      </c>
      <c r="AZ9" s="421" t="s">
        <v>1165</v>
      </c>
      <c r="BA9" s="390">
        <f>+BA8+1</f>
        <v>3</v>
      </c>
      <c r="BC9" s="393" t="s">
        <v>646</v>
      </c>
      <c r="BD9" s="456">
        <f>IF('P-1 (Trans Plant)'!$H$92=0,0,ROUND('P-1 (Trans Plant)'!$I$91/'P-1 (Trans Plant)'!$H$92/12,6))</f>
        <v>0</v>
      </c>
      <c r="BE9" s="421" t="s">
        <v>1165</v>
      </c>
      <c r="BF9" s="393" t="s">
        <v>646</v>
      </c>
      <c r="BG9" s="456">
        <f>IF('P-1 (Trans Plant)'!$H$92=0,0,ROUND('P-1 (Trans Plant)'!$I$91/'P-1 (Trans Plant)'!$H$92/12,6))</f>
        <v>0</v>
      </c>
      <c r="BH9" s="421" t="s">
        <v>1165</v>
      </c>
      <c r="BI9" s="393" t="s">
        <v>646</v>
      </c>
      <c r="BJ9" s="456">
        <f>IF('P-1 (Trans Plant)'!$H$92=0,0,ROUND('P-1 (Trans Plant)'!$I$91/'P-1 (Trans Plant)'!$H$92/12,6))</f>
        <v>0</v>
      </c>
      <c r="BK9" s="421" t="s">
        <v>1165</v>
      </c>
      <c r="BL9" s="393" t="s">
        <v>646</v>
      </c>
      <c r="BM9" s="456">
        <f>IF('P-1 (Trans Plant)'!$H$92=0,0,ROUND('P-1 (Trans Plant)'!$I$91/'P-1 (Trans Plant)'!$H$92/12,6))</f>
        <v>0</v>
      </c>
      <c r="BN9" s="421" t="s">
        <v>1165</v>
      </c>
      <c r="BO9" s="393" t="s">
        <v>646</v>
      </c>
      <c r="BP9" s="456">
        <f>IF('P-1 (Trans Plant)'!$H$92=0,0,ROUND('P-1 (Trans Plant)'!$I$91/'P-1 (Trans Plant)'!$H$92/12,6))</f>
        <v>0</v>
      </c>
      <c r="BQ9" s="421" t="s">
        <v>1165</v>
      </c>
    </row>
    <row r="10" spans="1:69" ht="12.75">
      <c r="A10" s="390">
        <f>+A9+1</f>
        <v>4</v>
      </c>
      <c r="G10" s="393" t="s">
        <v>630</v>
      </c>
      <c r="H10" s="406"/>
      <c r="I10" s="394"/>
      <c r="J10" s="393" t="s">
        <v>630</v>
      </c>
      <c r="K10" s="406">
        <v>0</v>
      </c>
      <c r="L10" s="394"/>
      <c r="M10" s="393" t="s">
        <v>630</v>
      </c>
      <c r="N10" s="406">
        <v>0</v>
      </c>
      <c r="O10" s="394"/>
      <c r="P10" s="393" t="s">
        <v>630</v>
      </c>
      <c r="Q10" s="406">
        <v>0</v>
      </c>
      <c r="R10" s="421"/>
      <c r="S10" s="390">
        <f>+S9+1</f>
        <v>4</v>
      </c>
      <c r="U10" s="393" t="s">
        <v>630</v>
      </c>
      <c r="V10" s="406">
        <v>0</v>
      </c>
      <c r="W10" s="421"/>
      <c r="X10" s="393" t="s">
        <v>630</v>
      </c>
      <c r="Y10" s="406"/>
      <c r="Z10" s="421"/>
      <c r="AA10" s="393" t="s">
        <v>630</v>
      </c>
      <c r="AB10" s="406">
        <v>0</v>
      </c>
      <c r="AC10" s="421"/>
      <c r="AD10" s="393" t="s">
        <v>630</v>
      </c>
      <c r="AE10" s="406">
        <v>0</v>
      </c>
      <c r="AF10" s="421"/>
      <c r="AG10" s="393" t="s">
        <v>630</v>
      </c>
      <c r="AH10" s="406">
        <v>0</v>
      </c>
      <c r="AI10" s="421"/>
      <c r="AJ10" s="390">
        <f>+AJ9+1</f>
        <v>4</v>
      </c>
      <c r="AL10" s="393" t="s">
        <v>630</v>
      </c>
      <c r="AM10" s="406">
        <v>0</v>
      </c>
      <c r="AN10" s="421"/>
      <c r="AO10" s="393" t="s">
        <v>630</v>
      </c>
      <c r="AP10" s="406">
        <v>0</v>
      </c>
      <c r="AQ10" s="421"/>
      <c r="AR10" s="393" t="s">
        <v>630</v>
      </c>
      <c r="AS10" s="406">
        <v>0</v>
      </c>
      <c r="AT10" s="421"/>
      <c r="AU10" s="393" t="s">
        <v>630</v>
      </c>
      <c r="AV10" s="406"/>
      <c r="AW10" s="421"/>
      <c r="AX10" s="393" t="s">
        <v>630</v>
      </c>
      <c r="AY10" s="406"/>
      <c r="AZ10" s="421"/>
      <c r="BA10" s="390">
        <f>+BA9+1</f>
        <v>4</v>
      </c>
      <c r="BC10" s="393" t="s">
        <v>630</v>
      </c>
      <c r="BD10" s="406">
        <v>0</v>
      </c>
      <c r="BE10" s="394"/>
      <c r="BF10" s="393" t="s">
        <v>630</v>
      </c>
      <c r="BG10" s="406"/>
      <c r="BH10" s="421"/>
      <c r="BI10" s="393" t="s">
        <v>630</v>
      </c>
      <c r="BJ10" s="406"/>
      <c r="BK10" s="421"/>
      <c r="BL10" s="393" t="s">
        <v>630</v>
      </c>
      <c r="BM10" s="406">
        <v>0</v>
      </c>
      <c r="BN10" s="421"/>
      <c r="BO10" s="393" t="s">
        <v>630</v>
      </c>
      <c r="BP10" s="406">
        <v>0</v>
      </c>
      <c r="BQ10" s="421"/>
    </row>
    <row r="11" spans="1:69" ht="12.75">
      <c r="A11" s="390">
        <f>+A10+1</f>
        <v>5</v>
      </c>
      <c r="C11" s="1450" t="s">
        <v>1106</v>
      </c>
      <c r="D11" s="1450"/>
      <c r="E11" s="1450"/>
      <c r="G11" s="393" t="s">
        <v>631</v>
      </c>
      <c r="H11" s="398"/>
      <c r="I11" s="394"/>
      <c r="J11" s="393" t="s">
        <v>631</v>
      </c>
      <c r="K11" s="398">
        <v>0</v>
      </c>
      <c r="L11" s="394"/>
      <c r="M11" s="393" t="s">
        <v>631</v>
      </c>
      <c r="N11" s="398">
        <v>0</v>
      </c>
      <c r="O11" s="394"/>
      <c r="P11" s="393" t="s">
        <v>631</v>
      </c>
      <c r="Q11" s="398">
        <v>0</v>
      </c>
      <c r="R11" s="421"/>
      <c r="S11" s="390">
        <f>+S10+1</f>
        <v>5</v>
      </c>
      <c r="U11" s="393" t="s">
        <v>631</v>
      </c>
      <c r="V11" s="398">
        <v>0</v>
      </c>
      <c r="W11" s="421"/>
      <c r="X11" s="393" t="s">
        <v>631</v>
      </c>
      <c r="Y11" s="398">
        <v>0</v>
      </c>
      <c r="Z11" s="421"/>
      <c r="AA11" s="393" t="s">
        <v>631</v>
      </c>
      <c r="AB11" s="398">
        <v>0</v>
      </c>
      <c r="AC11" s="421"/>
      <c r="AD11" s="393" t="s">
        <v>631</v>
      </c>
      <c r="AE11" s="398">
        <v>0</v>
      </c>
      <c r="AF11" s="421"/>
      <c r="AG11" s="393" t="s">
        <v>631</v>
      </c>
      <c r="AH11" s="398">
        <v>0</v>
      </c>
      <c r="AI11" s="421"/>
      <c r="AJ11" s="390">
        <f>+AJ10+1</f>
        <v>5</v>
      </c>
      <c r="AL11" s="393" t="s">
        <v>631</v>
      </c>
      <c r="AM11" s="398">
        <v>0</v>
      </c>
      <c r="AN11" s="421"/>
      <c r="AO11" s="393" t="s">
        <v>631</v>
      </c>
      <c r="AP11" s="398">
        <v>0</v>
      </c>
      <c r="AQ11" s="421"/>
      <c r="AR11" s="393" t="s">
        <v>631</v>
      </c>
      <c r="AS11" s="398">
        <v>0</v>
      </c>
      <c r="AT11" s="421"/>
      <c r="AU11" s="393" t="s">
        <v>631</v>
      </c>
      <c r="AV11" s="398">
        <v>0</v>
      </c>
      <c r="AW11" s="421"/>
      <c r="AX11" s="393" t="s">
        <v>631</v>
      </c>
      <c r="AY11" s="398">
        <v>0</v>
      </c>
      <c r="AZ11" s="421"/>
      <c r="BA11" s="390">
        <f>+BA10+1</f>
        <v>5</v>
      </c>
      <c r="BC11" s="393" t="s">
        <v>631</v>
      </c>
      <c r="BD11" s="398">
        <v>0</v>
      </c>
      <c r="BE11" s="394"/>
      <c r="BF11" s="393" t="s">
        <v>631</v>
      </c>
      <c r="BG11" s="398"/>
      <c r="BH11" s="421"/>
      <c r="BI11" s="393" t="s">
        <v>631</v>
      </c>
      <c r="BJ11" s="398">
        <v>0</v>
      </c>
      <c r="BK11" s="421"/>
      <c r="BL11" s="393" t="s">
        <v>631</v>
      </c>
      <c r="BM11" s="398">
        <v>0</v>
      </c>
      <c r="BN11" s="421"/>
      <c r="BO11" s="393" t="s">
        <v>631</v>
      </c>
      <c r="BP11" s="398">
        <v>0</v>
      </c>
      <c r="BQ11" s="421"/>
    </row>
    <row r="12" spans="1:69" ht="12.75">
      <c r="A12" s="390">
        <f>+A11+1</f>
        <v>6</v>
      </c>
      <c r="G12" s="393" t="s">
        <v>648</v>
      </c>
      <c r="H12" s="454"/>
      <c r="I12" s="394"/>
      <c r="J12" s="393" t="s">
        <v>648</v>
      </c>
      <c r="K12" s="454"/>
      <c r="L12" s="394"/>
      <c r="M12" s="393" t="s">
        <v>648</v>
      </c>
      <c r="N12" s="454" t="s">
        <v>526</v>
      </c>
      <c r="O12" s="394"/>
      <c r="P12" s="393" t="s">
        <v>648</v>
      </c>
      <c r="Q12" s="1306"/>
      <c r="R12" s="421"/>
      <c r="S12" s="390">
        <f>+S11+1</f>
        <v>6</v>
      </c>
      <c r="U12" s="393" t="s">
        <v>648</v>
      </c>
      <c r="V12" s="454"/>
      <c r="W12" s="421"/>
      <c r="X12" s="393" t="s">
        <v>648</v>
      </c>
      <c r="Y12" s="454"/>
      <c r="Z12" s="421"/>
      <c r="AA12" s="393" t="s">
        <v>648</v>
      </c>
      <c r="AB12" s="454"/>
      <c r="AC12" s="421"/>
      <c r="AD12" s="393" t="s">
        <v>648</v>
      </c>
      <c r="AE12" s="454"/>
      <c r="AF12" s="421"/>
      <c r="AG12" s="393" t="s">
        <v>648</v>
      </c>
      <c r="AH12" s="454"/>
      <c r="AI12" s="421"/>
      <c r="AJ12" s="390">
        <f>+AJ11+1</f>
        <v>6</v>
      </c>
      <c r="AL12" s="393" t="s">
        <v>648</v>
      </c>
      <c r="AM12" s="454"/>
      <c r="AN12" s="421"/>
      <c r="AO12" s="393" t="s">
        <v>648</v>
      </c>
      <c r="AP12" s="454"/>
      <c r="AQ12" s="421"/>
      <c r="AR12" s="393" t="s">
        <v>648</v>
      </c>
      <c r="AS12" s="1309"/>
      <c r="AT12" s="421"/>
      <c r="AU12" s="393" t="s">
        <v>648</v>
      </c>
      <c r="AV12" s="454"/>
      <c r="AW12" s="421"/>
      <c r="AX12" s="393" t="s">
        <v>648</v>
      </c>
      <c r="AY12" s="454"/>
      <c r="AZ12" s="421"/>
      <c r="BA12" s="390">
        <f>+BA11+1</f>
        <v>6</v>
      </c>
      <c r="BC12" s="393" t="s">
        <v>648</v>
      </c>
      <c r="BD12" s="454"/>
      <c r="BE12" s="394"/>
      <c r="BF12" s="393" t="s">
        <v>648</v>
      </c>
      <c r="BG12" s="454"/>
      <c r="BH12" s="421"/>
      <c r="BI12" s="393" t="s">
        <v>648</v>
      </c>
      <c r="BJ12" s="454"/>
      <c r="BK12" s="421"/>
      <c r="BL12" s="393" t="s">
        <v>648</v>
      </c>
      <c r="BM12" s="454"/>
      <c r="BN12" s="421"/>
      <c r="BO12" s="393" t="s">
        <v>648</v>
      </c>
      <c r="BP12" s="454"/>
      <c r="BQ12" s="421"/>
    </row>
    <row r="13" spans="7:69" ht="12.75">
      <c r="G13" s="393"/>
      <c r="H13" s="394"/>
      <c r="I13" s="394"/>
      <c r="J13" s="393"/>
      <c r="K13" s="394"/>
      <c r="L13" s="394"/>
      <c r="M13" s="393"/>
      <c r="N13" s="394"/>
      <c r="O13" s="394"/>
      <c r="P13" s="393"/>
      <c r="Q13" s="394"/>
      <c r="R13" s="421"/>
      <c r="U13" s="393"/>
      <c r="V13" s="394"/>
      <c r="W13" s="421"/>
      <c r="X13" s="393"/>
      <c r="Y13" s="394"/>
      <c r="Z13" s="421"/>
      <c r="AA13" s="393"/>
      <c r="AB13" s="394"/>
      <c r="AC13" s="421"/>
      <c r="AD13" s="393"/>
      <c r="AE13" s="394"/>
      <c r="AF13" s="421"/>
      <c r="AG13" s="393"/>
      <c r="AH13" s="394"/>
      <c r="AI13" s="421"/>
      <c r="AL13" s="393"/>
      <c r="AM13" s="394"/>
      <c r="AN13" s="421"/>
      <c r="AO13" s="393"/>
      <c r="AP13" s="394"/>
      <c r="AQ13" s="421"/>
      <c r="AR13" s="393"/>
      <c r="AS13" s="394"/>
      <c r="AT13" s="421"/>
      <c r="AU13" s="393"/>
      <c r="AV13" s="394"/>
      <c r="AW13" s="421"/>
      <c r="AX13" s="393"/>
      <c r="AY13" s="394"/>
      <c r="AZ13" s="421"/>
      <c r="BC13" s="393"/>
      <c r="BD13" s="394"/>
      <c r="BE13" s="421"/>
      <c r="BF13" s="393"/>
      <c r="BG13" s="394"/>
      <c r="BH13" s="421"/>
      <c r="BI13" s="393"/>
      <c r="BJ13" s="394"/>
      <c r="BK13" s="421"/>
      <c r="BL13" s="393"/>
      <c r="BM13" s="394"/>
      <c r="BN13" s="421"/>
      <c r="BO13" s="393"/>
      <c r="BP13" s="394"/>
      <c r="BQ13" s="421"/>
    </row>
    <row r="14" spans="2:69" ht="12.75">
      <c r="B14" s="385" t="s">
        <v>845</v>
      </c>
      <c r="C14" s="385" t="s">
        <v>88</v>
      </c>
      <c r="D14" s="385" t="s">
        <v>649</v>
      </c>
      <c r="E14" s="385" t="s">
        <v>1491</v>
      </c>
      <c r="F14" s="416" t="s">
        <v>845</v>
      </c>
      <c r="G14" s="401" t="s">
        <v>88</v>
      </c>
      <c r="H14" s="402" t="s">
        <v>649</v>
      </c>
      <c r="I14" s="422" t="s">
        <v>1491</v>
      </c>
      <c r="J14" s="402" t="s">
        <v>88</v>
      </c>
      <c r="K14" s="402" t="s">
        <v>649</v>
      </c>
      <c r="L14" s="422" t="s">
        <v>1491</v>
      </c>
      <c r="M14" s="402" t="s">
        <v>88</v>
      </c>
      <c r="N14" s="402" t="s">
        <v>649</v>
      </c>
      <c r="O14" s="422" t="s">
        <v>1491</v>
      </c>
      <c r="P14" s="402" t="s">
        <v>88</v>
      </c>
      <c r="Q14" s="402" t="s">
        <v>649</v>
      </c>
      <c r="R14" s="422" t="s">
        <v>1491</v>
      </c>
      <c r="T14" s="385" t="s">
        <v>845</v>
      </c>
      <c r="U14" s="401" t="s">
        <v>88</v>
      </c>
      <c r="V14" s="402" t="s">
        <v>649</v>
      </c>
      <c r="W14" s="422" t="s">
        <v>1491</v>
      </c>
      <c r="X14" s="402" t="s">
        <v>88</v>
      </c>
      <c r="Y14" s="402" t="s">
        <v>649</v>
      </c>
      <c r="Z14" s="422" t="s">
        <v>1491</v>
      </c>
      <c r="AA14" s="402" t="s">
        <v>88</v>
      </c>
      <c r="AB14" s="402" t="s">
        <v>649</v>
      </c>
      <c r="AC14" s="422" t="s">
        <v>1491</v>
      </c>
      <c r="AD14" s="402" t="s">
        <v>88</v>
      </c>
      <c r="AE14" s="402" t="s">
        <v>649</v>
      </c>
      <c r="AF14" s="422" t="s">
        <v>1491</v>
      </c>
      <c r="AG14" s="402" t="s">
        <v>88</v>
      </c>
      <c r="AH14" s="402" t="s">
        <v>649</v>
      </c>
      <c r="AI14" s="422" t="s">
        <v>1491</v>
      </c>
      <c r="AK14" s="385" t="s">
        <v>845</v>
      </c>
      <c r="AL14" s="401" t="s">
        <v>88</v>
      </c>
      <c r="AM14" s="402" t="s">
        <v>649</v>
      </c>
      <c r="AN14" s="422" t="s">
        <v>1491</v>
      </c>
      <c r="AO14" s="402" t="s">
        <v>88</v>
      </c>
      <c r="AP14" s="402" t="s">
        <v>649</v>
      </c>
      <c r="AQ14" s="422" t="s">
        <v>1491</v>
      </c>
      <c r="AR14" s="402" t="s">
        <v>88</v>
      </c>
      <c r="AS14" s="402" t="s">
        <v>649</v>
      </c>
      <c r="AT14" s="422" t="s">
        <v>1491</v>
      </c>
      <c r="AU14" s="402" t="s">
        <v>88</v>
      </c>
      <c r="AV14" s="402" t="s">
        <v>649</v>
      </c>
      <c r="AW14" s="422" t="s">
        <v>1491</v>
      </c>
      <c r="AX14" s="402" t="s">
        <v>88</v>
      </c>
      <c r="AY14" s="402" t="s">
        <v>649</v>
      </c>
      <c r="AZ14" s="422" t="s">
        <v>1491</v>
      </c>
      <c r="BB14" s="385" t="s">
        <v>845</v>
      </c>
      <c r="BC14" s="401" t="s">
        <v>88</v>
      </c>
      <c r="BD14" s="402" t="s">
        <v>649</v>
      </c>
      <c r="BE14" s="422" t="s">
        <v>1491</v>
      </c>
      <c r="BF14" s="402" t="s">
        <v>88</v>
      </c>
      <c r="BG14" s="402" t="s">
        <v>649</v>
      </c>
      <c r="BH14" s="422" t="s">
        <v>1491</v>
      </c>
      <c r="BI14" s="402" t="s">
        <v>88</v>
      </c>
      <c r="BJ14" s="402" t="s">
        <v>649</v>
      </c>
      <c r="BK14" s="422" t="s">
        <v>1491</v>
      </c>
      <c r="BL14" s="402" t="s">
        <v>88</v>
      </c>
      <c r="BM14" s="402" t="s">
        <v>649</v>
      </c>
      <c r="BN14" s="422" t="s">
        <v>1491</v>
      </c>
      <c r="BO14" s="402" t="s">
        <v>88</v>
      </c>
      <c r="BP14" s="402" t="s">
        <v>649</v>
      </c>
      <c r="BQ14" s="422" t="s">
        <v>1491</v>
      </c>
    </row>
    <row r="15" spans="1:69" ht="12.75">
      <c r="A15" s="390">
        <f>+A12+1</f>
        <v>7</v>
      </c>
      <c r="G15" s="449">
        <f>H10</f>
        <v>0</v>
      </c>
      <c r="H15" s="404"/>
      <c r="I15" s="404"/>
      <c r="J15" s="449">
        <v>0</v>
      </c>
      <c r="K15" s="404"/>
      <c r="L15" s="404"/>
      <c r="M15" s="449">
        <v>0</v>
      </c>
      <c r="N15" s="404"/>
      <c r="O15" s="404"/>
      <c r="P15" s="449">
        <v>0</v>
      </c>
      <c r="Q15" s="404"/>
      <c r="R15" s="423"/>
      <c r="S15" s="390">
        <f>+S12+1</f>
        <v>7</v>
      </c>
      <c r="U15" s="449">
        <v>0</v>
      </c>
      <c r="V15" s="404"/>
      <c r="W15" s="455"/>
      <c r="X15" s="449">
        <v>0</v>
      </c>
      <c r="Y15" s="404"/>
      <c r="Z15" s="455"/>
      <c r="AA15" s="449">
        <v>0</v>
      </c>
      <c r="AB15" s="404"/>
      <c r="AC15" s="455"/>
      <c r="AD15" s="449">
        <v>0</v>
      </c>
      <c r="AE15" s="404"/>
      <c r="AF15" s="455"/>
      <c r="AG15" s="449">
        <v>0</v>
      </c>
      <c r="AH15" s="404"/>
      <c r="AI15" s="455"/>
      <c r="AJ15" s="390">
        <f>+AJ12+1</f>
        <v>7</v>
      </c>
      <c r="AL15" s="449">
        <v>0</v>
      </c>
      <c r="AM15" s="404"/>
      <c r="AN15" s="455"/>
      <c r="AO15" s="449">
        <v>0</v>
      </c>
      <c r="AP15" s="404"/>
      <c r="AQ15" s="455"/>
      <c r="AR15" s="449">
        <v>0</v>
      </c>
      <c r="AS15" s="404"/>
      <c r="AT15" s="455"/>
      <c r="AU15" s="449">
        <v>0</v>
      </c>
      <c r="AV15" s="404"/>
      <c r="AW15" s="455"/>
      <c r="AX15" s="449">
        <v>0</v>
      </c>
      <c r="AY15" s="404"/>
      <c r="AZ15" s="455"/>
      <c r="BA15" s="390">
        <f>+BA12+1</f>
        <v>7</v>
      </c>
      <c r="BC15" s="449">
        <v>0</v>
      </c>
      <c r="BD15" s="404"/>
      <c r="BE15" s="455"/>
      <c r="BF15" s="449">
        <v>0</v>
      </c>
      <c r="BG15" s="404"/>
      <c r="BH15" s="455"/>
      <c r="BI15" s="449">
        <v>0</v>
      </c>
      <c r="BJ15" s="404"/>
      <c r="BK15" s="455"/>
      <c r="BL15" s="449">
        <v>0</v>
      </c>
      <c r="BM15" s="404"/>
      <c r="BN15" s="455"/>
      <c r="BO15" s="449">
        <v>0</v>
      </c>
      <c r="BP15" s="404"/>
      <c r="BQ15" s="455"/>
    </row>
    <row r="16" spans="1:69" ht="12.75">
      <c r="A16" s="390">
        <f aca="true" t="shared" si="0" ref="A16:A39">+A15+1</f>
        <v>8</v>
      </c>
      <c r="B16" s="428"/>
      <c r="C16" s="415">
        <f aca="true" t="shared" si="1" ref="C16:C38">+G16+J16+M16+P16+U16+X16+AA16+AD16+AG16+AL16+AO16+AR16+AU16+AX16+BC16+BF16+BI16+BL16+BO16</f>
        <v>0</v>
      </c>
      <c r="D16" s="415">
        <f aca="true" t="shared" si="2" ref="D16:D39">+H16+K16+N16+Q16+V16+Y16+AB16+AE16+AH16+AM16+AP16+AS16+AV16+AY16+BD16+BG16+BJ16+BM16+BP16</f>
        <v>0</v>
      </c>
      <c r="E16" s="415">
        <f aca="true" t="shared" si="3" ref="E16:E39">+I16+L16+O16+R16+W16+Z16+AC16+AF16+AI16+AN16+AQ16+AT16+AW16+AZ16+BE16+BH16+BK16+BN16+BQ16</f>
        <v>0</v>
      </c>
      <c r="F16" s="427">
        <f aca="true" t="shared" si="4" ref="F16:F39">+B16</f>
        <v>0</v>
      </c>
      <c r="G16" s="449">
        <f>+G15</f>
        <v>0</v>
      </c>
      <c r="H16" s="450">
        <f>ROUND(G15*H$9,0)+H11</f>
        <v>0</v>
      </c>
      <c r="I16" s="292">
        <f>+G16-H16</f>
        <v>0</v>
      </c>
      <c r="J16" s="449">
        <v>0</v>
      </c>
      <c r="K16" s="450">
        <f>ROUND(J15*K$9,0)+K11</f>
        <v>0</v>
      </c>
      <c r="L16" s="292">
        <f>+J16-K16</f>
        <v>0</v>
      </c>
      <c r="M16" s="449">
        <v>0</v>
      </c>
      <c r="N16" s="450">
        <f>ROUND(M15*N$9,0)+N11</f>
        <v>0</v>
      </c>
      <c r="O16" s="292">
        <f>+M16-N16</f>
        <v>0</v>
      </c>
      <c r="P16" s="449">
        <v>0</v>
      </c>
      <c r="Q16" s="450">
        <f>ROUND(P15*Q$9,0)+Q11</f>
        <v>0</v>
      </c>
      <c r="R16" s="452">
        <f>+P16-Q16</f>
        <v>0</v>
      </c>
      <c r="S16" s="390">
        <f aca="true" t="shared" si="5" ref="S16:S39">+S15+1</f>
        <v>8</v>
      </c>
      <c r="T16" s="1045">
        <f aca="true" t="shared" si="6" ref="T16:T39">$B16</f>
        <v>0</v>
      </c>
      <c r="U16" s="449">
        <v>0</v>
      </c>
      <c r="V16" s="450">
        <f>ROUND(U15*V$9,0)+V11</f>
        <v>0</v>
      </c>
      <c r="W16" s="452">
        <f>+U16-V16</f>
        <v>0</v>
      </c>
      <c r="X16" s="449">
        <v>0</v>
      </c>
      <c r="Y16" s="450">
        <f>ROUND(X15*Y$9,0)+Y11</f>
        <v>0</v>
      </c>
      <c r="Z16" s="452">
        <f>+X16-Y16</f>
        <v>0</v>
      </c>
      <c r="AA16" s="449">
        <v>0</v>
      </c>
      <c r="AB16" s="450">
        <f>ROUND(AA15*AB$9,0)+AB11</f>
        <v>0</v>
      </c>
      <c r="AC16" s="452">
        <f>+AA16-AB16</f>
        <v>0</v>
      </c>
      <c r="AD16" s="449">
        <v>0</v>
      </c>
      <c r="AE16" s="450">
        <f>ROUND(AD15*AE$9,0)+AE11</f>
        <v>0</v>
      </c>
      <c r="AF16" s="452">
        <f>+AD16-AE16</f>
        <v>0</v>
      </c>
      <c r="AG16" s="449">
        <v>0</v>
      </c>
      <c r="AH16" s="450">
        <f>ROUND(AG15*AH$9,0)+AH11</f>
        <v>0</v>
      </c>
      <c r="AI16" s="452">
        <f>+AG16-AH16</f>
        <v>0</v>
      </c>
      <c r="AJ16" s="390">
        <f aca="true" t="shared" si="7" ref="AJ16:AJ39">+AJ15+1</f>
        <v>8</v>
      </c>
      <c r="AK16" s="1045">
        <f aca="true" t="shared" si="8" ref="AK16:AK39">$B16</f>
        <v>0</v>
      </c>
      <c r="AL16" s="449">
        <f>+AM10</f>
        <v>0</v>
      </c>
      <c r="AM16" s="450">
        <f>ROUND(AL15*AM$9,0)+AM11</f>
        <v>0</v>
      </c>
      <c r="AN16" s="452">
        <f>+AL16-AM16</f>
        <v>0</v>
      </c>
      <c r="AO16" s="449">
        <v>0</v>
      </c>
      <c r="AP16" s="450">
        <f>ROUND(AO15*AP$9,0)+AP11</f>
        <v>0</v>
      </c>
      <c r="AQ16" s="452">
        <f>+AO16-AP16</f>
        <v>0</v>
      </c>
      <c r="AR16" s="449">
        <v>0</v>
      </c>
      <c r="AS16" s="450">
        <f>ROUND(AR15*AS$9,0)+AS11</f>
        <v>0</v>
      </c>
      <c r="AT16" s="452">
        <f>+AR16-AS16</f>
        <v>0</v>
      </c>
      <c r="AU16" s="449">
        <v>0</v>
      </c>
      <c r="AV16" s="450">
        <f>ROUND(AU15*AV$9,0)+AV11</f>
        <v>0</v>
      </c>
      <c r="AW16" s="452">
        <f>+AU16-AV16</f>
        <v>0</v>
      </c>
      <c r="AX16" s="449">
        <v>0</v>
      </c>
      <c r="AY16" s="450">
        <f>ROUND(AX15*AY$9,0)+AY11</f>
        <v>0</v>
      </c>
      <c r="AZ16" s="452">
        <f>+AX16-AY16</f>
        <v>0</v>
      </c>
      <c r="BA16" s="390">
        <f aca="true" t="shared" si="9" ref="BA16:BA39">+BA15+1</f>
        <v>8</v>
      </c>
      <c r="BB16" s="1045">
        <f aca="true" t="shared" si="10" ref="BB16:BB39">$B16</f>
        <v>0</v>
      </c>
      <c r="BC16" s="449">
        <v>0</v>
      </c>
      <c r="BD16" s="450">
        <f>ROUND(BC15*BD$9,0)+BD11</f>
        <v>0</v>
      </c>
      <c r="BE16" s="452">
        <f>+BC16-BD16</f>
        <v>0</v>
      </c>
      <c r="BF16" s="449">
        <v>0</v>
      </c>
      <c r="BG16" s="450">
        <f>ROUND(BF15*BG$9,0)+BG11</f>
        <v>0</v>
      </c>
      <c r="BH16" s="452">
        <f>+BF16-BG16</f>
        <v>0</v>
      </c>
      <c r="BI16" s="449">
        <v>0</v>
      </c>
      <c r="BJ16" s="450">
        <f>ROUND(BI15*BJ$9,0)+BJ11</f>
        <v>0</v>
      </c>
      <c r="BK16" s="452">
        <f>+BI16-BJ16</f>
        <v>0</v>
      </c>
      <c r="BL16" s="449">
        <v>0</v>
      </c>
      <c r="BM16" s="450">
        <f>ROUND(BL15*BM$9,0)+BM11</f>
        <v>0</v>
      </c>
      <c r="BN16" s="452">
        <f>+BL16-BM16</f>
        <v>0</v>
      </c>
      <c r="BO16" s="449">
        <v>0</v>
      </c>
      <c r="BP16" s="450">
        <f>ROUND(BO15*BP$9,0)+BP11</f>
        <v>0</v>
      </c>
      <c r="BQ16" s="452">
        <f>+BO16-BP16</f>
        <v>0</v>
      </c>
    </row>
    <row r="17" spans="1:69" ht="12.75">
      <c r="A17" s="390">
        <f t="shared" si="0"/>
        <v>9</v>
      </c>
      <c r="B17" s="428"/>
      <c r="C17" s="415">
        <f t="shared" si="1"/>
        <v>0</v>
      </c>
      <c r="D17" s="415">
        <f t="shared" si="2"/>
        <v>0</v>
      </c>
      <c r="E17" s="415">
        <f t="shared" si="3"/>
        <v>0</v>
      </c>
      <c r="F17" s="427">
        <f t="shared" si="4"/>
        <v>0</v>
      </c>
      <c r="G17" s="449">
        <f>+G16</f>
        <v>0</v>
      </c>
      <c r="H17" s="450">
        <f>ROUND(G16*H$9,0)+H16</f>
        <v>0</v>
      </c>
      <c r="I17" s="292">
        <f aca="true" t="shared" si="11" ref="I17:I39">+G17-H17</f>
        <v>0</v>
      </c>
      <c r="J17" s="449">
        <v>0</v>
      </c>
      <c r="K17" s="450">
        <f>ROUND(J16*K$9,0)+K16</f>
        <v>0</v>
      </c>
      <c r="L17" s="292">
        <f aca="true" t="shared" si="12" ref="L17:L39">+J17-K17</f>
        <v>0</v>
      </c>
      <c r="M17" s="449">
        <f aca="true" t="shared" si="13" ref="M17:M24">+M16</f>
        <v>0</v>
      </c>
      <c r="N17" s="450">
        <f>ROUND(M16*N$9,0)+N16</f>
        <v>0</v>
      </c>
      <c r="O17" s="292">
        <f aca="true" t="shared" si="14" ref="O17:O39">+M17-N17</f>
        <v>0</v>
      </c>
      <c r="P17" s="449">
        <f aca="true" t="shared" si="15" ref="P17:P25">+P16</f>
        <v>0</v>
      </c>
      <c r="Q17" s="450">
        <f>ROUND(P16*Q$9,0)+Q16</f>
        <v>0</v>
      </c>
      <c r="R17" s="452">
        <f aca="true" t="shared" si="16" ref="R17:R39">+P17-Q17</f>
        <v>0</v>
      </c>
      <c r="S17" s="390">
        <f t="shared" si="5"/>
        <v>9</v>
      </c>
      <c r="T17" s="1045">
        <f t="shared" si="6"/>
        <v>0</v>
      </c>
      <c r="U17" s="449">
        <f aca="true" t="shared" si="17" ref="U17:U23">+U16</f>
        <v>0</v>
      </c>
      <c r="V17" s="450">
        <f>ROUND(U16*V$9,0)+V16</f>
        <v>0</v>
      </c>
      <c r="W17" s="452">
        <f aca="true" t="shared" si="18" ref="W17:W39">+U17-V17</f>
        <v>0</v>
      </c>
      <c r="X17" s="449">
        <f aca="true" t="shared" si="19" ref="X17:X39">+X16</f>
        <v>0</v>
      </c>
      <c r="Y17" s="450">
        <f>ROUND(X16*Y$9,0)+Y16</f>
        <v>0</v>
      </c>
      <c r="Z17" s="452">
        <f aca="true" t="shared" si="20" ref="Z17:Z39">+X17-Y17</f>
        <v>0</v>
      </c>
      <c r="AA17" s="449">
        <f aca="true" t="shared" si="21" ref="AA17:AA39">+AA16</f>
        <v>0</v>
      </c>
      <c r="AB17" s="450">
        <f>ROUND(AA16*AB$9,0)+AB16</f>
        <v>0</v>
      </c>
      <c r="AC17" s="452">
        <f aca="true" t="shared" si="22" ref="AC17:AC39">+AA17-AB17</f>
        <v>0</v>
      </c>
      <c r="AD17" s="449">
        <f aca="true" t="shared" si="23" ref="AD17:AD39">+AD16</f>
        <v>0</v>
      </c>
      <c r="AE17" s="450">
        <f>ROUND(AD16*AE$9,0)+AE16</f>
        <v>0</v>
      </c>
      <c r="AF17" s="452">
        <f aca="true" t="shared" si="24" ref="AF17:AF39">+AD17-AE17</f>
        <v>0</v>
      </c>
      <c r="AG17" s="449">
        <f aca="true" t="shared" si="25" ref="AG17:AG39">+AG16</f>
        <v>0</v>
      </c>
      <c r="AH17" s="450">
        <f>ROUND(AG16*AH$9,0)+AH16</f>
        <v>0</v>
      </c>
      <c r="AI17" s="452">
        <f aca="true" t="shared" si="26" ref="AI17:AI39">+AG17-AH17</f>
        <v>0</v>
      </c>
      <c r="AJ17" s="390">
        <f t="shared" si="7"/>
        <v>9</v>
      </c>
      <c r="AK17" s="1045">
        <f t="shared" si="8"/>
        <v>0</v>
      </c>
      <c r="AL17" s="449">
        <f aca="true" t="shared" si="27" ref="AL17:AL39">+AL16</f>
        <v>0</v>
      </c>
      <c r="AM17" s="450">
        <f>ROUND(AL16*AM$9,0)+AM16</f>
        <v>0</v>
      </c>
      <c r="AN17" s="452">
        <f aca="true" t="shared" si="28" ref="AN17:AN39">+AL17-AM17</f>
        <v>0</v>
      </c>
      <c r="AO17" s="449">
        <f aca="true" t="shared" si="29" ref="AO17:AO39">+AO16</f>
        <v>0</v>
      </c>
      <c r="AP17" s="450">
        <f>ROUND(AO16*AP$9,0)+AP16</f>
        <v>0</v>
      </c>
      <c r="AQ17" s="452">
        <f aca="true" t="shared" si="30" ref="AQ17:AQ39">+AO17-AP17</f>
        <v>0</v>
      </c>
      <c r="AR17" s="449">
        <f aca="true" t="shared" si="31" ref="AR17:AR39">+AR16</f>
        <v>0</v>
      </c>
      <c r="AS17" s="450">
        <f>ROUND(AR16*AS$9,0)+AS16</f>
        <v>0</v>
      </c>
      <c r="AT17" s="452">
        <f aca="true" t="shared" si="32" ref="AT17:AT39">+AR17-AS17</f>
        <v>0</v>
      </c>
      <c r="AU17" s="449">
        <f aca="true" t="shared" si="33" ref="AU17:AU38">+AU16</f>
        <v>0</v>
      </c>
      <c r="AV17" s="450">
        <f>ROUND(AU16*AV$9,0)+AV16</f>
        <v>0</v>
      </c>
      <c r="AW17" s="452">
        <f aca="true" t="shared" si="34" ref="AW17:AW39">+AU17-AV17</f>
        <v>0</v>
      </c>
      <c r="AX17" s="449">
        <f aca="true" t="shared" si="35" ref="AX17:AX38">+AX16</f>
        <v>0</v>
      </c>
      <c r="AY17" s="450">
        <f>ROUND(AX16*AY$9,0)+AY16</f>
        <v>0</v>
      </c>
      <c r="AZ17" s="452">
        <f aca="true" t="shared" si="36" ref="AZ17:AZ39">+AX17-AY17</f>
        <v>0</v>
      </c>
      <c r="BA17" s="390">
        <f t="shared" si="9"/>
        <v>9</v>
      </c>
      <c r="BB17" s="1045">
        <f t="shared" si="10"/>
        <v>0</v>
      </c>
      <c r="BC17" s="449">
        <f aca="true" t="shared" si="37" ref="BC17:BC29">+BC16</f>
        <v>0</v>
      </c>
      <c r="BD17" s="450">
        <f>ROUND(BC16*BD$9,0)+BD16</f>
        <v>0</v>
      </c>
      <c r="BE17" s="452">
        <f aca="true" t="shared" si="38" ref="BE17:BE39">+BC17-BD17</f>
        <v>0</v>
      </c>
      <c r="BF17" s="449">
        <f aca="true" t="shared" si="39" ref="BF17:BF32">+BF16</f>
        <v>0</v>
      </c>
      <c r="BG17" s="450">
        <f>ROUND(BF16*BG$9,0)+BG16</f>
        <v>0</v>
      </c>
      <c r="BH17" s="452">
        <f aca="true" t="shared" si="40" ref="BH17:BH39">+BF17-BG17</f>
        <v>0</v>
      </c>
      <c r="BI17" s="449">
        <f aca="true" t="shared" si="41" ref="BI17:BI38">+BI16</f>
        <v>0</v>
      </c>
      <c r="BJ17" s="450">
        <f>ROUND(BI16*BJ$9,0)+BJ16</f>
        <v>0</v>
      </c>
      <c r="BK17" s="452">
        <f aca="true" t="shared" si="42" ref="BK17:BK39">+BI17-BJ17</f>
        <v>0</v>
      </c>
      <c r="BL17" s="449">
        <f aca="true" t="shared" si="43" ref="BL17:BL39">+BL16</f>
        <v>0</v>
      </c>
      <c r="BM17" s="450">
        <f>ROUND(BL16*BM$9,0)+BM16</f>
        <v>0</v>
      </c>
      <c r="BN17" s="452">
        <f aca="true" t="shared" si="44" ref="BN17:BN39">+BL17-BM17</f>
        <v>0</v>
      </c>
      <c r="BO17" s="449">
        <f aca="true" t="shared" si="45" ref="BO17:BO39">+BO16</f>
        <v>0</v>
      </c>
      <c r="BP17" s="450">
        <f>ROUND(BO16*BP$9,0)+BP16</f>
        <v>0</v>
      </c>
      <c r="BQ17" s="452">
        <f aca="true" t="shared" si="46" ref="BQ17:BQ39">+BO17-BP17</f>
        <v>0</v>
      </c>
    </row>
    <row r="18" spans="1:69" ht="12.75">
      <c r="A18" s="390">
        <f t="shared" si="0"/>
        <v>10</v>
      </c>
      <c r="B18" s="428"/>
      <c r="C18" s="415">
        <f t="shared" si="1"/>
        <v>0</v>
      </c>
      <c r="D18" s="415">
        <f t="shared" si="2"/>
        <v>0</v>
      </c>
      <c r="E18" s="415">
        <f t="shared" si="3"/>
        <v>0</v>
      </c>
      <c r="F18" s="427">
        <f t="shared" si="4"/>
        <v>0</v>
      </c>
      <c r="G18" s="449">
        <f>+G17</f>
        <v>0</v>
      </c>
      <c r="H18" s="450">
        <f aca="true" t="shared" si="47" ref="H18:H39">ROUND(G17*H$9,0)+H17</f>
        <v>0</v>
      </c>
      <c r="I18" s="292">
        <f t="shared" si="11"/>
        <v>0</v>
      </c>
      <c r="J18" s="449">
        <f>+J17</f>
        <v>0</v>
      </c>
      <c r="K18" s="450">
        <f aca="true" t="shared" si="48" ref="K18:K39">ROUND(J17*K$9,0)+K17</f>
        <v>0</v>
      </c>
      <c r="L18" s="292">
        <f t="shared" si="12"/>
        <v>0</v>
      </c>
      <c r="M18" s="449">
        <f t="shared" si="13"/>
        <v>0</v>
      </c>
      <c r="N18" s="450">
        <f aca="true" t="shared" si="49" ref="N18:N39">ROUND(M17*N$9,0)+N17</f>
        <v>0</v>
      </c>
      <c r="O18" s="292">
        <f t="shared" si="14"/>
        <v>0</v>
      </c>
      <c r="P18" s="449">
        <f t="shared" si="15"/>
        <v>0</v>
      </c>
      <c r="Q18" s="450">
        <f aca="true" t="shared" si="50" ref="Q18:Q39">ROUND(P17*Q$9,0)+Q17</f>
        <v>0</v>
      </c>
      <c r="R18" s="452">
        <f t="shared" si="16"/>
        <v>0</v>
      </c>
      <c r="S18" s="390">
        <f t="shared" si="5"/>
        <v>10</v>
      </c>
      <c r="T18" s="1045">
        <f t="shared" si="6"/>
        <v>0</v>
      </c>
      <c r="U18" s="449">
        <f t="shared" si="17"/>
        <v>0</v>
      </c>
      <c r="V18" s="450">
        <f aca="true" t="shared" si="51" ref="V18:V39">ROUND(U17*V$9,0)+V17</f>
        <v>0</v>
      </c>
      <c r="W18" s="452">
        <f t="shared" si="18"/>
        <v>0</v>
      </c>
      <c r="X18" s="449">
        <f t="shared" si="19"/>
        <v>0</v>
      </c>
      <c r="Y18" s="450">
        <f aca="true" t="shared" si="52" ref="Y18:Y39">ROUND(X17*Y$9,0)+Y17</f>
        <v>0</v>
      </c>
      <c r="Z18" s="452">
        <f t="shared" si="20"/>
        <v>0</v>
      </c>
      <c r="AA18" s="449">
        <f t="shared" si="21"/>
        <v>0</v>
      </c>
      <c r="AB18" s="450">
        <f aca="true" t="shared" si="53" ref="AB18:AB39">ROUND(AA17*AB$9,0)+AB17</f>
        <v>0</v>
      </c>
      <c r="AC18" s="452">
        <f t="shared" si="22"/>
        <v>0</v>
      </c>
      <c r="AD18" s="449"/>
      <c r="AE18" s="450">
        <f aca="true" t="shared" si="54" ref="AE18:AE39">ROUND(AD17*AE$9,0)+AE17</f>
        <v>0</v>
      </c>
      <c r="AF18" s="452">
        <f t="shared" si="24"/>
        <v>0</v>
      </c>
      <c r="AG18" s="449">
        <f t="shared" si="25"/>
        <v>0</v>
      </c>
      <c r="AH18" s="450">
        <f aca="true" t="shared" si="55" ref="AH18:AH39">ROUND(AG17*AH$9,0)+AH17</f>
        <v>0</v>
      </c>
      <c r="AI18" s="452">
        <f t="shared" si="26"/>
        <v>0</v>
      </c>
      <c r="AJ18" s="390">
        <f t="shared" si="7"/>
        <v>10</v>
      </c>
      <c r="AK18" s="1045">
        <f t="shared" si="8"/>
        <v>0</v>
      </c>
      <c r="AL18" s="449">
        <f t="shared" si="27"/>
        <v>0</v>
      </c>
      <c r="AM18" s="450">
        <f aca="true" t="shared" si="56" ref="AM18:AM39">ROUND(AL17*AM$9,0)+AM17</f>
        <v>0</v>
      </c>
      <c r="AN18" s="452">
        <f t="shared" si="28"/>
        <v>0</v>
      </c>
      <c r="AO18" s="449">
        <f t="shared" si="29"/>
        <v>0</v>
      </c>
      <c r="AP18" s="450">
        <f aca="true" t="shared" si="57" ref="AP18:AP39">ROUND(AO17*AP$9,0)+AP17</f>
        <v>0</v>
      </c>
      <c r="AQ18" s="452">
        <f t="shared" si="30"/>
        <v>0</v>
      </c>
      <c r="AR18" s="449">
        <f t="shared" si="31"/>
        <v>0</v>
      </c>
      <c r="AS18" s="450">
        <f aca="true" t="shared" si="58" ref="AS18:AS39">ROUND(AR17*AS$9,0)+AS17</f>
        <v>0</v>
      </c>
      <c r="AT18" s="452">
        <f t="shared" si="32"/>
        <v>0</v>
      </c>
      <c r="AU18" s="449">
        <f t="shared" si="33"/>
        <v>0</v>
      </c>
      <c r="AV18" s="450">
        <f aca="true" t="shared" si="59" ref="AV18:AV39">ROUND(AU17*AV$9,0)+AV17</f>
        <v>0</v>
      </c>
      <c r="AW18" s="452">
        <f t="shared" si="34"/>
        <v>0</v>
      </c>
      <c r="AX18" s="449">
        <f t="shared" si="35"/>
        <v>0</v>
      </c>
      <c r="AY18" s="450">
        <f aca="true" t="shared" si="60" ref="AY18:AY39">ROUND(AX17*AY$9,0)+AY17</f>
        <v>0</v>
      </c>
      <c r="AZ18" s="452">
        <f t="shared" si="36"/>
        <v>0</v>
      </c>
      <c r="BA18" s="390">
        <f t="shared" si="9"/>
        <v>10</v>
      </c>
      <c r="BB18" s="1045">
        <f t="shared" si="10"/>
        <v>0</v>
      </c>
      <c r="BC18" s="449">
        <f t="shared" si="37"/>
        <v>0</v>
      </c>
      <c r="BD18" s="450">
        <f aca="true" t="shared" si="61" ref="BD18:BD39">ROUND(BC17*BD$9,0)+BD17</f>
        <v>0</v>
      </c>
      <c r="BE18" s="452">
        <f t="shared" si="38"/>
        <v>0</v>
      </c>
      <c r="BF18" s="449">
        <f t="shared" si="39"/>
        <v>0</v>
      </c>
      <c r="BG18" s="450">
        <f aca="true" t="shared" si="62" ref="BG18:BG39">ROUND(BF17*BG$9,0)+BG17</f>
        <v>0</v>
      </c>
      <c r="BH18" s="452">
        <f t="shared" si="40"/>
        <v>0</v>
      </c>
      <c r="BI18" s="449">
        <f t="shared" si="41"/>
        <v>0</v>
      </c>
      <c r="BJ18" s="450">
        <f aca="true" t="shared" si="63" ref="BJ18:BJ39">ROUND(BI17*BJ$9,0)+BJ17</f>
        <v>0</v>
      </c>
      <c r="BK18" s="452">
        <f t="shared" si="42"/>
        <v>0</v>
      </c>
      <c r="BL18" s="449">
        <f t="shared" si="43"/>
        <v>0</v>
      </c>
      <c r="BM18" s="450">
        <f aca="true" t="shared" si="64" ref="BM18:BM39">ROUND(BL17*BM$9,0)+BM17</f>
        <v>0</v>
      </c>
      <c r="BN18" s="452">
        <f t="shared" si="44"/>
        <v>0</v>
      </c>
      <c r="BO18" s="449">
        <f t="shared" si="45"/>
        <v>0</v>
      </c>
      <c r="BP18" s="450">
        <f aca="true" t="shared" si="65" ref="BP18:BP39">ROUND(BO17*BP$9,0)+BP17</f>
        <v>0</v>
      </c>
      <c r="BQ18" s="452">
        <f t="shared" si="46"/>
        <v>0</v>
      </c>
    </row>
    <row r="19" spans="1:69" ht="12.75">
      <c r="A19" s="390">
        <f t="shared" si="0"/>
        <v>11</v>
      </c>
      <c r="B19" s="428"/>
      <c r="C19" s="415">
        <f t="shared" si="1"/>
        <v>0</v>
      </c>
      <c r="D19" s="415">
        <f t="shared" si="2"/>
        <v>0</v>
      </c>
      <c r="E19" s="415">
        <f t="shared" si="3"/>
        <v>0</v>
      </c>
      <c r="F19" s="427">
        <f t="shared" si="4"/>
        <v>0</v>
      </c>
      <c r="G19" s="449">
        <f>+G18</f>
        <v>0</v>
      </c>
      <c r="H19" s="450">
        <f t="shared" si="47"/>
        <v>0</v>
      </c>
      <c r="I19" s="292">
        <f t="shared" si="11"/>
        <v>0</v>
      </c>
      <c r="J19" s="449">
        <f>+J18</f>
        <v>0</v>
      </c>
      <c r="K19" s="450">
        <f t="shared" si="48"/>
        <v>0</v>
      </c>
      <c r="L19" s="292">
        <f t="shared" si="12"/>
        <v>0</v>
      </c>
      <c r="M19" s="449">
        <f t="shared" si="13"/>
        <v>0</v>
      </c>
      <c r="N19" s="450">
        <f t="shared" si="49"/>
        <v>0</v>
      </c>
      <c r="O19" s="292">
        <f t="shared" si="14"/>
        <v>0</v>
      </c>
      <c r="P19" s="449">
        <f t="shared" si="15"/>
        <v>0</v>
      </c>
      <c r="Q19" s="450">
        <f t="shared" si="50"/>
        <v>0</v>
      </c>
      <c r="R19" s="452">
        <f t="shared" si="16"/>
        <v>0</v>
      </c>
      <c r="S19" s="390">
        <f t="shared" si="5"/>
        <v>11</v>
      </c>
      <c r="T19" s="1045">
        <f t="shared" si="6"/>
        <v>0</v>
      </c>
      <c r="U19" s="449">
        <f t="shared" si="17"/>
        <v>0</v>
      </c>
      <c r="V19" s="450">
        <f t="shared" si="51"/>
        <v>0</v>
      </c>
      <c r="W19" s="452">
        <f t="shared" si="18"/>
        <v>0</v>
      </c>
      <c r="X19" s="449">
        <f t="shared" si="19"/>
        <v>0</v>
      </c>
      <c r="Y19" s="450">
        <f t="shared" si="52"/>
        <v>0</v>
      </c>
      <c r="Z19" s="452">
        <f t="shared" si="20"/>
        <v>0</v>
      </c>
      <c r="AA19" s="449">
        <f t="shared" si="21"/>
        <v>0</v>
      </c>
      <c r="AB19" s="450">
        <f t="shared" si="53"/>
        <v>0</v>
      </c>
      <c r="AC19" s="452">
        <f t="shared" si="22"/>
        <v>0</v>
      </c>
      <c r="AD19" s="449">
        <f t="shared" si="23"/>
        <v>0</v>
      </c>
      <c r="AE19" s="450">
        <f t="shared" si="54"/>
        <v>0</v>
      </c>
      <c r="AF19" s="452">
        <f t="shared" si="24"/>
        <v>0</v>
      </c>
      <c r="AG19" s="449">
        <f t="shared" si="25"/>
        <v>0</v>
      </c>
      <c r="AH19" s="450">
        <f t="shared" si="55"/>
        <v>0</v>
      </c>
      <c r="AI19" s="452">
        <f t="shared" si="26"/>
        <v>0</v>
      </c>
      <c r="AJ19" s="390">
        <f t="shared" si="7"/>
        <v>11</v>
      </c>
      <c r="AK19" s="1045">
        <f t="shared" si="8"/>
        <v>0</v>
      </c>
      <c r="AL19" s="449">
        <f t="shared" si="27"/>
        <v>0</v>
      </c>
      <c r="AM19" s="450">
        <f t="shared" si="56"/>
        <v>0</v>
      </c>
      <c r="AN19" s="452">
        <f t="shared" si="28"/>
        <v>0</v>
      </c>
      <c r="AO19" s="449">
        <v>0</v>
      </c>
      <c r="AP19" s="450">
        <f t="shared" si="57"/>
        <v>0</v>
      </c>
      <c r="AQ19" s="452">
        <f t="shared" si="30"/>
        <v>0</v>
      </c>
      <c r="AR19" s="449">
        <f t="shared" si="31"/>
        <v>0</v>
      </c>
      <c r="AS19" s="450">
        <f t="shared" si="58"/>
        <v>0</v>
      </c>
      <c r="AT19" s="452">
        <f t="shared" si="32"/>
        <v>0</v>
      </c>
      <c r="AU19" s="449">
        <f t="shared" si="33"/>
        <v>0</v>
      </c>
      <c r="AV19" s="450">
        <f t="shared" si="59"/>
        <v>0</v>
      </c>
      <c r="AW19" s="452">
        <f t="shared" si="34"/>
        <v>0</v>
      </c>
      <c r="AX19" s="449">
        <f t="shared" si="35"/>
        <v>0</v>
      </c>
      <c r="AY19" s="450">
        <f t="shared" si="60"/>
        <v>0</v>
      </c>
      <c r="AZ19" s="452">
        <f t="shared" si="36"/>
        <v>0</v>
      </c>
      <c r="BA19" s="390">
        <f t="shared" si="9"/>
        <v>11</v>
      </c>
      <c r="BB19" s="1045">
        <f t="shared" si="10"/>
        <v>0</v>
      </c>
      <c r="BC19" s="449">
        <f t="shared" si="37"/>
        <v>0</v>
      </c>
      <c r="BD19" s="450">
        <f t="shared" si="61"/>
        <v>0</v>
      </c>
      <c r="BE19" s="452">
        <f t="shared" si="38"/>
        <v>0</v>
      </c>
      <c r="BF19" s="449">
        <f t="shared" si="39"/>
        <v>0</v>
      </c>
      <c r="BG19" s="450">
        <f t="shared" si="62"/>
        <v>0</v>
      </c>
      <c r="BH19" s="452">
        <f t="shared" si="40"/>
        <v>0</v>
      </c>
      <c r="BI19" s="449">
        <f t="shared" si="41"/>
        <v>0</v>
      </c>
      <c r="BJ19" s="450">
        <f t="shared" si="63"/>
        <v>0</v>
      </c>
      <c r="BK19" s="452">
        <f t="shared" si="42"/>
        <v>0</v>
      </c>
      <c r="BL19" s="449">
        <f t="shared" si="43"/>
        <v>0</v>
      </c>
      <c r="BM19" s="450">
        <f t="shared" si="64"/>
        <v>0</v>
      </c>
      <c r="BN19" s="452">
        <f t="shared" si="44"/>
        <v>0</v>
      </c>
      <c r="BO19" s="449">
        <f t="shared" si="45"/>
        <v>0</v>
      </c>
      <c r="BP19" s="450">
        <f t="shared" si="65"/>
        <v>0</v>
      </c>
      <c r="BQ19" s="452">
        <f t="shared" si="46"/>
        <v>0</v>
      </c>
    </row>
    <row r="20" spans="1:69" ht="12.75">
      <c r="A20" s="390">
        <f t="shared" si="0"/>
        <v>12</v>
      </c>
      <c r="B20" s="428"/>
      <c r="C20" s="415">
        <f t="shared" si="1"/>
        <v>0</v>
      </c>
      <c r="D20" s="415">
        <f t="shared" si="2"/>
        <v>0</v>
      </c>
      <c r="E20" s="415">
        <f t="shared" si="3"/>
        <v>0</v>
      </c>
      <c r="F20" s="427">
        <f t="shared" si="4"/>
        <v>0</v>
      </c>
      <c r="G20" s="449">
        <f aca="true" t="shared" si="66" ref="G20:G29">+G19</f>
        <v>0</v>
      </c>
      <c r="H20" s="450">
        <f t="shared" si="47"/>
        <v>0</v>
      </c>
      <c r="I20" s="292">
        <f t="shared" si="11"/>
        <v>0</v>
      </c>
      <c r="J20" s="449">
        <f aca="true" t="shared" si="67" ref="J20:J39">+J19</f>
        <v>0</v>
      </c>
      <c r="K20" s="450">
        <f t="shared" si="48"/>
        <v>0</v>
      </c>
      <c r="L20" s="292">
        <f t="shared" si="12"/>
        <v>0</v>
      </c>
      <c r="M20" s="449">
        <f t="shared" si="13"/>
        <v>0</v>
      </c>
      <c r="N20" s="450">
        <f t="shared" si="49"/>
        <v>0</v>
      </c>
      <c r="O20" s="292">
        <f t="shared" si="14"/>
        <v>0</v>
      </c>
      <c r="P20" s="449">
        <f t="shared" si="15"/>
        <v>0</v>
      </c>
      <c r="Q20" s="450">
        <f t="shared" si="50"/>
        <v>0</v>
      </c>
      <c r="R20" s="452">
        <f t="shared" si="16"/>
        <v>0</v>
      </c>
      <c r="S20" s="390">
        <f t="shared" si="5"/>
        <v>12</v>
      </c>
      <c r="T20" s="1045">
        <f t="shared" si="6"/>
        <v>0</v>
      </c>
      <c r="U20" s="449">
        <f t="shared" si="17"/>
        <v>0</v>
      </c>
      <c r="V20" s="450">
        <f t="shared" si="51"/>
        <v>0</v>
      </c>
      <c r="W20" s="452">
        <f t="shared" si="18"/>
        <v>0</v>
      </c>
      <c r="X20" s="449">
        <f t="shared" si="19"/>
        <v>0</v>
      </c>
      <c r="Y20" s="450">
        <f t="shared" si="52"/>
        <v>0</v>
      </c>
      <c r="Z20" s="452">
        <f t="shared" si="20"/>
        <v>0</v>
      </c>
      <c r="AA20" s="449">
        <f t="shared" si="21"/>
        <v>0</v>
      </c>
      <c r="AB20" s="450">
        <f t="shared" si="53"/>
        <v>0</v>
      </c>
      <c r="AC20" s="452">
        <f t="shared" si="22"/>
        <v>0</v>
      </c>
      <c r="AD20" s="449">
        <f t="shared" si="23"/>
        <v>0</v>
      </c>
      <c r="AE20" s="450">
        <f t="shared" si="54"/>
        <v>0</v>
      </c>
      <c r="AF20" s="452">
        <f t="shared" si="24"/>
        <v>0</v>
      </c>
      <c r="AG20" s="449">
        <f t="shared" si="25"/>
        <v>0</v>
      </c>
      <c r="AH20" s="450">
        <f t="shared" si="55"/>
        <v>0</v>
      </c>
      <c r="AI20" s="452">
        <f t="shared" si="26"/>
        <v>0</v>
      </c>
      <c r="AJ20" s="390">
        <f t="shared" si="7"/>
        <v>12</v>
      </c>
      <c r="AK20" s="1045">
        <f t="shared" si="8"/>
        <v>0</v>
      </c>
      <c r="AL20" s="449">
        <f t="shared" si="27"/>
        <v>0</v>
      </c>
      <c r="AM20" s="450">
        <f t="shared" si="56"/>
        <v>0</v>
      </c>
      <c r="AN20" s="452">
        <f t="shared" si="28"/>
        <v>0</v>
      </c>
      <c r="AO20" s="449">
        <f t="shared" si="29"/>
        <v>0</v>
      </c>
      <c r="AP20" s="450">
        <f t="shared" si="57"/>
        <v>0</v>
      </c>
      <c r="AQ20" s="452">
        <f t="shared" si="30"/>
        <v>0</v>
      </c>
      <c r="AR20" s="449">
        <f t="shared" si="31"/>
        <v>0</v>
      </c>
      <c r="AS20" s="450">
        <f t="shared" si="58"/>
        <v>0</v>
      </c>
      <c r="AT20" s="452">
        <f t="shared" si="32"/>
        <v>0</v>
      </c>
      <c r="AU20" s="449">
        <f t="shared" si="33"/>
        <v>0</v>
      </c>
      <c r="AV20" s="450">
        <f t="shared" si="59"/>
        <v>0</v>
      </c>
      <c r="AW20" s="452">
        <f t="shared" si="34"/>
        <v>0</v>
      </c>
      <c r="AX20" s="449">
        <f t="shared" si="35"/>
        <v>0</v>
      </c>
      <c r="AY20" s="450">
        <f t="shared" si="60"/>
        <v>0</v>
      </c>
      <c r="AZ20" s="452">
        <f t="shared" si="36"/>
        <v>0</v>
      </c>
      <c r="BA20" s="390">
        <f t="shared" si="9"/>
        <v>12</v>
      </c>
      <c r="BB20" s="1045">
        <f t="shared" si="10"/>
        <v>0</v>
      </c>
      <c r="BC20" s="449">
        <f t="shared" si="37"/>
        <v>0</v>
      </c>
      <c r="BD20" s="450">
        <f t="shared" si="61"/>
        <v>0</v>
      </c>
      <c r="BE20" s="452">
        <f t="shared" si="38"/>
        <v>0</v>
      </c>
      <c r="BF20" s="449">
        <f t="shared" si="39"/>
        <v>0</v>
      </c>
      <c r="BG20" s="450">
        <f t="shared" si="62"/>
        <v>0</v>
      </c>
      <c r="BH20" s="452">
        <f t="shared" si="40"/>
        <v>0</v>
      </c>
      <c r="BI20" s="449">
        <f t="shared" si="41"/>
        <v>0</v>
      </c>
      <c r="BJ20" s="450">
        <f t="shared" si="63"/>
        <v>0</v>
      </c>
      <c r="BK20" s="452">
        <f t="shared" si="42"/>
        <v>0</v>
      </c>
      <c r="BL20" s="449">
        <f t="shared" si="43"/>
        <v>0</v>
      </c>
      <c r="BM20" s="450">
        <f t="shared" si="64"/>
        <v>0</v>
      </c>
      <c r="BN20" s="452">
        <f t="shared" si="44"/>
        <v>0</v>
      </c>
      <c r="BO20" s="449">
        <f t="shared" si="45"/>
        <v>0</v>
      </c>
      <c r="BP20" s="450">
        <f t="shared" si="65"/>
        <v>0</v>
      </c>
      <c r="BQ20" s="452">
        <f t="shared" si="46"/>
        <v>0</v>
      </c>
    </row>
    <row r="21" spans="1:69" ht="12.75">
      <c r="A21" s="390">
        <f t="shared" si="0"/>
        <v>13</v>
      </c>
      <c r="B21" s="428"/>
      <c r="C21" s="415">
        <f t="shared" si="1"/>
        <v>0</v>
      </c>
      <c r="D21" s="415">
        <f t="shared" si="2"/>
        <v>0</v>
      </c>
      <c r="E21" s="415">
        <f t="shared" si="3"/>
        <v>0</v>
      </c>
      <c r="F21" s="427">
        <f t="shared" si="4"/>
        <v>0</v>
      </c>
      <c r="G21" s="449">
        <f t="shared" si="66"/>
        <v>0</v>
      </c>
      <c r="H21" s="450">
        <f t="shared" si="47"/>
        <v>0</v>
      </c>
      <c r="I21" s="292">
        <f t="shared" si="11"/>
        <v>0</v>
      </c>
      <c r="J21" s="449">
        <f t="shared" si="67"/>
        <v>0</v>
      </c>
      <c r="K21" s="450">
        <f t="shared" si="48"/>
        <v>0</v>
      </c>
      <c r="L21" s="292">
        <f t="shared" si="12"/>
        <v>0</v>
      </c>
      <c r="M21" s="449">
        <f t="shared" si="13"/>
        <v>0</v>
      </c>
      <c r="N21" s="450">
        <f t="shared" si="49"/>
        <v>0</v>
      </c>
      <c r="O21" s="292">
        <f t="shared" si="14"/>
        <v>0</v>
      </c>
      <c r="P21" s="449"/>
      <c r="Q21" s="450">
        <f t="shared" si="50"/>
        <v>0</v>
      </c>
      <c r="R21" s="452">
        <f t="shared" si="16"/>
        <v>0</v>
      </c>
      <c r="S21" s="390">
        <f t="shared" si="5"/>
        <v>13</v>
      </c>
      <c r="T21" s="1045">
        <f t="shared" si="6"/>
        <v>0</v>
      </c>
      <c r="U21" s="449"/>
      <c r="V21" s="450">
        <f t="shared" si="51"/>
        <v>0</v>
      </c>
      <c r="W21" s="452">
        <f t="shared" si="18"/>
        <v>0</v>
      </c>
      <c r="X21" s="449">
        <f t="shared" si="19"/>
        <v>0</v>
      </c>
      <c r="Y21" s="450">
        <f t="shared" si="52"/>
        <v>0</v>
      </c>
      <c r="Z21" s="452">
        <f t="shared" si="20"/>
        <v>0</v>
      </c>
      <c r="AA21" s="449">
        <f t="shared" si="21"/>
        <v>0</v>
      </c>
      <c r="AB21" s="450">
        <f t="shared" si="53"/>
        <v>0</v>
      </c>
      <c r="AC21" s="452">
        <f t="shared" si="22"/>
        <v>0</v>
      </c>
      <c r="AD21" s="449">
        <f t="shared" si="23"/>
        <v>0</v>
      </c>
      <c r="AE21" s="450">
        <f t="shared" si="54"/>
        <v>0</v>
      </c>
      <c r="AF21" s="452">
        <f t="shared" si="24"/>
        <v>0</v>
      </c>
      <c r="AG21" s="449">
        <f t="shared" si="25"/>
        <v>0</v>
      </c>
      <c r="AH21" s="450">
        <f t="shared" si="55"/>
        <v>0</v>
      </c>
      <c r="AI21" s="452">
        <f t="shared" si="26"/>
        <v>0</v>
      </c>
      <c r="AJ21" s="390">
        <f t="shared" si="7"/>
        <v>13</v>
      </c>
      <c r="AK21" s="1045">
        <f t="shared" si="8"/>
        <v>0</v>
      </c>
      <c r="AL21" s="449"/>
      <c r="AM21" s="450">
        <f t="shared" si="56"/>
        <v>0</v>
      </c>
      <c r="AN21" s="452">
        <f t="shared" si="28"/>
        <v>0</v>
      </c>
      <c r="AO21" s="449">
        <f t="shared" si="29"/>
        <v>0</v>
      </c>
      <c r="AP21" s="450">
        <f t="shared" si="57"/>
        <v>0</v>
      </c>
      <c r="AQ21" s="452">
        <f t="shared" si="30"/>
        <v>0</v>
      </c>
      <c r="AR21" s="449">
        <f t="shared" si="31"/>
        <v>0</v>
      </c>
      <c r="AS21" s="450">
        <f t="shared" si="58"/>
        <v>0</v>
      </c>
      <c r="AT21" s="452">
        <f t="shared" si="32"/>
        <v>0</v>
      </c>
      <c r="AU21" s="449">
        <f t="shared" si="33"/>
        <v>0</v>
      </c>
      <c r="AV21" s="450">
        <f t="shared" si="59"/>
        <v>0</v>
      </c>
      <c r="AW21" s="452">
        <f t="shared" si="34"/>
        <v>0</v>
      </c>
      <c r="AX21" s="449">
        <f t="shared" si="35"/>
        <v>0</v>
      </c>
      <c r="AY21" s="450">
        <f t="shared" si="60"/>
        <v>0</v>
      </c>
      <c r="AZ21" s="452">
        <f t="shared" si="36"/>
        <v>0</v>
      </c>
      <c r="BA21" s="390">
        <f t="shared" si="9"/>
        <v>13</v>
      </c>
      <c r="BB21" s="1045">
        <f t="shared" si="10"/>
        <v>0</v>
      </c>
      <c r="BC21" s="449">
        <f t="shared" si="37"/>
        <v>0</v>
      </c>
      <c r="BD21" s="450">
        <f t="shared" si="61"/>
        <v>0</v>
      </c>
      <c r="BE21" s="452">
        <f t="shared" si="38"/>
        <v>0</v>
      </c>
      <c r="BF21" s="449">
        <f t="shared" si="39"/>
        <v>0</v>
      </c>
      <c r="BG21" s="450">
        <f t="shared" si="62"/>
        <v>0</v>
      </c>
      <c r="BH21" s="452">
        <f t="shared" si="40"/>
        <v>0</v>
      </c>
      <c r="BI21" s="449">
        <f t="shared" si="41"/>
        <v>0</v>
      </c>
      <c r="BJ21" s="450">
        <f t="shared" si="63"/>
        <v>0</v>
      </c>
      <c r="BK21" s="452">
        <f t="shared" si="42"/>
        <v>0</v>
      </c>
      <c r="BL21" s="449">
        <f t="shared" si="43"/>
        <v>0</v>
      </c>
      <c r="BM21" s="450">
        <f t="shared" si="64"/>
        <v>0</v>
      </c>
      <c r="BN21" s="452">
        <f t="shared" si="44"/>
        <v>0</v>
      </c>
      <c r="BO21" s="449">
        <f t="shared" si="45"/>
        <v>0</v>
      </c>
      <c r="BP21" s="450">
        <f t="shared" si="65"/>
        <v>0</v>
      </c>
      <c r="BQ21" s="452">
        <f t="shared" si="46"/>
        <v>0</v>
      </c>
    </row>
    <row r="22" spans="1:69" ht="12.75">
      <c r="A22" s="390">
        <f t="shared" si="0"/>
        <v>14</v>
      </c>
      <c r="B22" s="428"/>
      <c r="C22" s="415">
        <f t="shared" si="1"/>
        <v>0</v>
      </c>
      <c r="D22" s="415">
        <f t="shared" si="2"/>
        <v>0</v>
      </c>
      <c r="E22" s="415">
        <f t="shared" si="3"/>
        <v>0</v>
      </c>
      <c r="F22" s="427">
        <f t="shared" si="4"/>
        <v>0</v>
      </c>
      <c r="G22" s="449">
        <f t="shared" si="66"/>
        <v>0</v>
      </c>
      <c r="H22" s="450">
        <f t="shared" si="47"/>
        <v>0</v>
      </c>
      <c r="I22" s="292">
        <f t="shared" si="11"/>
        <v>0</v>
      </c>
      <c r="J22" s="449">
        <f t="shared" si="67"/>
        <v>0</v>
      </c>
      <c r="K22" s="450">
        <f t="shared" si="48"/>
        <v>0</v>
      </c>
      <c r="L22" s="292">
        <f t="shared" si="12"/>
        <v>0</v>
      </c>
      <c r="M22" s="449">
        <f t="shared" si="13"/>
        <v>0</v>
      </c>
      <c r="N22" s="450">
        <f t="shared" si="49"/>
        <v>0</v>
      </c>
      <c r="O22" s="292">
        <f t="shared" si="14"/>
        <v>0</v>
      </c>
      <c r="P22" s="449">
        <f t="shared" si="15"/>
        <v>0</v>
      </c>
      <c r="Q22" s="450">
        <f t="shared" si="50"/>
        <v>0</v>
      </c>
      <c r="R22" s="452">
        <f t="shared" si="16"/>
        <v>0</v>
      </c>
      <c r="S22" s="390">
        <f t="shared" si="5"/>
        <v>14</v>
      </c>
      <c r="T22" s="1045">
        <f t="shared" si="6"/>
        <v>0</v>
      </c>
      <c r="U22" s="449">
        <f t="shared" si="17"/>
        <v>0</v>
      </c>
      <c r="V22" s="450">
        <f t="shared" si="51"/>
        <v>0</v>
      </c>
      <c r="W22" s="452">
        <f t="shared" si="18"/>
        <v>0</v>
      </c>
      <c r="X22" s="449"/>
      <c r="Y22" s="450">
        <f t="shared" si="52"/>
        <v>0</v>
      </c>
      <c r="Z22" s="452">
        <f t="shared" si="20"/>
        <v>0</v>
      </c>
      <c r="AA22" s="449">
        <f t="shared" si="21"/>
        <v>0</v>
      </c>
      <c r="AB22" s="450">
        <f t="shared" si="53"/>
        <v>0</v>
      </c>
      <c r="AC22" s="452">
        <f t="shared" si="22"/>
        <v>0</v>
      </c>
      <c r="AD22" s="449">
        <f t="shared" si="23"/>
        <v>0</v>
      </c>
      <c r="AE22" s="450">
        <f t="shared" si="54"/>
        <v>0</v>
      </c>
      <c r="AF22" s="452">
        <f t="shared" si="24"/>
        <v>0</v>
      </c>
      <c r="AG22" s="449">
        <f t="shared" si="25"/>
        <v>0</v>
      </c>
      <c r="AH22" s="450">
        <f t="shared" si="55"/>
        <v>0</v>
      </c>
      <c r="AI22" s="452">
        <f t="shared" si="26"/>
        <v>0</v>
      </c>
      <c r="AJ22" s="390">
        <f t="shared" si="7"/>
        <v>14</v>
      </c>
      <c r="AK22" s="1045">
        <f t="shared" si="8"/>
        <v>0</v>
      </c>
      <c r="AL22" s="449">
        <f t="shared" si="27"/>
        <v>0</v>
      </c>
      <c r="AM22" s="450">
        <f t="shared" si="56"/>
        <v>0</v>
      </c>
      <c r="AN22" s="452">
        <f t="shared" si="28"/>
        <v>0</v>
      </c>
      <c r="AO22" s="449">
        <f t="shared" si="29"/>
        <v>0</v>
      </c>
      <c r="AP22" s="450">
        <f t="shared" si="57"/>
        <v>0</v>
      </c>
      <c r="AQ22" s="452">
        <f t="shared" si="30"/>
        <v>0</v>
      </c>
      <c r="AR22" s="449">
        <f t="shared" si="31"/>
        <v>0</v>
      </c>
      <c r="AS22" s="450">
        <f t="shared" si="58"/>
        <v>0</v>
      </c>
      <c r="AT22" s="452">
        <f t="shared" si="32"/>
        <v>0</v>
      </c>
      <c r="AU22" s="449">
        <f>+AV10</f>
        <v>0</v>
      </c>
      <c r="AV22" s="450">
        <f t="shared" si="59"/>
        <v>0</v>
      </c>
      <c r="AW22" s="452">
        <f t="shared" si="34"/>
        <v>0</v>
      </c>
      <c r="AX22" s="449">
        <f t="shared" si="35"/>
        <v>0</v>
      </c>
      <c r="AY22" s="450">
        <f t="shared" si="60"/>
        <v>0</v>
      </c>
      <c r="AZ22" s="452">
        <f t="shared" si="36"/>
        <v>0</v>
      </c>
      <c r="BA22" s="390">
        <f t="shared" si="9"/>
        <v>14</v>
      </c>
      <c r="BB22" s="1045">
        <f t="shared" si="10"/>
        <v>0</v>
      </c>
      <c r="BC22" s="449">
        <f t="shared" si="37"/>
        <v>0</v>
      </c>
      <c r="BD22" s="450">
        <f t="shared" si="61"/>
        <v>0</v>
      </c>
      <c r="BE22" s="452">
        <f t="shared" si="38"/>
        <v>0</v>
      </c>
      <c r="BF22" s="449">
        <f t="shared" si="39"/>
        <v>0</v>
      </c>
      <c r="BG22" s="450">
        <f t="shared" si="62"/>
        <v>0</v>
      </c>
      <c r="BH22" s="452">
        <f t="shared" si="40"/>
        <v>0</v>
      </c>
      <c r="BI22" s="449">
        <f t="shared" si="41"/>
        <v>0</v>
      </c>
      <c r="BJ22" s="450">
        <f t="shared" si="63"/>
        <v>0</v>
      </c>
      <c r="BK22" s="452">
        <f t="shared" si="42"/>
        <v>0</v>
      </c>
      <c r="BL22" s="449">
        <f t="shared" si="43"/>
        <v>0</v>
      </c>
      <c r="BM22" s="450">
        <f t="shared" si="64"/>
        <v>0</v>
      </c>
      <c r="BN22" s="452">
        <f t="shared" si="44"/>
        <v>0</v>
      </c>
      <c r="BO22" s="449">
        <f t="shared" si="45"/>
        <v>0</v>
      </c>
      <c r="BP22" s="450">
        <f t="shared" si="65"/>
        <v>0</v>
      </c>
      <c r="BQ22" s="452">
        <f t="shared" si="46"/>
        <v>0</v>
      </c>
    </row>
    <row r="23" spans="1:69" ht="12.75">
      <c r="A23" s="390">
        <f t="shared" si="0"/>
        <v>15</v>
      </c>
      <c r="B23" s="428"/>
      <c r="C23" s="415">
        <f t="shared" si="1"/>
        <v>0</v>
      </c>
      <c r="D23" s="415">
        <f t="shared" si="2"/>
        <v>0</v>
      </c>
      <c r="E23" s="415">
        <f t="shared" si="3"/>
        <v>0</v>
      </c>
      <c r="F23" s="427">
        <f t="shared" si="4"/>
        <v>0</v>
      </c>
      <c r="G23" s="449">
        <f t="shared" si="66"/>
        <v>0</v>
      </c>
      <c r="H23" s="450">
        <f t="shared" si="47"/>
        <v>0</v>
      </c>
      <c r="I23" s="292">
        <f t="shared" si="11"/>
        <v>0</v>
      </c>
      <c r="J23" s="449">
        <f>+J22</f>
        <v>0</v>
      </c>
      <c r="K23" s="450">
        <f t="shared" si="48"/>
        <v>0</v>
      </c>
      <c r="L23" s="292">
        <f t="shared" si="12"/>
        <v>0</v>
      </c>
      <c r="M23" s="449">
        <f t="shared" si="13"/>
        <v>0</v>
      </c>
      <c r="N23" s="450">
        <f t="shared" si="49"/>
        <v>0</v>
      </c>
      <c r="O23" s="292">
        <f t="shared" si="14"/>
        <v>0</v>
      </c>
      <c r="P23" s="449">
        <f t="shared" si="15"/>
        <v>0</v>
      </c>
      <c r="Q23" s="450">
        <f t="shared" si="50"/>
        <v>0</v>
      </c>
      <c r="R23" s="452">
        <f t="shared" si="16"/>
        <v>0</v>
      </c>
      <c r="S23" s="390">
        <f t="shared" si="5"/>
        <v>15</v>
      </c>
      <c r="T23" s="1045">
        <f t="shared" si="6"/>
        <v>0</v>
      </c>
      <c r="U23" s="449">
        <f t="shared" si="17"/>
        <v>0</v>
      </c>
      <c r="V23" s="450">
        <f t="shared" si="51"/>
        <v>0</v>
      </c>
      <c r="W23" s="452">
        <f t="shared" si="18"/>
        <v>0</v>
      </c>
      <c r="X23" s="449">
        <f t="shared" si="19"/>
        <v>0</v>
      </c>
      <c r="Y23" s="450">
        <f t="shared" si="52"/>
        <v>0</v>
      </c>
      <c r="Z23" s="452">
        <f t="shared" si="20"/>
        <v>0</v>
      </c>
      <c r="AA23" s="449">
        <f t="shared" si="21"/>
        <v>0</v>
      </c>
      <c r="AB23" s="450">
        <f t="shared" si="53"/>
        <v>0</v>
      </c>
      <c r="AC23" s="452">
        <f t="shared" si="22"/>
        <v>0</v>
      </c>
      <c r="AD23" s="449">
        <f t="shared" si="23"/>
        <v>0</v>
      </c>
      <c r="AE23" s="450">
        <f t="shared" si="54"/>
        <v>0</v>
      </c>
      <c r="AF23" s="452">
        <f t="shared" si="24"/>
        <v>0</v>
      </c>
      <c r="AG23" s="449">
        <f t="shared" si="25"/>
        <v>0</v>
      </c>
      <c r="AH23" s="450">
        <f t="shared" si="55"/>
        <v>0</v>
      </c>
      <c r="AI23" s="452">
        <f t="shared" si="26"/>
        <v>0</v>
      </c>
      <c r="AJ23" s="390">
        <f t="shared" si="7"/>
        <v>15</v>
      </c>
      <c r="AK23" s="1045">
        <f t="shared" si="8"/>
        <v>0</v>
      </c>
      <c r="AL23" s="449">
        <f t="shared" si="27"/>
        <v>0</v>
      </c>
      <c r="AM23" s="450">
        <f t="shared" si="56"/>
        <v>0</v>
      </c>
      <c r="AN23" s="452">
        <f t="shared" si="28"/>
        <v>0</v>
      </c>
      <c r="AO23" s="449">
        <f t="shared" si="29"/>
        <v>0</v>
      </c>
      <c r="AP23" s="450">
        <f t="shared" si="57"/>
        <v>0</v>
      </c>
      <c r="AQ23" s="452">
        <f t="shared" si="30"/>
        <v>0</v>
      </c>
      <c r="AR23" s="449">
        <f t="shared" si="31"/>
        <v>0</v>
      </c>
      <c r="AS23" s="450">
        <f t="shared" si="58"/>
        <v>0</v>
      </c>
      <c r="AT23" s="452">
        <f t="shared" si="32"/>
        <v>0</v>
      </c>
      <c r="AU23" s="449">
        <f t="shared" si="33"/>
        <v>0</v>
      </c>
      <c r="AV23" s="450">
        <f t="shared" si="59"/>
        <v>0</v>
      </c>
      <c r="AW23" s="452">
        <f t="shared" si="34"/>
        <v>0</v>
      </c>
      <c r="AX23" s="449">
        <f t="shared" si="35"/>
        <v>0</v>
      </c>
      <c r="AY23" s="450">
        <f t="shared" si="60"/>
        <v>0</v>
      </c>
      <c r="AZ23" s="452">
        <f t="shared" si="36"/>
        <v>0</v>
      </c>
      <c r="BA23" s="390">
        <f t="shared" si="9"/>
        <v>15</v>
      </c>
      <c r="BB23" s="1045">
        <f t="shared" si="10"/>
        <v>0</v>
      </c>
      <c r="BC23" s="449">
        <f t="shared" si="37"/>
        <v>0</v>
      </c>
      <c r="BD23" s="450">
        <f t="shared" si="61"/>
        <v>0</v>
      </c>
      <c r="BE23" s="452">
        <f t="shared" si="38"/>
        <v>0</v>
      </c>
      <c r="BF23" s="449">
        <f t="shared" si="39"/>
        <v>0</v>
      </c>
      <c r="BG23" s="450">
        <f t="shared" si="62"/>
        <v>0</v>
      </c>
      <c r="BH23" s="452">
        <f t="shared" si="40"/>
        <v>0</v>
      </c>
      <c r="BI23" s="449">
        <f t="shared" si="41"/>
        <v>0</v>
      </c>
      <c r="BJ23" s="450">
        <f t="shared" si="63"/>
        <v>0</v>
      </c>
      <c r="BK23" s="452">
        <f t="shared" si="42"/>
        <v>0</v>
      </c>
      <c r="BL23" s="449">
        <f t="shared" si="43"/>
        <v>0</v>
      </c>
      <c r="BM23" s="450">
        <f t="shared" si="64"/>
        <v>0</v>
      </c>
      <c r="BN23" s="452">
        <f t="shared" si="44"/>
        <v>0</v>
      </c>
      <c r="BO23" s="449">
        <f t="shared" si="45"/>
        <v>0</v>
      </c>
      <c r="BP23" s="450">
        <f t="shared" si="65"/>
        <v>0</v>
      </c>
      <c r="BQ23" s="452">
        <f t="shared" si="46"/>
        <v>0</v>
      </c>
    </row>
    <row r="24" spans="1:69" ht="12.75">
      <c r="A24" s="390">
        <f t="shared" si="0"/>
        <v>16</v>
      </c>
      <c r="B24" s="428"/>
      <c r="C24" s="415">
        <f t="shared" si="1"/>
        <v>0</v>
      </c>
      <c r="D24" s="415">
        <f t="shared" si="2"/>
        <v>0</v>
      </c>
      <c r="E24" s="415">
        <f t="shared" si="3"/>
        <v>0</v>
      </c>
      <c r="F24" s="427">
        <f t="shared" si="4"/>
        <v>0</v>
      </c>
      <c r="G24" s="449">
        <f t="shared" si="66"/>
        <v>0</v>
      </c>
      <c r="H24" s="450">
        <f t="shared" si="47"/>
        <v>0</v>
      </c>
      <c r="I24" s="292">
        <f t="shared" si="11"/>
        <v>0</v>
      </c>
      <c r="J24" s="449">
        <f t="shared" si="67"/>
        <v>0</v>
      </c>
      <c r="K24" s="450">
        <f t="shared" si="48"/>
        <v>0</v>
      </c>
      <c r="L24" s="292">
        <f t="shared" si="12"/>
        <v>0</v>
      </c>
      <c r="M24" s="449">
        <f t="shared" si="13"/>
        <v>0</v>
      </c>
      <c r="N24" s="450">
        <f t="shared" si="49"/>
        <v>0</v>
      </c>
      <c r="O24" s="292">
        <f t="shared" si="14"/>
        <v>0</v>
      </c>
      <c r="P24" s="449">
        <f t="shared" si="15"/>
        <v>0</v>
      </c>
      <c r="Q24" s="450">
        <f t="shared" si="50"/>
        <v>0</v>
      </c>
      <c r="R24" s="452">
        <f t="shared" si="16"/>
        <v>0</v>
      </c>
      <c r="S24" s="390">
        <f t="shared" si="5"/>
        <v>16</v>
      </c>
      <c r="T24" s="1045">
        <f t="shared" si="6"/>
        <v>0</v>
      </c>
      <c r="U24" s="449">
        <f>+U23</f>
        <v>0</v>
      </c>
      <c r="V24" s="450">
        <f t="shared" si="51"/>
        <v>0</v>
      </c>
      <c r="W24" s="452">
        <f t="shared" si="18"/>
        <v>0</v>
      </c>
      <c r="X24" s="449">
        <f t="shared" si="19"/>
        <v>0</v>
      </c>
      <c r="Y24" s="450">
        <f t="shared" si="52"/>
        <v>0</v>
      </c>
      <c r="Z24" s="452">
        <f t="shared" si="20"/>
        <v>0</v>
      </c>
      <c r="AA24" s="449"/>
      <c r="AB24" s="450">
        <f t="shared" si="53"/>
        <v>0</v>
      </c>
      <c r="AC24" s="452">
        <f t="shared" si="22"/>
        <v>0</v>
      </c>
      <c r="AD24" s="449">
        <f t="shared" si="23"/>
        <v>0</v>
      </c>
      <c r="AE24" s="450">
        <f t="shared" si="54"/>
        <v>0</v>
      </c>
      <c r="AF24" s="452">
        <f t="shared" si="24"/>
        <v>0</v>
      </c>
      <c r="AG24" s="449">
        <f t="shared" si="25"/>
        <v>0</v>
      </c>
      <c r="AH24" s="450">
        <f t="shared" si="55"/>
        <v>0</v>
      </c>
      <c r="AI24" s="452">
        <f t="shared" si="26"/>
        <v>0</v>
      </c>
      <c r="AJ24" s="390">
        <f t="shared" si="7"/>
        <v>16</v>
      </c>
      <c r="AK24" s="1045">
        <f t="shared" si="8"/>
        <v>0</v>
      </c>
      <c r="AL24" s="449">
        <f t="shared" si="27"/>
        <v>0</v>
      </c>
      <c r="AM24" s="450">
        <f t="shared" si="56"/>
        <v>0</v>
      </c>
      <c r="AN24" s="452">
        <f t="shared" si="28"/>
        <v>0</v>
      </c>
      <c r="AO24" s="449">
        <f t="shared" si="29"/>
        <v>0</v>
      </c>
      <c r="AP24" s="450">
        <f t="shared" si="57"/>
        <v>0</v>
      </c>
      <c r="AQ24" s="452">
        <f t="shared" si="30"/>
        <v>0</v>
      </c>
      <c r="AR24" s="449">
        <f t="shared" si="31"/>
        <v>0</v>
      </c>
      <c r="AS24" s="450">
        <f t="shared" si="58"/>
        <v>0</v>
      </c>
      <c r="AT24" s="452">
        <f t="shared" si="32"/>
        <v>0</v>
      </c>
      <c r="AU24" s="449">
        <f t="shared" si="33"/>
        <v>0</v>
      </c>
      <c r="AV24" s="450">
        <f t="shared" si="59"/>
        <v>0</v>
      </c>
      <c r="AW24" s="452">
        <f t="shared" si="34"/>
        <v>0</v>
      </c>
      <c r="AX24" s="449">
        <f t="shared" si="35"/>
        <v>0</v>
      </c>
      <c r="AY24" s="450">
        <f t="shared" si="60"/>
        <v>0</v>
      </c>
      <c r="AZ24" s="452">
        <f t="shared" si="36"/>
        <v>0</v>
      </c>
      <c r="BA24" s="390">
        <f t="shared" si="9"/>
        <v>16</v>
      </c>
      <c r="BB24" s="1045">
        <f t="shared" si="10"/>
        <v>0</v>
      </c>
      <c r="BC24" s="449">
        <f t="shared" si="37"/>
        <v>0</v>
      </c>
      <c r="BD24" s="450">
        <f t="shared" si="61"/>
        <v>0</v>
      </c>
      <c r="BE24" s="452">
        <f t="shared" si="38"/>
        <v>0</v>
      </c>
      <c r="BF24" s="449">
        <f t="shared" si="39"/>
        <v>0</v>
      </c>
      <c r="BG24" s="450">
        <f t="shared" si="62"/>
        <v>0</v>
      </c>
      <c r="BH24" s="452">
        <f t="shared" si="40"/>
        <v>0</v>
      </c>
      <c r="BI24" s="449">
        <f t="shared" si="41"/>
        <v>0</v>
      </c>
      <c r="BJ24" s="450">
        <f t="shared" si="63"/>
        <v>0</v>
      </c>
      <c r="BK24" s="452">
        <f t="shared" si="42"/>
        <v>0</v>
      </c>
      <c r="BL24" s="449">
        <f t="shared" si="43"/>
        <v>0</v>
      </c>
      <c r="BM24" s="450">
        <f t="shared" si="64"/>
        <v>0</v>
      </c>
      <c r="BN24" s="452">
        <f t="shared" si="44"/>
        <v>0</v>
      </c>
      <c r="BO24" s="449">
        <f t="shared" si="45"/>
        <v>0</v>
      </c>
      <c r="BP24" s="450">
        <f t="shared" si="65"/>
        <v>0</v>
      </c>
      <c r="BQ24" s="452">
        <f t="shared" si="46"/>
        <v>0</v>
      </c>
    </row>
    <row r="25" spans="1:69" ht="12.75">
      <c r="A25" s="390">
        <f t="shared" si="0"/>
        <v>17</v>
      </c>
      <c r="B25" s="428"/>
      <c r="C25" s="415">
        <f t="shared" si="1"/>
        <v>0</v>
      </c>
      <c r="D25" s="415">
        <f t="shared" si="2"/>
        <v>0</v>
      </c>
      <c r="E25" s="415">
        <f t="shared" si="3"/>
        <v>0</v>
      </c>
      <c r="F25" s="427">
        <f t="shared" si="4"/>
        <v>0</v>
      </c>
      <c r="G25" s="449">
        <f t="shared" si="66"/>
        <v>0</v>
      </c>
      <c r="H25" s="450">
        <f t="shared" si="47"/>
        <v>0</v>
      </c>
      <c r="I25" s="292">
        <f t="shared" si="11"/>
        <v>0</v>
      </c>
      <c r="J25" s="449">
        <f t="shared" si="67"/>
        <v>0</v>
      </c>
      <c r="K25" s="450">
        <f t="shared" si="48"/>
        <v>0</v>
      </c>
      <c r="L25" s="292">
        <f t="shared" si="12"/>
        <v>0</v>
      </c>
      <c r="M25" s="449">
        <f>+N10</f>
        <v>0</v>
      </c>
      <c r="N25" s="450">
        <f t="shared" si="49"/>
        <v>0</v>
      </c>
      <c r="O25" s="292">
        <f t="shared" si="14"/>
        <v>0</v>
      </c>
      <c r="P25" s="449">
        <f t="shared" si="15"/>
        <v>0</v>
      </c>
      <c r="Q25" s="450">
        <f t="shared" si="50"/>
        <v>0</v>
      </c>
      <c r="R25" s="452">
        <f t="shared" si="16"/>
        <v>0</v>
      </c>
      <c r="S25" s="390">
        <f t="shared" si="5"/>
        <v>17</v>
      </c>
      <c r="T25" s="1045">
        <f t="shared" si="6"/>
        <v>0</v>
      </c>
      <c r="U25" s="449">
        <f>+U24</f>
        <v>0</v>
      </c>
      <c r="V25" s="450">
        <f t="shared" si="51"/>
        <v>0</v>
      </c>
      <c r="W25" s="452">
        <f t="shared" si="18"/>
        <v>0</v>
      </c>
      <c r="X25" s="449">
        <f t="shared" si="19"/>
        <v>0</v>
      </c>
      <c r="Y25" s="450">
        <f t="shared" si="52"/>
        <v>0</v>
      </c>
      <c r="Z25" s="452">
        <f t="shared" si="20"/>
        <v>0</v>
      </c>
      <c r="AA25" s="449">
        <f t="shared" si="21"/>
        <v>0</v>
      </c>
      <c r="AB25" s="450">
        <f t="shared" si="53"/>
        <v>0</v>
      </c>
      <c r="AC25" s="452">
        <f t="shared" si="22"/>
        <v>0</v>
      </c>
      <c r="AD25" s="449">
        <f t="shared" si="23"/>
        <v>0</v>
      </c>
      <c r="AE25" s="450">
        <f t="shared" si="54"/>
        <v>0</v>
      </c>
      <c r="AF25" s="452">
        <f t="shared" si="24"/>
        <v>0</v>
      </c>
      <c r="AG25" s="449"/>
      <c r="AH25" s="450">
        <f t="shared" si="55"/>
        <v>0</v>
      </c>
      <c r="AI25" s="452">
        <f t="shared" si="26"/>
        <v>0</v>
      </c>
      <c r="AJ25" s="390">
        <f t="shared" si="7"/>
        <v>17</v>
      </c>
      <c r="AK25" s="1045">
        <f t="shared" si="8"/>
        <v>0</v>
      </c>
      <c r="AL25" s="449">
        <f t="shared" si="27"/>
        <v>0</v>
      </c>
      <c r="AM25" s="450">
        <f t="shared" si="56"/>
        <v>0</v>
      </c>
      <c r="AN25" s="452">
        <f t="shared" si="28"/>
        <v>0</v>
      </c>
      <c r="AO25" s="449">
        <f t="shared" si="29"/>
        <v>0</v>
      </c>
      <c r="AP25" s="450">
        <f t="shared" si="57"/>
        <v>0</v>
      </c>
      <c r="AQ25" s="452">
        <f t="shared" si="30"/>
        <v>0</v>
      </c>
      <c r="AR25" s="449">
        <f t="shared" si="31"/>
        <v>0</v>
      </c>
      <c r="AS25" s="450">
        <f t="shared" si="58"/>
        <v>0</v>
      </c>
      <c r="AT25" s="452">
        <f t="shared" si="32"/>
        <v>0</v>
      </c>
      <c r="AU25" s="449">
        <f t="shared" si="33"/>
        <v>0</v>
      </c>
      <c r="AV25" s="450">
        <f t="shared" si="59"/>
        <v>0</v>
      </c>
      <c r="AW25" s="452">
        <f t="shared" si="34"/>
        <v>0</v>
      </c>
      <c r="AX25" s="449">
        <f t="shared" si="35"/>
        <v>0</v>
      </c>
      <c r="AY25" s="450">
        <f t="shared" si="60"/>
        <v>0</v>
      </c>
      <c r="AZ25" s="452">
        <f t="shared" si="36"/>
        <v>0</v>
      </c>
      <c r="BA25" s="390">
        <f t="shared" si="9"/>
        <v>17</v>
      </c>
      <c r="BB25" s="1045">
        <f t="shared" si="10"/>
        <v>0</v>
      </c>
      <c r="BC25" s="449">
        <f t="shared" si="37"/>
        <v>0</v>
      </c>
      <c r="BD25" s="450">
        <f t="shared" si="61"/>
        <v>0</v>
      </c>
      <c r="BE25" s="452">
        <f t="shared" si="38"/>
        <v>0</v>
      </c>
      <c r="BF25" s="449">
        <f t="shared" si="39"/>
        <v>0</v>
      </c>
      <c r="BG25" s="450">
        <f t="shared" si="62"/>
        <v>0</v>
      </c>
      <c r="BH25" s="452">
        <f t="shared" si="40"/>
        <v>0</v>
      </c>
      <c r="BI25" s="449">
        <f t="shared" si="41"/>
        <v>0</v>
      </c>
      <c r="BJ25" s="450">
        <f t="shared" si="63"/>
        <v>0</v>
      </c>
      <c r="BK25" s="452">
        <f t="shared" si="42"/>
        <v>0</v>
      </c>
      <c r="BL25" s="449">
        <f t="shared" si="43"/>
        <v>0</v>
      </c>
      <c r="BM25" s="450">
        <f t="shared" si="64"/>
        <v>0</v>
      </c>
      <c r="BN25" s="452">
        <f t="shared" si="44"/>
        <v>0</v>
      </c>
      <c r="BO25" s="449">
        <f t="shared" si="45"/>
        <v>0</v>
      </c>
      <c r="BP25" s="450">
        <f t="shared" si="65"/>
        <v>0</v>
      </c>
      <c r="BQ25" s="452">
        <f t="shared" si="46"/>
        <v>0</v>
      </c>
    </row>
    <row r="26" spans="1:69" ht="12.75">
      <c r="A26" s="390">
        <f t="shared" si="0"/>
        <v>18</v>
      </c>
      <c r="B26" s="428"/>
      <c r="C26" s="415">
        <f t="shared" si="1"/>
        <v>0</v>
      </c>
      <c r="D26" s="415">
        <f t="shared" si="2"/>
        <v>0</v>
      </c>
      <c r="E26" s="415">
        <f t="shared" si="3"/>
        <v>0</v>
      </c>
      <c r="F26" s="427">
        <f t="shared" si="4"/>
        <v>0</v>
      </c>
      <c r="G26" s="449">
        <f t="shared" si="66"/>
        <v>0</v>
      </c>
      <c r="H26" s="450">
        <f t="shared" si="47"/>
        <v>0</v>
      </c>
      <c r="I26" s="292">
        <f t="shared" si="11"/>
        <v>0</v>
      </c>
      <c r="J26" s="449">
        <f t="shared" si="67"/>
        <v>0</v>
      </c>
      <c r="K26" s="450">
        <f t="shared" si="48"/>
        <v>0</v>
      </c>
      <c r="L26" s="292">
        <f t="shared" si="12"/>
        <v>0</v>
      </c>
      <c r="M26" s="449">
        <f>+M25</f>
        <v>0</v>
      </c>
      <c r="N26" s="450">
        <f t="shared" si="49"/>
        <v>0</v>
      </c>
      <c r="O26" s="292">
        <f t="shared" si="14"/>
        <v>0</v>
      </c>
      <c r="P26" s="449">
        <f aca="true" t="shared" si="68" ref="P26:P39">+P25</f>
        <v>0</v>
      </c>
      <c r="Q26" s="450">
        <f t="shared" si="50"/>
        <v>0</v>
      </c>
      <c r="R26" s="452">
        <f t="shared" si="16"/>
        <v>0</v>
      </c>
      <c r="S26" s="390">
        <f t="shared" si="5"/>
        <v>18</v>
      </c>
      <c r="T26" s="1045">
        <f t="shared" si="6"/>
        <v>0</v>
      </c>
      <c r="U26" s="449">
        <f>+U25</f>
        <v>0</v>
      </c>
      <c r="V26" s="450">
        <f t="shared" si="51"/>
        <v>0</v>
      </c>
      <c r="W26" s="452">
        <f t="shared" si="18"/>
        <v>0</v>
      </c>
      <c r="X26" s="449">
        <f t="shared" si="19"/>
        <v>0</v>
      </c>
      <c r="Y26" s="450">
        <f t="shared" si="52"/>
        <v>0</v>
      </c>
      <c r="Z26" s="452">
        <f t="shared" si="20"/>
        <v>0</v>
      </c>
      <c r="AA26" s="449">
        <f t="shared" si="21"/>
        <v>0</v>
      </c>
      <c r="AB26" s="450">
        <f t="shared" si="53"/>
        <v>0</v>
      </c>
      <c r="AC26" s="452">
        <f t="shared" si="22"/>
        <v>0</v>
      </c>
      <c r="AD26" s="449">
        <f t="shared" si="23"/>
        <v>0</v>
      </c>
      <c r="AE26" s="450">
        <f t="shared" si="54"/>
        <v>0</v>
      </c>
      <c r="AF26" s="452">
        <f t="shared" si="24"/>
        <v>0</v>
      </c>
      <c r="AG26" s="449">
        <f t="shared" si="25"/>
        <v>0</v>
      </c>
      <c r="AH26" s="450">
        <f t="shared" si="55"/>
        <v>0</v>
      </c>
      <c r="AI26" s="452">
        <f t="shared" si="26"/>
        <v>0</v>
      </c>
      <c r="AJ26" s="390">
        <f t="shared" si="7"/>
        <v>18</v>
      </c>
      <c r="AK26" s="1045">
        <f t="shared" si="8"/>
        <v>0</v>
      </c>
      <c r="AL26" s="449">
        <f t="shared" si="27"/>
        <v>0</v>
      </c>
      <c r="AM26" s="450">
        <f t="shared" si="56"/>
        <v>0</v>
      </c>
      <c r="AN26" s="452">
        <f t="shared" si="28"/>
        <v>0</v>
      </c>
      <c r="AO26" s="449">
        <f t="shared" si="29"/>
        <v>0</v>
      </c>
      <c r="AP26" s="450">
        <f t="shared" si="57"/>
        <v>0</v>
      </c>
      <c r="AQ26" s="452">
        <f t="shared" si="30"/>
        <v>0</v>
      </c>
      <c r="AR26" s="449">
        <f>+AS10</f>
        <v>0</v>
      </c>
      <c r="AS26" s="450">
        <f t="shared" si="58"/>
        <v>0</v>
      </c>
      <c r="AT26" s="452">
        <f t="shared" si="32"/>
        <v>0</v>
      </c>
      <c r="AU26" s="449">
        <f t="shared" si="33"/>
        <v>0</v>
      </c>
      <c r="AV26" s="450">
        <f t="shared" si="59"/>
        <v>0</v>
      </c>
      <c r="AW26" s="452">
        <f t="shared" si="34"/>
        <v>0</v>
      </c>
      <c r="AX26" s="449">
        <f t="shared" si="35"/>
        <v>0</v>
      </c>
      <c r="AY26" s="450">
        <f t="shared" si="60"/>
        <v>0</v>
      </c>
      <c r="AZ26" s="452">
        <f t="shared" si="36"/>
        <v>0</v>
      </c>
      <c r="BA26" s="390">
        <f t="shared" si="9"/>
        <v>18</v>
      </c>
      <c r="BB26" s="1045">
        <f t="shared" si="10"/>
        <v>0</v>
      </c>
      <c r="BC26" s="449">
        <f t="shared" si="37"/>
        <v>0</v>
      </c>
      <c r="BD26" s="450">
        <f t="shared" si="61"/>
        <v>0</v>
      </c>
      <c r="BE26" s="452">
        <f t="shared" si="38"/>
        <v>0</v>
      </c>
      <c r="BF26" s="449">
        <f t="shared" si="39"/>
        <v>0</v>
      </c>
      <c r="BG26" s="450">
        <f t="shared" si="62"/>
        <v>0</v>
      </c>
      <c r="BH26" s="452">
        <f t="shared" si="40"/>
        <v>0</v>
      </c>
      <c r="BI26" s="449">
        <f t="shared" si="41"/>
        <v>0</v>
      </c>
      <c r="BJ26" s="450">
        <f t="shared" si="63"/>
        <v>0</v>
      </c>
      <c r="BK26" s="452">
        <f t="shared" si="42"/>
        <v>0</v>
      </c>
      <c r="BL26" s="449">
        <f t="shared" si="43"/>
        <v>0</v>
      </c>
      <c r="BM26" s="450">
        <f t="shared" si="64"/>
        <v>0</v>
      </c>
      <c r="BN26" s="452">
        <f t="shared" si="44"/>
        <v>0</v>
      </c>
      <c r="BO26" s="449">
        <f t="shared" si="45"/>
        <v>0</v>
      </c>
      <c r="BP26" s="450">
        <f t="shared" si="65"/>
        <v>0</v>
      </c>
      <c r="BQ26" s="452">
        <f t="shared" si="46"/>
        <v>0</v>
      </c>
    </row>
    <row r="27" spans="1:69" ht="12.75">
      <c r="A27" s="390">
        <f t="shared" si="0"/>
        <v>19</v>
      </c>
      <c r="B27" s="428"/>
      <c r="C27" s="415">
        <f t="shared" si="1"/>
        <v>0</v>
      </c>
      <c r="D27" s="415">
        <f t="shared" si="2"/>
        <v>0</v>
      </c>
      <c r="E27" s="415">
        <f t="shared" si="3"/>
        <v>0</v>
      </c>
      <c r="F27" s="427">
        <f t="shared" si="4"/>
        <v>0</v>
      </c>
      <c r="G27" s="449">
        <f t="shared" si="66"/>
        <v>0</v>
      </c>
      <c r="H27" s="450">
        <f t="shared" si="47"/>
        <v>0</v>
      </c>
      <c r="I27" s="292">
        <f>+G27-H27</f>
        <v>0</v>
      </c>
      <c r="J27" s="449">
        <f t="shared" si="67"/>
        <v>0</v>
      </c>
      <c r="K27" s="450">
        <f t="shared" si="48"/>
        <v>0</v>
      </c>
      <c r="L27" s="292">
        <f t="shared" si="12"/>
        <v>0</v>
      </c>
      <c r="M27" s="449">
        <f aca="true" t="shared" si="69" ref="M27:M33">+M26</f>
        <v>0</v>
      </c>
      <c r="N27" s="450">
        <f t="shared" si="49"/>
        <v>0</v>
      </c>
      <c r="O27" s="292">
        <f t="shared" si="14"/>
        <v>0</v>
      </c>
      <c r="P27" s="449">
        <f t="shared" si="68"/>
        <v>0</v>
      </c>
      <c r="Q27" s="450">
        <f t="shared" si="50"/>
        <v>0</v>
      </c>
      <c r="R27" s="452">
        <f t="shared" si="16"/>
        <v>0</v>
      </c>
      <c r="S27" s="390">
        <f t="shared" si="5"/>
        <v>19</v>
      </c>
      <c r="T27" s="1045">
        <f t="shared" si="6"/>
        <v>0</v>
      </c>
      <c r="U27" s="449">
        <f>+U26</f>
        <v>0</v>
      </c>
      <c r="V27" s="450">
        <f t="shared" si="51"/>
        <v>0</v>
      </c>
      <c r="W27" s="452">
        <f t="shared" si="18"/>
        <v>0</v>
      </c>
      <c r="X27" s="449">
        <f t="shared" si="19"/>
        <v>0</v>
      </c>
      <c r="Y27" s="450">
        <f t="shared" si="52"/>
        <v>0</v>
      </c>
      <c r="Z27" s="452">
        <f t="shared" si="20"/>
        <v>0</v>
      </c>
      <c r="AA27" s="449">
        <f t="shared" si="21"/>
        <v>0</v>
      </c>
      <c r="AB27" s="450">
        <f t="shared" si="53"/>
        <v>0</v>
      </c>
      <c r="AC27" s="452">
        <f t="shared" si="22"/>
        <v>0</v>
      </c>
      <c r="AD27" s="449">
        <f t="shared" si="23"/>
        <v>0</v>
      </c>
      <c r="AE27" s="450">
        <f t="shared" si="54"/>
        <v>0</v>
      </c>
      <c r="AF27" s="452">
        <f t="shared" si="24"/>
        <v>0</v>
      </c>
      <c r="AG27" s="449">
        <f t="shared" si="25"/>
        <v>0</v>
      </c>
      <c r="AH27" s="450">
        <f t="shared" si="55"/>
        <v>0</v>
      </c>
      <c r="AI27" s="452">
        <f t="shared" si="26"/>
        <v>0</v>
      </c>
      <c r="AJ27" s="390">
        <f t="shared" si="7"/>
        <v>19</v>
      </c>
      <c r="AK27" s="1045">
        <f t="shared" si="8"/>
        <v>0</v>
      </c>
      <c r="AL27" s="449">
        <f t="shared" si="27"/>
        <v>0</v>
      </c>
      <c r="AM27" s="450">
        <f t="shared" si="56"/>
        <v>0</v>
      </c>
      <c r="AN27" s="452">
        <f t="shared" si="28"/>
        <v>0</v>
      </c>
      <c r="AO27" s="449">
        <f t="shared" si="29"/>
        <v>0</v>
      </c>
      <c r="AP27" s="450">
        <f t="shared" si="57"/>
        <v>0</v>
      </c>
      <c r="AQ27" s="452">
        <f t="shared" si="30"/>
        <v>0</v>
      </c>
      <c r="AR27" s="449">
        <f t="shared" si="31"/>
        <v>0</v>
      </c>
      <c r="AS27" s="450">
        <f t="shared" si="58"/>
        <v>0</v>
      </c>
      <c r="AT27" s="452">
        <f t="shared" si="32"/>
        <v>0</v>
      </c>
      <c r="AU27" s="449">
        <f t="shared" si="33"/>
        <v>0</v>
      </c>
      <c r="AV27" s="450">
        <f t="shared" si="59"/>
        <v>0</v>
      </c>
      <c r="AW27" s="452">
        <f t="shared" si="34"/>
        <v>0</v>
      </c>
      <c r="AX27" s="449">
        <f t="shared" si="35"/>
        <v>0</v>
      </c>
      <c r="AY27" s="450">
        <f t="shared" si="60"/>
        <v>0</v>
      </c>
      <c r="AZ27" s="452">
        <f t="shared" si="36"/>
        <v>0</v>
      </c>
      <c r="BA27" s="390">
        <f t="shared" si="9"/>
        <v>19</v>
      </c>
      <c r="BB27" s="1045">
        <f t="shared" si="10"/>
        <v>0</v>
      </c>
      <c r="BC27" s="449">
        <f t="shared" si="37"/>
        <v>0</v>
      </c>
      <c r="BD27" s="450">
        <f t="shared" si="61"/>
        <v>0</v>
      </c>
      <c r="BE27" s="452">
        <f t="shared" si="38"/>
        <v>0</v>
      </c>
      <c r="BF27" s="449">
        <f t="shared" si="39"/>
        <v>0</v>
      </c>
      <c r="BG27" s="450">
        <f t="shared" si="62"/>
        <v>0</v>
      </c>
      <c r="BH27" s="452">
        <f t="shared" si="40"/>
        <v>0</v>
      </c>
      <c r="BI27" s="449">
        <f t="shared" si="41"/>
        <v>0</v>
      </c>
      <c r="BJ27" s="450">
        <f t="shared" si="63"/>
        <v>0</v>
      </c>
      <c r="BK27" s="452">
        <f t="shared" si="42"/>
        <v>0</v>
      </c>
      <c r="BL27" s="449">
        <f t="shared" si="43"/>
        <v>0</v>
      </c>
      <c r="BM27" s="450">
        <f t="shared" si="64"/>
        <v>0</v>
      </c>
      <c r="BN27" s="452">
        <f t="shared" si="44"/>
        <v>0</v>
      </c>
      <c r="BO27" s="449">
        <f t="shared" si="45"/>
        <v>0</v>
      </c>
      <c r="BP27" s="450">
        <f t="shared" si="65"/>
        <v>0</v>
      </c>
      <c r="BQ27" s="452">
        <f t="shared" si="46"/>
        <v>0</v>
      </c>
    </row>
    <row r="28" spans="1:69" ht="12.75">
      <c r="A28" s="390">
        <f t="shared" si="0"/>
        <v>20</v>
      </c>
      <c r="B28" s="428"/>
      <c r="C28" s="415">
        <f t="shared" si="1"/>
        <v>0</v>
      </c>
      <c r="D28" s="415">
        <f t="shared" si="2"/>
        <v>0</v>
      </c>
      <c r="E28" s="415">
        <f t="shared" si="3"/>
        <v>0</v>
      </c>
      <c r="F28" s="427">
        <f t="shared" si="4"/>
        <v>0</v>
      </c>
      <c r="G28" s="449">
        <f t="shared" si="66"/>
        <v>0</v>
      </c>
      <c r="H28" s="450">
        <f t="shared" si="47"/>
        <v>0</v>
      </c>
      <c r="I28" s="292">
        <f t="shared" si="11"/>
        <v>0</v>
      </c>
      <c r="J28" s="449">
        <f t="shared" si="67"/>
        <v>0</v>
      </c>
      <c r="K28" s="450">
        <f t="shared" si="48"/>
        <v>0</v>
      </c>
      <c r="L28" s="292">
        <f t="shared" si="12"/>
        <v>0</v>
      </c>
      <c r="M28" s="449">
        <f t="shared" si="69"/>
        <v>0</v>
      </c>
      <c r="N28" s="450">
        <f t="shared" si="49"/>
        <v>0</v>
      </c>
      <c r="O28" s="292">
        <f t="shared" si="14"/>
        <v>0</v>
      </c>
      <c r="P28" s="449">
        <f t="shared" si="68"/>
        <v>0</v>
      </c>
      <c r="Q28" s="450">
        <f t="shared" si="50"/>
        <v>0</v>
      </c>
      <c r="R28" s="452">
        <f t="shared" si="16"/>
        <v>0</v>
      </c>
      <c r="S28" s="390">
        <f t="shared" si="5"/>
        <v>20</v>
      </c>
      <c r="T28" s="1045">
        <f t="shared" si="6"/>
        <v>0</v>
      </c>
      <c r="U28" s="449">
        <f aca="true" t="shared" si="70" ref="U28:U39">+U27</f>
        <v>0</v>
      </c>
      <c r="V28" s="450">
        <f t="shared" si="51"/>
        <v>0</v>
      </c>
      <c r="W28" s="452">
        <f t="shared" si="18"/>
        <v>0</v>
      </c>
      <c r="X28" s="449">
        <f t="shared" si="19"/>
        <v>0</v>
      </c>
      <c r="Y28" s="450">
        <f t="shared" si="52"/>
        <v>0</v>
      </c>
      <c r="Z28" s="452">
        <f t="shared" si="20"/>
        <v>0</v>
      </c>
      <c r="AA28" s="449">
        <f t="shared" si="21"/>
        <v>0</v>
      </c>
      <c r="AB28" s="450">
        <f t="shared" si="53"/>
        <v>0</v>
      </c>
      <c r="AC28" s="452">
        <f t="shared" si="22"/>
        <v>0</v>
      </c>
      <c r="AD28" s="449">
        <f t="shared" si="23"/>
        <v>0</v>
      </c>
      <c r="AE28" s="450">
        <f t="shared" si="54"/>
        <v>0</v>
      </c>
      <c r="AF28" s="452">
        <f t="shared" si="24"/>
        <v>0</v>
      </c>
      <c r="AG28" s="449">
        <f t="shared" si="25"/>
        <v>0</v>
      </c>
      <c r="AH28" s="450">
        <f t="shared" si="55"/>
        <v>0</v>
      </c>
      <c r="AI28" s="452">
        <f t="shared" si="26"/>
        <v>0</v>
      </c>
      <c r="AJ28" s="390">
        <f t="shared" si="7"/>
        <v>20</v>
      </c>
      <c r="AK28" s="1045">
        <f t="shared" si="8"/>
        <v>0</v>
      </c>
      <c r="AL28" s="449">
        <f t="shared" si="27"/>
        <v>0</v>
      </c>
      <c r="AM28" s="450">
        <f t="shared" si="56"/>
        <v>0</v>
      </c>
      <c r="AN28" s="452">
        <f t="shared" si="28"/>
        <v>0</v>
      </c>
      <c r="AO28" s="449">
        <f t="shared" si="29"/>
        <v>0</v>
      </c>
      <c r="AP28" s="450">
        <f t="shared" si="57"/>
        <v>0</v>
      </c>
      <c r="AQ28" s="452">
        <f t="shared" si="30"/>
        <v>0</v>
      </c>
      <c r="AR28" s="449">
        <f t="shared" si="31"/>
        <v>0</v>
      </c>
      <c r="AS28" s="450">
        <f t="shared" si="58"/>
        <v>0</v>
      </c>
      <c r="AT28" s="452">
        <f t="shared" si="32"/>
        <v>0</v>
      </c>
      <c r="AU28" s="449">
        <f t="shared" si="33"/>
        <v>0</v>
      </c>
      <c r="AV28" s="450">
        <f t="shared" si="59"/>
        <v>0</v>
      </c>
      <c r="AW28" s="452">
        <f t="shared" si="34"/>
        <v>0</v>
      </c>
      <c r="AX28" s="449">
        <f t="shared" si="35"/>
        <v>0</v>
      </c>
      <c r="AY28" s="450">
        <f t="shared" si="60"/>
        <v>0</v>
      </c>
      <c r="AZ28" s="452">
        <f t="shared" si="36"/>
        <v>0</v>
      </c>
      <c r="BA28" s="390">
        <f t="shared" si="9"/>
        <v>20</v>
      </c>
      <c r="BB28" s="1045">
        <f t="shared" si="10"/>
        <v>0</v>
      </c>
      <c r="BC28" s="449">
        <f t="shared" si="37"/>
        <v>0</v>
      </c>
      <c r="BD28" s="450">
        <f t="shared" si="61"/>
        <v>0</v>
      </c>
      <c r="BE28" s="452">
        <f t="shared" si="38"/>
        <v>0</v>
      </c>
      <c r="BF28" s="449">
        <f t="shared" si="39"/>
        <v>0</v>
      </c>
      <c r="BG28" s="450">
        <f t="shared" si="62"/>
        <v>0</v>
      </c>
      <c r="BH28" s="452">
        <f t="shared" si="40"/>
        <v>0</v>
      </c>
      <c r="BI28" s="449">
        <f t="shared" si="41"/>
        <v>0</v>
      </c>
      <c r="BJ28" s="450">
        <f t="shared" si="63"/>
        <v>0</v>
      </c>
      <c r="BK28" s="452">
        <f t="shared" si="42"/>
        <v>0</v>
      </c>
      <c r="BL28" s="449">
        <f t="shared" si="43"/>
        <v>0</v>
      </c>
      <c r="BM28" s="450">
        <f t="shared" si="64"/>
        <v>0</v>
      </c>
      <c r="BN28" s="452">
        <f t="shared" si="44"/>
        <v>0</v>
      </c>
      <c r="BO28" s="449">
        <f t="shared" si="45"/>
        <v>0</v>
      </c>
      <c r="BP28" s="450">
        <f t="shared" si="65"/>
        <v>0</v>
      </c>
      <c r="BQ28" s="452">
        <f t="shared" si="46"/>
        <v>0</v>
      </c>
    </row>
    <row r="29" spans="1:69" ht="12.75">
      <c r="A29" s="390">
        <f t="shared" si="0"/>
        <v>21</v>
      </c>
      <c r="B29" s="428"/>
      <c r="C29" s="415">
        <f t="shared" si="1"/>
        <v>0</v>
      </c>
      <c r="D29" s="415">
        <f t="shared" si="2"/>
        <v>0</v>
      </c>
      <c r="E29" s="415">
        <f t="shared" si="3"/>
        <v>0</v>
      </c>
      <c r="F29" s="427">
        <f t="shared" si="4"/>
        <v>0</v>
      </c>
      <c r="G29" s="449">
        <f t="shared" si="66"/>
        <v>0</v>
      </c>
      <c r="H29" s="450">
        <f t="shared" si="47"/>
        <v>0</v>
      </c>
      <c r="I29" s="292">
        <f t="shared" si="11"/>
        <v>0</v>
      </c>
      <c r="J29" s="449">
        <f t="shared" si="67"/>
        <v>0</v>
      </c>
      <c r="K29" s="450">
        <f t="shared" si="48"/>
        <v>0</v>
      </c>
      <c r="L29" s="292">
        <f t="shared" si="12"/>
        <v>0</v>
      </c>
      <c r="M29" s="449">
        <f t="shared" si="69"/>
        <v>0</v>
      </c>
      <c r="N29" s="450">
        <f t="shared" si="49"/>
        <v>0</v>
      </c>
      <c r="O29" s="292">
        <f t="shared" si="14"/>
        <v>0</v>
      </c>
      <c r="P29" s="449">
        <f t="shared" si="68"/>
        <v>0</v>
      </c>
      <c r="Q29" s="450">
        <f t="shared" si="50"/>
        <v>0</v>
      </c>
      <c r="R29" s="452">
        <f t="shared" si="16"/>
        <v>0</v>
      </c>
      <c r="S29" s="390">
        <f t="shared" si="5"/>
        <v>21</v>
      </c>
      <c r="T29" s="1045">
        <f t="shared" si="6"/>
        <v>0</v>
      </c>
      <c r="U29" s="449">
        <f t="shared" si="70"/>
        <v>0</v>
      </c>
      <c r="V29" s="450">
        <f t="shared" si="51"/>
        <v>0</v>
      </c>
      <c r="W29" s="452">
        <f t="shared" si="18"/>
        <v>0</v>
      </c>
      <c r="X29" s="449">
        <f t="shared" si="19"/>
        <v>0</v>
      </c>
      <c r="Y29" s="450">
        <f t="shared" si="52"/>
        <v>0</v>
      </c>
      <c r="Z29" s="452">
        <f t="shared" si="20"/>
        <v>0</v>
      </c>
      <c r="AA29" s="449">
        <f t="shared" si="21"/>
        <v>0</v>
      </c>
      <c r="AB29" s="450">
        <f t="shared" si="53"/>
        <v>0</v>
      </c>
      <c r="AC29" s="452">
        <f t="shared" si="22"/>
        <v>0</v>
      </c>
      <c r="AD29" s="449">
        <f t="shared" si="23"/>
        <v>0</v>
      </c>
      <c r="AE29" s="450">
        <f t="shared" si="54"/>
        <v>0</v>
      </c>
      <c r="AF29" s="452">
        <f t="shared" si="24"/>
        <v>0</v>
      </c>
      <c r="AG29" s="449">
        <f t="shared" si="25"/>
        <v>0</v>
      </c>
      <c r="AH29" s="450">
        <f t="shared" si="55"/>
        <v>0</v>
      </c>
      <c r="AI29" s="452">
        <f t="shared" si="26"/>
        <v>0</v>
      </c>
      <c r="AJ29" s="390">
        <f t="shared" si="7"/>
        <v>21</v>
      </c>
      <c r="AK29" s="1045">
        <f t="shared" si="8"/>
        <v>0</v>
      </c>
      <c r="AL29" s="449">
        <f t="shared" si="27"/>
        <v>0</v>
      </c>
      <c r="AM29" s="450">
        <f t="shared" si="56"/>
        <v>0</v>
      </c>
      <c r="AN29" s="452">
        <f t="shared" si="28"/>
        <v>0</v>
      </c>
      <c r="AO29" s="449">
        <f t="shared" si="29"/>
        <v>0</v>
      </c>
      <c r="AP29" s="450">
        <f t="shared" si="57"/>
        <v>0</v>
      </c>
      <c r="AQ29" s="452">
        <f t="shared" si="30"/>
        <v>0</v>
      </c>
      <c r="AR29" s="449"/>
      <c r="AS29" s="450">
        <f t="shared" si="58"/>
        <v>0</v>
      </c>
      <c r="AT29" s="452">
        <f t="shared" si="32"/>
        <v>0</v>
      </c>
      <c r="AU29" s="449">
        <f t="shared" si="33"/>
        <v>0</v>
      </c>
      <c r="AV29" s="450">
        <f t="shared" si="59"/>
        <v>0</v>
      </c>
      <c r="AW29" s="452">
        <f t="shared" si="34"/>
        <v>0</v>
      </c>
      <c r="AX29" s="449">
        <f t="shared" si="35"/>
        <v>0</v>
      </c>
      <c r="AY29" s="450">
        <f t="shared" si="60"/>
        <v>0</v>
      </c>
      <c r="AZ29" s="452">
        <f t="shared" si="36"/>
        <v>0</v>
      </c>
      <c r="BA29" s="390">
        <f t="shared" si="9"/>
        <v>21</v>
      </c>
      <c r="BB29" s="1045">
        <f t="shared" si="10"/>
        <v>0</v>
      </c>
      <c r="BC29" s="449">
        <f t="shared" si="37"/>
        <v>0</v>
      </c>
      <c r="BD29" s="450">
        <f t="shared" si="61"/>
        <v>0</v>
      </c>
      <c r="BE29" s="452">
        <f t="shared" si="38"/>
        <v>0</v>
      </c>
      <c r="BF29" s="449">
        <f t="shared" si="39"/>
        <v>0</v>
      </c>
      <c r="BG29" s="450">
        <f t="shared" si="62"/>
        <v>0</v>
      </c>
      <c r="BH29" s="452">
        <f t="shared" si="40"/>
        <v>0</v>
      </c>
      <c r="BI29" s="449">
        <f t="shared" si="41"/>
        <v>0</v>
      </c>
      <c r="BJ29" s="450">
        <f t="shared" si="63"/>
        <v>0</v>
      </c>
      <c r="BK29" s="452">
        <f t="shared" si="42"/>
        <v>0</v>
      </c>
      <c r="BL29" s="449">
        <f t="shared" si="43"/>
        <v>0</v>
      </c>
      <c r="BM29" s="450">
        <f t="shared" si="64"/>
        <v>0</v>
      </c>
      <c r="BN29" s="452">
        <f t="shared" si="44"/>
        <v>0</v>
      </c>
      <c r="BO29" s="449">
        <f t="shared" si="45"/>
        <v>0</v>
      </c>
      <c r="BP29" s="450">
        <f t="shared" si="65"/>
        <v>0</v>
      </c>
      <c r="BQ29" s="452">
        <f t="shared" si="46"/>
        <v>0</v>
      </c>
    </row>
    <row r="30" spans="1:69" ht="12.75">
      <c r="A30" s="390">
        <f t="shared" si="0"/>
        <v>22</v>
      </c>
      <c r="B30" s="428"/>
      <c r="C30" s="415">
        <f t="shared" si="1"/>
        <v>0</v>
      </c>
      <c r="D30" s="415">
        <f t="shared" si="2"/>
        <v>0</v>
      </c>
      <c r="E30" s="415">
        <f t="shared" si="3"/>
        <v>0</v>
      </c>
      <c r="F30" s="427">
        <f t="shared" si="4"/>
        <v>0</v>
      </c>
      <c r="G30" s="449">
        <f aca="true" t="shared" si="71" ref="G30:G39">+G29</f>
        <v>0</v>
      </c>
      <c r="H30" s="450">
        <f t="shared" si="47"/>
        <v>0</v>
      </c>
      <c r="I30" s="292">
        <f t="shared" si="11"/>
        <v>0</v>
      </c>
      <c r="J30" s="449">
        <f t="shared" si="67"/>
        <v>0</v>
      </c>
      <c r="K30" s="450">
        <f t="shared" si="48"/>
        <v>0</v>
      </c>
      <c r="L30" s="292">
        <f t="shared" si="12"/>
        <v>0</v>
      </c>
      <c r="M30" s="449">
        <f t="shared" si="69"/>
        <v>0</v>
      </c>
      <c r="N30" s="450">
        <f t="shared" si="49"/>
        <v>0</v>
      </c>
      <c r="O30" s="292">
        <f t="shared" si="14"/>
        <v>0</v>
      </c>
      <c r="P30" s="449">
        <f t="shared" si="68"/>
        <v>0</v>
      </c>
      <c r="Q30" s="450">
        <f t="shared" si="50"/>
        <v>0</v>
      </c>
      <c r="R30" s="452">
        <f t="shared" si="16"/>
        <v>0</v>
      </c>
      <c r="S30" s="390">
        <f t="shared" si="5"/>
        <v>22</v>
      </c>
      <c r="T30" s="1045">
        <f t="shared" si="6"/>
        <v>0</v>
      </c>
      <c r="U30" s="449">
        <f t="shared" si="70"/>
        <v>0</v>
      </c>
      <c r="V30" s="450">
        <f t="shared" si="51"/>
        <v>0</v>
      </c>
      <c r="W30" s="452">
        <f t="shared" si="18"/>
        <v>0</v>
      </c>
      <c r="X30" s="449">
        <f t="shared" si="19"/>
        <v>0</v>
      </c>
      <c r="Y30" s="450">
        <f t="shared" si="52"/>
        <v>0</v>
      </c>
      <c r="Z30" s="452">
        <f t="shared" si="20"/>
        <v>0</v>
      </c>
      <c r="AA30" s="449">
        <f t="shared" si="21"/>
        <v>0</v>
      </c>
      <c r="AB30" s="450">
        <f t="shared" si="53"/>
        <v>0</v>
      </c>
      <c r="AC30" s="452">
        <f t="shared" si="22"/>
        <v>0</v>
      </c>
      <c r="AD30" s="449">
        <f t="shared" si="23"/>
        <v>0</v>
      </c>
      <c r="AE30" s="450">
        <f t="shared" si="54"/>
        <v>0</v>
      </c>
      <c r="AF30" s="452">
        <f t="shared" si="24"/>
        <v>0</v>
      </c>
      <c r="AG30" s="449">
        <f t="shared" si="25"/>
        <v>0</v>
      </c>
      <c r="AH30" s="450">
        <f t="shared" si="55"/>
        <v>0</v>
      </c>
      <c r="AI30" s="452">
        <f t="shared" si="26"/>
        <v>0</v>
      </c>
      <c r="AJ30" s="390">
        <f t="shared" si="7"/>
        <v>22</v>
      </c>
      <c r="AK30" s="1045">
        <f t="shared" si="8"/>
        <v>0</v>
      </c>
      <c r="AL30" s="449">
        <f t="shared" si="27"/>
        <v>0</v>
      </c>
      <c r="AM30" s="450">
        <f t="shared" si="56"/>
        <v>0</v>
      </c>
      <c r="AN30" s="452">
        <f t="shared" si="28"/>
        <v>0</v>
      </c>
      <c r="AO30" s="449">
        <f t="shared" si="29"/>
        <v>0</v>
      </c>
      <c r="AP30" s="450">
        <f t="shared" si="57"/>
        <v>0</v>
      </c>
      <c r="AQ30" s="452">
        <f t="shared" si="30"/>
        <v>0</v>
      </c>
      <c r="AR30" s="449">
        <f t="shared" si="31"/>
        <v>0</v>
      </c>
      <c r="AS30" s="450">
        <f t="shared" si="58"/>
        <v>0</v>
      </c>
      <c r="AT30" s="452">
        <f t="shared" si="32"/>
        <v>0</v>
      </c>
      <c r="AU30" s="449">
        <f t="shared" si="33"/>
        <v>0</v>
      </c>
      <c r="AV30" s="450">
        <f t="shared" si="59"/>
        <v>0</v>
      </c>
      <c r="AW30" s="452">
        <f t="shared" si="34"/>
        <v>0</v>
      </c>
      <c r="AX30" s="449">
        <f t="shared" si="35"/>
        <v>0</v>
      </c>
      <c r="AY30" s="450">
        <f t="shared" si="60"/>
        <v>0</v>
      </c>
      <c r="AZ30" s="452">
        <f t="shared" si="36"/>
        <v>0</v>
      </c>
      <c r="BA30" s="390">
        <f t="shared" si="9"/>
        <v>22</v>
      </c>
      <c r="BB30" s="1045">
        <f t="shared" si="10"/>
        <v>0</v>
      </c>
      <c r="BC30" s="449"/>
      <c r="BD30" s="450">
        <f t="shared" si="61"/>
        <v>0</v>
      </c>
      <c r="BE30" s="452">
        <f t="shared" si="38"/>
        <v>0</v>
      </c>
      <c r="BF30" s="449">
        <f t="shared" si="39"/>
        <v>0</v>
      </c>
      <c r="BG30" s="450">
        <f t="shared" si="62"/>
        <v>0</v>
      </c>
      <c r="BH30" s="452">
        <f t="shared" si="40"/>
        <v>0</v>
      </c>
      <c r="BI30" s="449">
        <f t="shared" si="41"/>
        <v>0</v>
      </c>
      <c r="BJ30" s="450">
        <f t="shared" si="63"/>
        <v>0</v>
      </c>
      <c r="BK30" s="452">
        <f t="shared" si="42"/>
        <v>0</v>
      </c>
      <c r="BL30" s="449">
        <f t="shared" si="43"/>
        <v>0</v>
      </c>
      <c r="BM30" s="450">
        <f t="shared" si="64"/>
        <v>0</v>
      </c>
      <c r="BN30" s="452">
        <f t="shared" si="44"/>
        <v>0</v>
      </c>
      <c r="BO30" s="449">
        <f t="shared" si="45"/>
        <v>0</v>
      </c>
      <c r="BP30" s="450">
        <f t="shared" si="65"/>
        <v>0</v>
      </c>
      <c r="BQ30" s="452">
        <f t="shared" si="46"/>
        <v>0</v>
      </c>
    </row>
    <row r="31" spans="1:69" ht="12.75">
      <c r="A31" s="390">
        <f t="shared" si="0"/>
        <v>23</v>
      </c>
      <c r="B31" s="428"/>
      <c r="C31" s="415">
        <f t="shared" si="1"/>
        <v>0</v>
      </c>
      <c r="D31" s="415">
        <f t="shared" si="2"/>
        <v>0</v>
      </c>
      <c r="E31" s="415">
        <f t="shared" si="3"/>
        <v>0</v>
      </c>
      <c r="F31" s="427">
        <f t="shared" si="4"/>
        <v>0</v>
      </c>
      <c r="G31" s="449">
        <f t="shared" si="71"/>
        <v>0</v>
      </c>
      <c r="H31" s="450">
        <f t="shared" si="47"/>
        <v>0</v>
      </c>
      <c r="I31" s="292">
        <f t="shared" si="11"/>
        <v>0</v>
      </c>
      <c r="J31" s="449">
        <f t="shared" si="67"/>
        <v>0</v>
      </c>
      <c r="K31" s="450">
        <f t="shared" si="48"/>
        <v>0</v>
      </c>
      <c r="L31" s="292">
        <f t="shared" si="12"/>
        <v>0</v>
      </c>
      <c r="M31" s="449">
        <f t="shared" si="69"/>
        <v>0</v>
      </c>
      <c r="N31" s="450">
        <f t="shared" si="49"/>
        <v>0</v>
      </c>
      <c r="O31" s="292">
        <f t="shared" si="14"/>
        <v>0</v>
      </c>
      <c r="P31" s="449">
        <f t="shared" si="68"/>
        <v>0</v>
      </c>
      <c r="Q31" s="450">
        <f t="shared" si="50"/>
        <v>0</v>
      </c>
      <c r="R31" s="452">
        <f t="shared" si="16"/>
        <v>0</v>
      </c>
      <c r="S31" s="390">
        <f t="shared" si="5"/>
        <v>23</v>
      </c>
      <c r="T31" s="1045">
        <f t="shared" si="6"/>
        <v>0</v>
      </c>
      <c r="U31" s="449">
        <f t="shared" si="70"/>
        <v>0</v>
      </c>
      <c r="V31" s="450">
        <f t="shared" si="51"/>
        <v>0</v>
      </c>
      <c r="W31" s="452">
        <f t="shared" si="18"/>
        <v>0</v>
      </c>
      <c r="X31" s="449">
        <f t="shared" si="19"/>
        <v>0</v>
      </c>
      <c r="Y31" s="450">
        <f t="shared" si="52"/>
        <v>0</v>
      </c>
      <c r="Z31" s="452">
        <f t="shared" si="20"/>
        <v>0</v>
      </c>
      <c r="AA31" s="449">
        <f t="shared" si="21"/>
        <v>0</v>
      </c>
      <c r="AB31" s="450">
        <f t="shared" si="53"/>
        <v>0</v>
      </c>
      <c r="AC31" s="452">
        <f t="shared" si="22"/>
        <v>0</v>
      </c>
      <c r="AD31" s="449">
        <f t="shared" si="23"/>
        <v>0</v>
      </c>
      <c r="AE31" s="450">
        <f t="shared" si="54"/>
        <v>0</v>
      </c>
      <c r="AF31" s="452">
        <f t="shared" si="24"/>
        <v>0</v>
      </c>
      <c r="AG31" s="449">
        <f t="shared" si="25"/>
        <v>0</v>
      </c>
      <c r="AH31" s="450">
        <f t="shared" si="55"/>
        <v>0</v>
      </c>
      <c r="AI31" s="452">
        <f t="shared" si="26"/>
        <v>0</v>
      </c>
      <c r="AJ31" s="390">
        <f t="shared" si="7"/>
        <v>23</v>
      </c>
      <c r="AK31" s="1045">
        <f t="shared" si="8"/>
        <v>0</v>
      </c>
      <c r="AL31" s="449">
        <f t="shared" si="27"/>
        <v>0</v>
      </c>
      <c r="AM31" s="450">
        <f t="shared" si="56"/>
        <v>0</v>
      </c>
      <c r="AN31" s="452">
        <f t="shared" si="28"/>
        <v>0</v>
      </c>
      <c r="AO31" s="449">
        <f t="shared" si="29"/>
        <v>0</v>
      </c>
      <c r="AP31" s="450">
        <f t="shared" si="57"/>
        <v>0</v>
      </c>
      <c r="AQ31" s="452">
        <f t="shared" si="30"/>
        <v>0</v>
      </c>
      <c r="AR31" s="449">
        <f t="shared" si="31"/>
        <v>0</v>
      </c>
      <c r="AS31" s="450">
        <f t="shared" si="58"/>
        <v>0</v>
      </c>
      <c r="AT31" s="452">
        <f t="shared" si="32"/>
        <v>0</v>
      </c>
      <c r="AU31" s="449">
        <f t="shared" si="33"/>
        <v>0</v>
      </c>
      <c r="AV31" s="450">
        <f t="shared" si="59"/>
        <v>0</v>
      </c>
      <c r="AW31" s="452">
        <f t="shared" si="34"/>
        <v>0</v>
      </c>
      <c r="AX31" s="449">
        <f t="shared" si="35"/>
        <v>0</v>
      </c>
      <c r="AY31" s="450">
        <f t="shared" si="60"/>
        <v>0</v>
      </c>
      <c r="AZ31" s="452">
        <f t="shared" si="36"/>
        <v>0</v>
      </c>
      <c r="BA31" s="390">
        <f t="shared" si="9"/>
        <v>23</v>
      </c>
      <c r="BB31" s="1045">
        <f t="shared" si="10"/>
        <v>0</v>
      </c>
      <c r="BC31" s="449"/>
      <c r="BD31" s="450">
        <f t="shared" si="61"/>
        <v>0</v>
      </c>
      <c r="BE31" s="452">
        <f t="shared" si="38"/>
        <v>0</v>
      </c>
      <c r="BF31" s="449">
        <f t="shared" si="39"/>
        <v>0</v>
      </c>
      <c r="BG31" s="450">
        <f t="shared" si="62"/>
        <v>0</v>
      </c>
      <c r="BH31" s="452">
        <f t="shared" si="40"/>
        <v>0</v>
      </c>
      <c r="BI31" s="449">
        <f t="shared" si="41"/>
        <v>0</v>
      </c>
      <c r="BJ31" s="450">
        <f t="shared" si="63"/>
        <v>0</v>
      </c>
      <c r="BK31" s="452">
        <f t="shared" si="42"/>
        <v>0</v>
      </c>
      <c r="BL31" s="449">
        <f t="shared" si="43"/>
        <v>0</v>
      </c>
      <c r="BM31" s="450">
        <f t="shared" si="64"/>
        <v>0</v>
      </c>
      <c r="BN31" s="452">
        <f t="shared" si="44"/>
        <v>0</v>
      </c>
      <c r="BO31" s="449">
        <f t="shared" si="45"/>
        <v>0</v>
      </c>
      <c r="BP31" s="450">
        <f t="shared" si="65"/>
        <v>0</v>
      </c>
      <c r="BQ31" s="452">
        <f t="shared" si="46"/>
        <v>0</v>
      </c>
    </row>
    <row r="32" spans="1:69" ht="12.75">
      <c r="A32" s="390">
        <f t="shared" si="0"/>
        <v>24</v>
      </c>
      <c r="B32" s="428"/>
      <c r="C32" s="415">
        <f t="shared" si="1"/>
        <v>0</v>
      </c>
      <c r="D32" s="415">
        <f t="shared" si="2"/>
        <v>0</v>
      </c>
      <c r="E32" s="415">
        <f t="shared" si="3"/>
        <v>0</v>
      </c>
      <c r="F32" s="427">
        <f t="shared" si="4"/>
        <v>0</v>
      </c>
      <c r="G32" s="449">
        <f t="shared" si="71"/>
        <v>0</v>
      </c>
      <c r="H32" s="450">
        <f t="shared" si="47"/>
        <v>0</v>
      </c>
      <c r="I32" s="292">
        <f t="shared" si="11"/>
        <v>0</v>
      </c>
      <c r="J32" s="449">
        <f t="shared" si="67"/>
        <v>0</v>
      </c>
      <c r="K32" s="450">
        <f t="shared" si="48"/>
        <v>0</v>
      </c>
      <c r="L32" s="292">
        <f t="shared" si="12"/>
        <v>0</v>
      </c>
      <c r="M32" s="449">
        <f t="shared" si="69"/>
        <v>0</v>
      </c>
      <c r="N32" s="450">
        <f t="shared" si="49"/>
        <v>0</v>
      </c>
      <c r="O32" s="292">
        <f t="shared" si="14"/>
        <v>0</v>
      </c>
      <c r="P32" s="449">
        <f t="shared" si="68"/>
        <v>0</v>
      </c>
      <c r="Q32" s="450">
        <f t="shared" si="50"/>
        <v>0</v>
      </c>
      <c r="R32" s="452">
        <f t="shared" si="16"/>
        <v>0</v>
      </c>
      <c r="S32" s="390">
        <f t="shared" si="5"/>
        <v>24</v>
      </c>
      <c r="T32" s="1045">
        <f t="shared" si="6"/>
        <v>0</v>
      </c>
      <c r="U32" s="449">
        <f t="shared" si="70"/>
        <v>0</v>
      </c>
      <c r="V32" s="450">
        <f t="shared" si="51"/>
        <v>0</v>
      </c>
      <c r="W32" s="452">
        <f t="shared" si="18"/>
        <v>0</v>
      </c>
      <c r="X32" s="449">
        <f t="shared" si="19"/>
        <v>0</v>
      </c>
      <c r="Y32" s="450">
        <f t="shared" si="52"/>
        <v>0</v>
      </c>
      <c r="Z32" s="452">
        <f t="shared" si="20"/>
        <v>0</v>
      </c>
      <c r="AA32" s="449">
        <f t="shared" si="21"/>
        <v>0</v>
      </c>
      <c r="AB32" s="450">
        <f t="shared" si="53"/>
        <v>0</v>
      </c>
      <c r="AC32" s="452">
        <f t="shared" si="22"/>
        <v>0</v>
      </c>
      <c r="AD32" s="449">
        <f t="shared" si="23"/>
        <v>0</v>
      </c>
      <c r="AE32" s="450">
        <f t="shared" si="54"/>
        <v>0</v>
      </c>
      <c r="AF32" s="452">
        <f t="shared" si="24"/>
        <v>0</v>
      </c>
      <c r="AG32" s="449">
        <f t="shared" si="25"/>
        <v>0</v>
      </c>
      <c r="AH32" s="450">
        <f t="shared" si="55"/>
        <v>0</v>
      </c>
      <c r="AI32" s="452">
        <f t="shared" si="26"/>
        <v>0</v>
      </c>
      <c r="AJ32" s="390">
        <f t="shared" si="7"/>
        <v>24</v>
      </c>
      <c r="AK32" s="1045">
        <f t="shared" si="8"/>
        <v>0</v>
      </c>
      <c r="AL32" s="449">
        <f t="shared" si="27"/>
        <v>0</v>
      </c>
      <c r="AM32" s="450">
        <f t="shared" si="56"/>
        <v>0</v>
      </c>
      <c r="AN32" s="452">
        <f t="shared" si="28"/>
        <v>0</v>
      </c>
      <c r="AO32" s="449">
        <f t="shared" si="29"/>
        <v>0</v>
      </c>
      <c r="AP32" s="450">
        <f t="shared" si="57"/>
        <v>0</v>
      </c>
      <c r="AQ32" s="452">
        <f t="shared" si="30"/>
        <v>0</v>
      </c>
      <c r="AR32" s="449">
        <f t="shared" si="31"/>
        <v>0</v>
      </c>
      <c r="AS32" s="450">
        <f t="shared" si="58"/>
        <v>0</v>
      </c>
      <c r="AT32" s="452">
        <f t="shared" si="32"/>
        <v>0</v>
      </c>
      <c r="AU32" s="449">
        <f t="shared" si="33"/>
        <v>0</v>
      </c>
      <c r="AV32" s="450">
        <f t="shared" si="59"/>
        <v>0</v>
      </c>
      <c r="AW32" s="452">
        <f t="shared" si="34"/>
        <v>0</v>
      </c>
      <c r="AX32" s="449">
        <f t="shared" si="35"/>
        <v>0</v>
      </c>
      <c r="AY32" s="450">
        <f t="shared" si="60"/>
        <v>0</v>
      </c>
      <c r="AZ32" s="452">
        <f t="shared" si="36"/>
        <v>0</v>
      </c>
      <c r="BA32" s="390">
        <f t="shared" si="9"/>
        <v>24</v>
      </c>
      <c r="BB32" s="1045">
        <f t="shared" si="10"/>
        <v>0</v>
      </c>
      <c r="BC32" s="449"/>
      <c r="BD32" s="450">
        <f t="shared" si="61"/>
        <v>0</v>
      </c>
      <c r="BE32" s="452">
        <f t="shared" si="38"/>
        <v>0</v>
      </c>
      <c r="BF32" s="449">
        <f t="shared" si="39"/>
        <v>0</v>
      </c>
      <c r="BG32" s="450">
        <f t="shared" si="62"/>
        <v>0</v>
      </c>
      <c r="BH32" s="452">
        <f t="shared" si="40"/>
        <v>0</v>
      </c>
      <c r="BI32" s="449">
        <f t="shared" si="41"/>
        <v>0</v>
      </c>
      <c r="BJ32" s="450">
        <f t="shared" si="63"/>
        <v>0</v>
      </c>
      <c r="BK32" s="452">
        <f t="shared" si="42"/>
        <v>0</v>
      </c>
      <c r="BL32" s="449">
        <f t="shared" si="43"/>
        <v>0</v>
      </c>
      <c r="BM32" s="450">
        <f t="shared" si="64"/>
        <v>0</v>
      </c>
      <c r="BN32" s="452">
        <f t="shared" si="44"/>
        <v>0</v>
      </c>
      <c r="BO32" s="449">
        <f t="shared" si="45"/>
        <v>0</v>
      </c>
      <c r="BP32" s="450">
        <f t="shared" si="65"/>
        <v>0</v>
      </c>
      <c r="BQ32" s="452">
        <f t="shared" si="46"/>
        <v>0</v>
      </c>
    </row>
    <row r="33" spans="1:69" ht="12.75">
      <c r="A33" s="390">
        <f t="shared" si="0"/>
        <v>25</v>
      </c>
      <c r="B33" s="428"/>
      <c r="C33" s="415">
        <f t="shared" si="1"/>
        <v>0</v>
      </c>
      <c r="D33" s="415">
        <f t="shared" si="2"/>
        <v>0</v>
      </c>
      <c r="E33" s="415">
        <f t="shared" si="3"/>
        <v>0</v>
      </c>
      <c r="F33" s="427">
        <f t="shared" si="4"/>
        <v>0</v>
      </c>
      <c r="G33" s="449">
        <f t="shared" si="71"/>
        <v>0</v>
      </c>
      <c r="H33" s="450">
        <f t="shared" si="47"/>
        <v>0</v>
      </c>
      <c r="I33" s="292">
        <f t="shared" si="11"/>
        <v>0</v>
      </c>
      <c r="J33" s="449">
        <f t="shared" si="67"/>
        <v>0</v>
      </c>
      <c r="K33" s="450">
        <f t="shared" si="48"/>
        <v>0</v>
      </c>
      <c r="L33" s="292">
        <f t="shared" si="12"/>
        <v>0</v>
      </c>
      <c r="M33" s="449">
        <f t="shared" si="69"/>
        <v>0</v>
      </c>
      <c r="N33" s="450">
        <f t="shared" si="49"/>
        <v>0</v>
      </c>
      <c r="O33" s="292">
        <f t="shared" si="14"/>
        <v>0</v>
      </c>
      <c r="P33" s="449">
        <f t="shared" si="68"/>
        <v>0</v>
      </c>
      <c r="Q33" s="450">
        <f t="shared" si="50"/>
        <v>0</v>
      </c>
      <c r="R33" s="452">
        <f t="shared" si="16"/>
        <v>0</v>
      </c>
      <c r="S33" s="390">
        <f t="shared" si="5"/>
        <v>25</v>
      </c>
      <c r="T33" s="1045">
        <f t="shared" si="6"/>
        <v>0</v>
      </c>
      <c r="U33" s="449">
        <f t="shared" si="70"/>
        <v>0</v>
      </c>
      <c r="V33" s="450">
        <f t="shared" si="51"/>
        <v>0</v>
      </c>
      <c r="W33" s="452">
        <f t="shared" si="18"/>
        <v>0</v>
      </c>
      <c r="X33" s="449">
        <f t="shared" si="19"/>
        <v>0</v>
      </c>
      <c r="Y33" s="450">
        <f t="shared" si="52"/>
        <v>0</v>
      </c>
      <c r="Z33" s="452">
        <f t="shared" si="20"/>
        <v>0</v>
      </c>
      <c r="AA33" s="449">
        <f t="shared" si="21"/>
        <v>0</v>
      </c>
      <c r="AB33" s="450">
        <f t="shared" si="53"/>
        <v>0</v>
      </c>
      <c r="AC33" s="452">
        <f t="shared" si="22"/>
        <v>0</v>
      </c>
      <c r="AD33" s="449">
        <f t="shared" si="23"/>
        <v>0</v>
      </c>
      <c r="AE33" s="450">
        <f t="shared" si="54"/>
        <v>0</v>
      </c>
      <c r="AF33" s="452">
        <f t="shared" si="24"/>
        <v>0</v>
      </c>
      <c r="AG33" s="449">
        <f t="shared" si="25"/>
        <v>0</v>
      </c>
      <c r="AH33" s="450">
        <f t="shared" si="55"/>
        <v>0</v>
      </c>
      <c r="AI33" s="452">
        <f t="shared" si="26"/>
        <v>0</v>
      </c>
      <c r="AJ33" s="390">
        <f t="shared" si="7"/>
        <v>25</v>
      </c>
      <c r="AK33" s="1045">
        <f t="shared" si="8"/>
        <v>0</v>
      </c>
      <c r="AL33" s="449"/>
      <c r="AM33" s="450">
        <f t="shared" si="56"/>
        <v>0</v>
      </c>
      <c r="AN33" s="452">
        <f t="shared" si="28"/>
        <v>0</v>
      </c>
      <c r="AO33" s="449"/>
      <c r="AP33" s="450">
        <f t="shared" si="57"/>
        <v>0</v>
      </c>
      <c r="AQ33" s="452">
        <f t="shared" si="30"/>
        <v>0</v>
      </c>
      <c r="AR33" s="449">
        <f t="shared" si="31"/>
        <v>0</v>
      </c>
      <c r="AS33" s="450">
        <f t="shared" si="58"/>
        <v>0</v>
      </c>
      <c r="AT33" s="452">
        <f t="shared" si="32"/>
        <v>0</v>
      </c>
      <c r="AU33" s="449">
        <f t="shared" si="33"/>
        <v>0</v>
      </c>
      <c r="AV33" s="450">
        <f t="shared" si="59"/>
        <v>0</v>
      </c>
      <c r="AW33" s="452">
        <f t="shared" si="34"/>
        <v>0</v>
      </c>
      <c r="AX33" s="449">
        <f t="shared" si="35"/>
        <v>0</v>
      </c>
      <c r="AY33" s="450">
        <f t="shared" si="60"/>
        <v>0</v>
      </c>
      <c r="AZ33" s="452">
        <f t="shared" si="36"/>
        <v>0</v>
      </c>
      <c r="BA33" s="390">
        <f t="shared" si="9"/>
        <v>25</v>
      </c>
      <c r="BB33" s="1045">
        <f t="shared" si="10"/>
        <v>0</v>
      </c>
      <c r="BC33" s="449"/>
      <c r="BD33" s="450">
        <f t="shared" si="61"/>
        <v>0</v>
      </c>
      <c r="BE33" s="452">
        <f t="shared" si="38"/>
        <v>0</v>
      </c>
      <c r="BF33" s="449"/>
      <c r="BG33" s="450">
        <f t="shared" si="62"/>
        <v>0</v>
      </c>
      <c r="BH33" s="452">
        <f t="shared" si="40"/>
        <v>0</v>
      </c>
      <c r="BI33" s="449">
        <f t="shared" si="41"/>
        <v>0</v>
      </c>
      <c r="BJ33" s="450">
        <f t="shared" si="63"/>
        <v>0</v>
      </c>
      <c r="BK33" s="452">
        <f t="shared" si="42"/>
        <v>0</v>
      </c>
      <c r="BL33" s="449">
        <f t="shared" si="43"/>
        <v>0</v>
      </c>
      <c r="BM33" s="450">
        <f t="shared" si="64"/>
        <v>0</v>
      </c>
      <c r="BN33" s="452">
        <f t="shared" si="44"/>
        <v>0</v>
      </c>
      <c r="BO33" s="449">
        <f t="shared" si="45"/>
        <v>0</v>
      </c>
      <c r="BP33" s="450">
        <f t="shared" si="65"/>
        <v>0</v>
      </c>
      <c r="BQ33" s="452">
        <f t="shared" si="46"/>
        <v>0</v>
      </c>
    </row>
    <row r="34" spans="1:69" ht="12.75">
      <c r="A34" s="390">
        <f t="shared" si="0"/>
        <v>26</v>
      </c>
      <c r="B34" s="428"/>
      <c r="C34" s="415">
        <f t="shared" si="1"/>
        <v>0</v>
      </c>
      <c r="D34" s="415">
        <f t="shared" si="2"/>
        <v>0</v>
      </c>
      <c r="E34" s="415">
        <f t="shared" si="3"/>
        <v>0</v>
      </c>
      <c r="F34" s="427">
        <f t="shared" si="4"/>
        <v>0</v>
      </c>
      <c r="G34" s="449">
        <f t="shared" si="71"/>
        <v>0</v>
      </c>
      <c r="H34" s="450">
        <f t="shared" si="47"/>
        <v>0</v>
      </c>
      <c r="I34" s="292">
        <f t="shared" si="11"/>
        <v>0</v>
      </c>
      <c r="J34" s="449">
        <f t="shared" si="67"/>
        <v>0</v>
      </c>
      <c r="K34" s="450">
        <f t="shared" si="48"/>
        <v>0</v>
      </c>
      <c r="L34" s="292">
        <f t="shared" si="12"/>
        <v>0</v>
      </c>
      <c r="M34" s="449">
        <f aca="true" t="shared" si="72" ref="M34:M39">+M33</f>
        <v>0</v>
      </c>
      <c r="N34" s="450">
        <f t="shared" si="49"/>
        <v>0</v>
      </c>
      <c r="O34" s="292">
        <f t="shared" si="14"/>
        <v>0</v>
      </c>
      <c r="P34" s="449">
        <f t="shared" si="68"/>
        <v>0</v>
      </c>
      <c r="Q34" s="450">
        <f t="shared" si="50"/>
        <v>0</v>
      </c>
      <c r="R34" s="452">
        <f t="shared" si="16"/>
        <v>0</v>
      </c>
      <c r="S34" s="390">
        <f t="shared" si="5"/>
        <v>26</v>
      </c>
      <c r="T34" s="1045">
        <f t="shared" si="6"/>
        <v>0</v>
      </c>
      <c r="U34" s="449">
        <f t="shared" si="70"/>
        <v>0</v>
      </c>
      <c r="V34" s="450">
        <f t="shared" si="51"/>
        <v>0</v>
      </c>
      <c r="W34" s="452">
        <f t="shared" si="18"/>
        <v>0</v>
      </c>
      <c r="X34" s="449">
        <f t="shared" si="19"/>
        <v>0</v>
      </c>
      <c r="Y34" s="450">
        <f t="shared" si="52"/>
        <v>0</v>
      </c>
      <c r="Z34" s="452">
        <f t="shared" si="20"/>
        <v>0</v>
      </c>
      <c r="AA34" s="449">
        <f t="shared" si="21"/>
        <v>0</v>
      </c>
      <c r="AB34" s="450">
        <f t="shared" si="53"/>
        <v>0</v>
      </c>
      <c r="AC34" s="452">
        <f t="shared" si="22"/>
        <v>0</v>
      </c>
      <c r="AD34" s="449">
        <f t="shared" si="23"/>
        <v>0</v>
      </c>
      <c r="AE34" s="450">
        <f t="shared" si="54"/>
        <v>0</v>
      </c>
      <c r="AF34" s="452">
        <f t="shared" si="24"/>
        <v>0</v>
      </c>
      <c r="AG34" s="449">
        <f t="shared" si="25"/>
        <v>0</v>
      </c>
      <c r="AH34" s="450">
        <f t="shared" si="55"/>
        <v>0</v>
      </c>
      <c r="AI34" s="452">
        <f t="shared" si="26"/>
        <v>0</v>
      </c>
      <c r="AJ34" s="390">
        <f t="shared" si="7"/>
        <v>26</v>
      </c>
      <c r="AK34" s="1045">
        <f t="shared" si="8"/>
        <v>0</v>
      </c>
      <c r="AL34" s="449">
        <f t="shared" si="27"/>
        <v>0</v>
      </c>
      <c r="AM34" s="450">
        <f t="shared" si="56"/>
        <v>0</v>
      </c>
      <c r="AN34" s="452">
        <f t="shared" si="28"/>
        <v>0</v>
      </c>
      <c r="AO34" s="449">
        <f t="shared" si="29"/>
        <v>0</v>
      </c>
      <c r="AP34" s="450">
        <f t="shared" si="57"/>
        <v>0</v>
      </c>
      <c r="AQ34" s="452">
        <f t="shared" si="30"/>
        <v>0</v>
      </c>
      <c r="AR34" s="449">
        <f t="shared" si="31"/>
        <v>0</v>
      </c>
      <c r="AS34" s="450">
        <f t="shared" si="58"/>
        <v>0</v>
      </c>
      <c r="AT34" s="452">
        <f t="shared" si="32"/>
        <v>0</v>
      </c>
      <c r="AU34" s="449">
        <f t="shared" si="33"/>
        <v>0</v>
      </c>
      <c r="AV34" s="450">
        <f t="shared" si="59"/>
        <v>0</v>
      </c>
      <c r="AW34" s="452">
        <f t="shared" si="34"/>
        <v>0</v>
      </c>
      <c r="AX34" s="449">
        <f t="shared" si="35"/>
        <v>0</v>
      </c>
      <c r="AY34" s="450">
        <f t="shared" si="60"/>
        <v>0</v>
      </c>
      <c r="AZ34" s="452">
        <f t="shared" si="36"/>
        <v>0</v>
      </c>
      <c r="BA34" s="390">
        <f t="shared" si="9"/>
        <v>26</v>
      </c>
      <c r="BB34" s="1045">
        <f t="shared" si="10"/>
        <v>0</v>
      </c>
      <c r="BC34" s="449"/>
      <c r="BD34" s="450">
        <f t="shared" si="61"/>
        <v>0</v>
      </c>
      <c r="BE34" s="452">
        <f t="shared" si="38"/>
        <v>0</v>
      </c>
      <c r="BF34" s="449"/>
      <c r="BG34" s="450">
        <f t="shared" si="62"/>
        <v>0</v>
      </c>
      <c r="BH34" s="452">
        <f t="shared" si="40"/>
        <v>0</v>
      </c>
      <c r="BI34" s="449">
        <f t="shared" si="41"/>
        <v>0</v>
      </c>
      <c r="BJ34" s="450">
        <f t="shared" si="63"/>
        <v>0</v>
      </c>
      <c r="BK34" s="452">
        <f t="shared" si="42"/>
        <v>0</v>
      </c>
      <c r="BL34" s="449">
        <f t="shared" si="43"/>
        <v>0</v>
      </c>
      <c r="BM34" s="450">
        <f t="shared" si="64"/>
        <v>0</v>
      </c>
      <c r="BN34" s="452">
        <f t="shared" si="44"/>
        <v>0</v>
      </c>
      <c r="BO34" s="449">
        <f t="shared" si="45"/>
        <v>0</v>
      </c>
      <c r="BP34" s="450">
        <f t="shared" si="65"/>
        <v>0</v>
      </c>
      <c r="BQ34" s="452">
        <f t="shared" si="46"/>
        <v>0</v>
      </c>
    </row>
    <row r="35" spans="1:69" ht="12.75">
      <c r="A35" s="390">
        <f t="shared" si="0"/>
        <v>27</v>
      </c>
      <c r="B35" s="428"/>
      <c r="C35" s="415">
        <f t="shared" si="1"/>
        <v>0</v>
      </c>
      <c r="D35" s="415">
        <f t="shared" si="2"/>
        <v>0</v>
      </c>
      <c r="E35" s="415">
        <f t="shared" si="3"/>
        <v>0</v>
      </c>
      <c r="F35" s="427">
        <f t="shared" si="4"/>
        <v>0</v>
      </c>
      <c r="G35" s="449">
        <f t="shared" si="71"/>
        <v>0</v>
      </c>
      <c r="H35" s="450">
        <f t="shared" si="47"/>
        <v>0</v>
      </c>
      <c r="I35" s="292">
        <f t="shared" si="11"/>
        <v>0</v>
      </c>
      <c r="J35" s="449">
        <f t="shared" si="67"/>
        <v>0</v>
      </c>
      <c r="K35" s="450">
        <f t="shared" si="48"/>
        <v>0</v>
      </c>
      <c r="L35" s="292">
        <f t="shared" si="12"/>
        <v>0</v>
      </c>
      <c r="M35" s="449">
        <f t="shared" si="72"/>
        <v>0</v>
      </c>
      <c r="N35" s="450">
        <f t="shared" si="49"/>
        <v>0</v>
      </c>
      <c r="O35" s="292">
        <f t="shared" si="14"/>
        <v>0</v>
      </c>
      <c r="P35" s="449">
        <f t="shared" si="68"/>
        <v>0</v>
      </c>
      <c r="Q35" s="450">
        <f t="shared" si="50"/>
        <v>0</v>
      </c>
      <c r="R35" s="452">
        <f t="shared" si="16"/>
        <v>0</v>
      </c>
      <c r="S35" s="390">
        <f t="shared" si="5"/>
        <v>27</v>
      </c>
      <c r="T35" s="1045">
        <f t="shared" si="6"/>
        <v>0</v>
      </c>
      <c r="U35" s="449">
        <f t="shared" si="70"/>
        <v>0</v>
      </c>
      <c r="V35" s="450">
        <f t="shared" si="51"/>
        <v>0</v>
      </c>
      <c r="W35" s="452">
        <f t="shared" si="18"/>
        <v>0</v>
      </c>
      <c r="X35" s="449">
        <f t="shared" si="19"/>
        <v>0</v>
      </c>
      <c r="Y35" s="450">
        <f t="shared" si="52"/>
        <v>0</v>
      </c>
      <c r="Z35" s="452">
        <f t="shared" si="20"/>
        <v>0</v>
      </c>
      <c r="AA35" s="449">
        <f t="shared" si="21"/>
        <v>0</v>
      </c>
      <c r="AB35" s="450">
        <f t="shared" si="53"/>
        <v>0</v>
      </c>
      <c r="AC35" s="452">
        <f t="shared" si="22"/>
        <v>0</v>
      </c>
      <c r="AD35" s="449">
        <f t="shared" si="23"/>
        <v>0</v>
      </c>
      <c r="AE35" s="450">
        <f t="shared" si="54"/>
        <v>0</v>
      </c>
      <c r="AF35" s="452">
        <f t="shared" si="24"/>
        <v>0</v>
      </c>
      <c r="AG35" s="449">
        <f t="shared" si="25"/>
        <v>0</v>
      </c>
      <c r="AH35" s="450">
        <f t="shared" si="55"/>
        <v>0</v>
      </c>
      <c r="AI35" s="452">
        <f t="shared" si="26"/>
        <v>0</v>
      </c>
      <c r="AJ35" s="390">
        <f t="shared" si="7"/>
        <v>27</v>
      </c>
      <c r="AK35" s="1045">
        <f t="shared" si="8"/>
        <v>0</v>
      </c>
      <c r="AL35" s="449">
        <f t="shared" si="27"/>
        <v>0</v>
      </c>
      <c r="AM35" s="450">
        <f t="shared" si="56"/>
        <v>0</v>
      </c>
      <c r="AN35" s="452">
        <f t="shared" si="28"/>
        <v>0</v>
      </c>
      <c r="AO35" s="449">
        <f t="shared" si="29"/>
        <v>0</v>
      </c>
      <c r="AP35" s="450">
        <f t="shared" si="57"/>
        <v>0</v>
      </c>
      <c r="AQ35" s="452">
        <f t="shared" si="30"/>
        <v>0</v>
      </c>
      <c r="AR35" s="449">
        <f t="shared" si="31"/>
        <v>0</v>
      </c>
      <c r="AS35" s="450">
        <f t="shared" si="58"/>
        <v>0</v>
      </c>
      <c r="AT35" s="452">
        <f t="shared" si="32"/>
        <v>0</v>
      </c>
      <c r="AU35" s="449">
        <f t="shared" si="33"/>
        <v>0</v>
      </c>
      <c r="AV35" s="450">
        <f t="shared" si="59"/>
        <v>0</v>
      </c>
      <c r="AW35" s="452">
        <f t="shared" si="34"/>
        <v>0</v>
      </c>
      <c r="AX35" s="449">
        <f t="shared" si="35"/>
        <v>0</v>
      </c>
      <c r="AY35" s="450">
        <f t="shared" si="60"/>
        <v>0</v>
      </c>
      <c r="AZ35" s="452">
        <f t="shared" si="36"/>
        <v>0</v>
      </c>
      <c r="BA35" s="390">
        <f t="shared" si="9"/>
        <v>27</v>
      </c>
      <c r="BB35" s="1045">
        <f t="shared" si="10"/>
        <v>0</v>
      </c>
      <c r="BC35" s="449"/>
      <c r="BD35" s="450">
        <f t="shared" si="61"/>
        <v>0</v>
      </c>
      <c r="BE35" s="452">
        <f t="shared" si="38"/>
        <v>0</v>
      </c>
      <c r="BF35" s="449"/>
      <c r="BG35" s="450">
        <f t="shared" si="62"/>
        <v>0</v>
      </c>
      <c r="BH35" s="452">
        <f t="shared" si="40"/>
        <v>0</v>
      </c>
      <c r="BI35" s="449">
        <f t="shared" si="41"/>
        <v>0</v>
      </c>
      <c r="BJ35" s="450">
        <f t="shared" si="63"/>
        <v>0</v>
      </c>
      <c r="BK35" s="452">
        <f t="shared" si="42"/>
        <v>0</v>
      </c>
      <c r="BL35" s="449">
        <f t="shared" si="43"/>
        <v>0</v>
      </c>
      <c r="BM35" s="450">
        <f t="shared" si="64"/>
        <v>0</v>
      </c>
      <c r="BN35" s="452">
        <f t="shared" si="44"/>
        <v>0</v>
      </c>
      <c r="BO35" s="449">
        <f t="shared" si="45"/>
        <v>0</v>
      </c>
      <c r="BP35" s="450">
        <f t="shared" si="65"/>
        <v>0</v>
      </c>
      <c r="BQ35" s="452">
        <f t="shared" si="46"/>
        <v>0</v>
      </c>
    </row>
    <row r="36" spans="1:69" ht="12.75">
      <c r="A36" s="390">
        <f t="shared" si="0"/>
        <v>28</v>
      </c>
      <c r="B36" s="428"/>
      <c r="C36" s="415">
        <f t="shared" si="1"/>
        <v>0</v>
      </c>
      <c r="D36" s="415">
        <f t="shared" si="2"/>
        <v>0</v>
      </c>
      <c r="E36" s="415">
        <f t="shared" si="3"/>
        <v>0</v>
      </c>
      <c r="F36" s="427">
        <f t="shared" si="4"/>
        <v>0</v>
      </c>
      <c r="G36" s="449">
        <f t="shared" si="71"/>
        <v>0</v>
      </c>
      <c r="H36" s="450">
        <f t="shared" si="47"/>
        <v>0</v>
      </c>
      <c r="I36" s="292">
        <f t="shared" si="11"/>
        <v>0</v>
      </c>
      <c r="J36" s="449">
        <f t="shared" si="67"/>
        <v>0</v>
      </c>
      <c r="K36" s="450">
        <f t="shared" si="48"/>
        <v>0</v>
      </c>
      <c r="L36" s="292">
        <f t="shared" si="12"/>
        <v>0</v>
      </c>
      <c r="M36" s="449">
        <f t="shared" si="72"/>
        <v>0</v>
      </c>
      <c r="N36" s="450">
        <f t="shared" si="49"/>
        <v>0</v>
      </c>
      <c r="O36" s="292">
        <f t="shared" si="14"/>
        <v>0</v>
      </c>
      <c r="P36" s="449">
        <f t="shared" si="68"/>
        <v>0</v>
      </c>
      <c r="Q36" s="450">
        <f t="shared" si="50"/>
        <v>0</v>
      </c>
      <c r="R36" s="452">
        <f t="shared" si="16"/>
        <v>0</v>
      </c>
      <c r="S36" s="390">
        <f t="shared" si="5"/>
        <v>28</v>
      </c>
      <c r="T36" s="1045">
        <f t="shared" si="6"/>
        <v>0</v>
      </c>
      <c r="U36" s="449">
        <f t="shared" si="70"/>
        <v>0</v>
      </c>
      <c r="V36" s="450">
        <f t="shared" si="51"/>
        <v>0</v>
      </c>
      <c r="W36" s="452">
        <f t="shared" si="18"/>
        <v>0</v>
      </c>
      <c r="X36" s="449">
        <f t="shared" si="19"/>
        <v>0</v>
      </c>
      <c r="Y36" s="450">
        <f t="shared" si="52"/>
        <v>0</v>
      </c>
      <c r="Z36" s="452">
        <f t="shared" si="20"/>
        <v>0</v>
      </c>
      <c r="AA36" s="449">
        <f t="shared" si="21"/>
        <v>0</v>
      </c>
      <c r="AB36" s="450">
        <f t="shared" si="53"/>
        <v>0</v>
      </c>
      <c r="AC36" s="452">
        <f t="shared" si="22"/>
        <v>0</v>
      </c>
      <c r="AD36" s="449">
        <f t="shared" si="23"/>
        <v>0</v>
      </c>
      <c r="AE36" s="450">
        <f t="shared" si="54"/>
        <v>0</v>
      </c>
      <c r="AF36" s="452">
        <f t="shared" si="24"/>
        <v>0</v>
      </c>
      <c r="AG36" s="449">
        <f t="shared" si="25"/>
        <v>0</v>
      </c>
      <c r="AH36" s="450">
        <f t="shared" si="55"/>
        <v>0</v>
      </c>
      <c r="AI36" s="452">
        <f t="shared" si="26"/>
        <v>0</v>
      </c>
      <c r="AJ36" s="390">
        <f t="shared" si="7"/>
        <v>28</v>
      </c>
      <c r="AK36" s="1045">
        <f t="shared" si="8"/>
        <v>0</v>
      </c>
      <c r="AL36" s="449">
        <f t="shared" si="27"/>
        <v>0</v>
      </c>
      <c r="AM36" s="450">
        <f t="shared" si="56"/>
        <v>0</v>
      </c>
      <c r="AN36" s="452">
        <f t="shared" si="28"/>
        <v>0</v>
      </c>
      <c r="AO36" s="449">
        <f t="shared" si="29"/>
        <v>0</v>
      </c>
      <c r="AP36" s="450">
        <f t="shared" si="57"/>
        <v>0</v>
      </c>
      <c r="AQ36" s="452">
        <f t="shared" si="30"/>
        <v>0</v>
      </c>
      <c r="AR36" s="449">
        <f t="shared" si="31"/>
        <v>0</v>
      </c>
      <c r="AS36" s="450">
        <f t="shared" si="58"/>
        <v>0</v>
      </c>
      <c r="AT36" s="452">
        <f t="shared" si="32"/>
        <v>0</v>
      </c>
      <c r="AU36" s="449">
        <f t="shared" si="33"/>
        <v>0</v>
      </c>
      <c r="AV36" s="450">
        <f t="shared" si="59"/>
        <v>0</v>
      </c>
      <c r="AW36" s="452">
        <f t="shared" si="34"/>
        <v>0</v>
      </c>
      <c r="AX36" s="449">
        <f t="shared" si="35"/>
        <v>0</v>
      </c>
      <c r="AY36" s="450">
        <f t="shared" si="60"/>
        <v>0</v>
      </c>
      <c r="AZ36" s="452">
        <f t="shared" si="36"/>
        <v>0</v>
      </c>
      <c r="BA36" s="390">
        <f t="shared" si="9"/>
        <v>28</v>
      </c>
      <c r="BB36" s="1045">
        <f t="shared" si="10"/>
        <v>0</v>
      </c>
      <c r="BC36" s="449"/>
      <c r="BD36" s="450">
        <f t="shared" si="61"/>
        <v>0</v>
      </c>
      <c r="BE36" s="452">
        <f t="shared" si="38"/>
        <v>0</v>
      </c>
      <c r="BF36" s="449"/>
      <c r="BG36" s="450">
        <f t="shared" si="62"/>
        <v>0</v>
      </c>
      <c r="BH36" s="452">
        <f t="shared" si="40"/>
        <v>0</v>
      </c>
      <c r="BI36" s="449">
        <f t="shared" si="41"/>
        <v>0</v>
      </c>
      <c r="BJ36" s="450">
        <f t="shared" si="63"/>
        <v>0</v>
      </c>
      <c r="BK36" s="452">
        <f t="shared" si="42"/>
        <v>0</v>
      </c>
      <c r="BL36" s="449">
        <f t="shared" si="43"/>
        <v>0</v>
      </c>
      <c r="BM36" s="450">
        <f t="shared" si="64"/>
        <v>0</v>
      </c>
      <c r="BN36" s="452">
        <f t="shared" si="44"/>
        <v>0</v>
      </c>
      <c r="BO36" s="449">
        <f t="shared" si="45"/>
        <v>0</v>
      </c>
      <c r="BP36" s="450">
        <f t="shared" si="65"/>
        <v>0</v>
      </c>
      <c r="BQ36" s="452">
        <f t="shared" si="46"/>
        <v>0</v>
      </c>
    </row>
    <row r="37" spans="1:69" ht="12.75">
      <c r="A37" s="390">
        <f t="shared" si="0"/>
        <v>29</v>
      </c>
      <c r="B37" s="428"/>
      <c r="C37" s="415">
        <f t="shared" si="1"/>
        <v>0</v>
      </c>
      <c r="D37" s="415">
        <f t="shared" si="2"/>
        <v>0</v>
      </c>
      <c r="E37" s="415">
        <f t="shared" si="3"/>
        <v>0</v>
      </c>
      <c r="F37" s="427">
        <f t="shared" si="4"/>
        <v>0</v>
      </c>
      <c r="G37" s="449">
        <f t="shared" si="71"/>
        <v>0</v>
      </c>
      <c r="H37" s="450">
        <f t="shared" si="47"/>
        <v>0</v>
      </c>
      <c r="I37" s="292">
        <f t="shared" si="11"/>
        <v>0</v>
      </c>
      <c r="J37" s="449">
        <f t="shared" si="67"/>
        <v>0</v>
      </c>
      <c r="K37" s="450">
        <f t="shared" si="48"/>
        <v>0</v>
      </c>
      <c r="L37" s="292">
        <f t="shared" si="12"/>
        <v>0</v>
      </c>
      <c r="M37" s="449">
        <f t="shared" si="72"/>
        <v>0</v>
      </c>
      <c r="N37" s="450">
        <f t="shared" si="49"/>
        <v>0</v>
      </c>
      <c r="O37" s="292">
        <f t="shared" si="14"/>
        <v>0</v>
      </c>
      <c r="P37" s="449">
        <f t="shared" si="68"/>
        <v>0</v>
      </c>
      <c r="Q37" s="450">
        <f t="shared" si="50"/>
        <v>0</v>
      </c>
      <c r="R37" s="452">
        <f t="shared" si="16"/>
        <v>0</v>
      </c>
      <c r="S37" s="390">
        <f t="shared" si="5"/>
        <v>29</v>
      </c>
      <c r="T37" s="1045">
        <f t="shared" si="6"/>
        <v>0</v>
      </c>
      <c r="U37" s="449">
        <f t="shared" si="70"/>
        <v>0</v>
      </c>
      <c r="V37" s="450">
        <f t="shared" si="51"/>
        <v>0</v>
      </c>
      <c r="W37" s="452">
        <f t="shared" si="18"/>
        <v>0</v>
      </c>
      <c r="X37" s="449">
        <f t="shared" si="19"/>
        <v>0</v>
      </c>
      <c r="Y37" s="450">
        <f t="shared" si="52"/>
        <v>0</v>
      </c>
      <c r="Z37" s="452">
        <f t="shared" si="20"/>
        <v>0</v>
      </c>
      <c r="AA37" s="449">
        <f t="shared" si="21"/>
        <v>0</v>
      </c>
      <c r="AB37" s="450">
        <f t="shared" si="53"/>
        <v>0</v>
      </c>
      <c r="AC37" s="452">
        <f t="shared" si="22"/>
        <v>0</v>
      </c>
      <c r="AD37" s="449">
        <f t="shared" si="23"/>
        <v>0</v>
      </c>
      <c r="AE37" s="450">
        <f t="shared" si="54"/>
        <v>0</v>
      </c>
      <c r="AF37" s="452">
        <f t="shared" si="24"/>
        <v>0</v>
      </c>
      <c r="AG37" s="449">
        <f t="shared" si="25"/>
        <v>0</v>
      </c>
      <c r="AH37" s="450">
        <f t="shared" si="55"/>
        <v>0</v>
      </c>
      <c r="AI37" s="452">
        <f t="shared" si="26"/>
        <v>0</v>
      </c>
      <c r="AJ37" s="390">
        <f t="shared" si="7"/>
        <v>29</v>
      </c>
      <c r="AK37" s="1045">
        <f t="shared" si="8"/>
        <v>0</v>
      </c>
      <c r="AL37" s="449">
        <f t="shared" si="27"/>
        <v>0</v>
      </c>
      <c r="AM37" s="450">
        <f t="shared" si="56"/>
        <v>0</v>
      </c>
      <c r="AN37" s="452">
        <f t="shared" si="28"/>
        <v>0</v>
      </c>
      <c r="AO37" s="449">
        <f t="shared" si="29"/>
        <v>0</v>
      </c>
      <c r="AP37" s="450">
        <f t="shared" si="57"/>
        <v>0</v>
      </c>
      <c r="AQ37" s="452">
        <f t="shared" si="30"/>
        <v>0</v>
      </c>
      <c r="AR37" s="449">
        <f t="shared" si="31"/>
        <v>0</v>
      </c>
      <c r="AS37" s="450">
        <f t="shared" si="58"/>
        <v>0</v>
      </c>
      <c r="AT37" s="452">
        <f t="shared" si="32"/>
        <v>0</v>
      </c>
      <c r="AU37" s="449">
        <f t="shared" si="33"/>
        <v>0</v>
      </c>
      <c r="AV37" s="450">
        <f t="shared" si="59"/>
        <v>0</v>
      </c>
      <c r="AW37" s="452">
        <f t="shared" si="34"/>
        <v>0</v>
      </c>
      <c r="AX37" s="449">
        <f t="shared" si="35"/>
        <v>0</v>
      </c>
      <c r="AY37" s="450">
        <f t="shared" si="60"/>
        <v>0</v>
      </c>
      <c r="AZ37" s="452">
        <f t="shared" si="36"/>
        <v>0</v>
      </c>
      <c r="BA37" s="390">
        <f t="shared" si="9"/>
        <v>29</v>
      </c>
      <c r="BB37" s="1045">
        <f t="shared" si="10"/>
        <v>0</v>
      </c>
      <c r="BC37" s="449"/>
      <c r="BD37" s="450">
        <f t="shared" si="61"/>
        <v>0</v>
      </c>
      <c r="BE37" s="452">
        <f t="shared" si="38"/>
        <v>0</v>
      </c>
      <c r="BF37" s="449"/>
      <c r="BG37" s="450">
        <f t="shared" si="62"/>
        <v>0</v>
      </c>
      <c r="BH37" s="452">
        <f t="shared" si="40"/>
        <v>0</v>
      </c>
      <c r="BI37" s="449">
        <f t="shared" si="41"/>
        <v>0</v>
      </c>
      <c r="BJ37" s="450">
        <f t="shared" si="63"/>
        <v>0</v>
      </c>
      <c r="BK37" s="452">
        <f t="shared" si="42"/>
        <v>0</v>
      </c>
      <c r="BL37" s="449">
        <f t="shared" si="43"/>
        <v>0</v>
      </c>
      <c r="BM37" s="450">
        <f t="shared" si="64"/>
        <v>0</v>
      </c>
      <c r="BN37" s="452">
        <f t="shared" si="44"/>
        <v>0</v>
      </c>
      <c r="BO37" s="449">
        <f t="shared" si="45"/>
        <v>0</v>
      </c>
      <c r="BP37" s="450">
        <f t="shared" si="65"/>
        <v>0</v>
      </c>
      <c r="BQ37" s="452">
        <f t="shared" si="46"/>
        <v>0</v>
      </c>
    </row>
    <row r="38" spans="1:69" ht="12.75">
      <c r="A38" s="390">
        <f t="shared" si="0"/>
        <v>30</v>
      </c>
      <c r="B38" s="428"/>
      <c r="C38" s="415">
        <f t="shared" si="1"/>
        <v>0</v>
      </c>
      <c r="D38" s="415">
        <f t="shared" si="2"/>
        <v>0</v>
      </c>
      <c r="E38" s="415">
        <f t="shared" si="3"/>
        <v>0</v>
      </c>
      <c r="F38" s="427">
        <f t="shared" si="4"/>
        <v>0</v>
      </c>
      <c r="G38" s="449">
        <f t="shared" si="71"/>
        <v>0</v>
      </c>
      <c r="H38" s="450">
        <f t="shared" si="47"/>
        <v>0</v>
      </c>
      <c r="I38" s="292">
        <f t="shared" si="11"/>
        <v>0</v>
      </c>
      <c r="J38" s="449">
        <f t="shared" si="67"/>
        <v>0</v>
      </c>
      <c r="K38" s="450">
        <f t="shared" si="48"/>
        <v>0</v>
      </c>
      <c r="L38" s="292">
        <f t="shared" si="12"/>
        <v>0</v>
      </c>
      <c r="M38" s="449">
        <f t="shared" si="72"/>
        <v>0</v>
      </c>
      <c r="N38" s="450">
        <f t="shared" si="49"/>
        <v>0</v>
      </c>
      <c r="O38" s="292">
        <f t="shared" si="14"/>
        <v>0</v>
      </c>
      <c r="P38" s="449">
        <f t="shared" si="68"/>
        <v>0</v>
      </c>
      <c r="Q38" s="450">
        <f t="shared" si="50"/>
        <v>0</v>
      </c>
      <c r="R38" s="452">
        <f t="shared" si="16"/>
        <v>0</v>
      </c>
      <c r="S38" s="390">
        <f t="shared" si="5"/>
        <v>30</v>
      </c>
      <c r="T38" s="1045">
        <f t="shared" si="6"/>
        <v>0</v>
      </c>
      <c r="U38" s="449">
        <f t="shared" si="70"/>
        <v>0</v>
      </c>
      <c r="V38" s="450">
        <f t="shared" si="51"/>
        <v>0</v>
      </c>
      <c r="W38" s="452">
        <f t="shared" si="18"/>
        <v>0</v>
      </c>
      <c r="X38" s="449">
        <f t="shared" si="19"/>
        <v>0</v>
      </c>
      <c r="Y38" s="450">
        <f t="shared" si="52"/>
        <v>0</v>
      </c>
      <c r="Z38" s="452">
        <f t="shared" si="20"/>
        <v>0</v>
      </c>
      <c r="AA38" s="449">
        <f t="shared" si="21"/>
        <v>0</v>
      </c>
      <c r="AB38" s="450">
        <f t="shared" si="53"/>
        <v>0</v>
      </c>
      <c r="AC38" s="452">
        <f t="shared" si="22"/>
        <v>0</v>
      </c>
      <c r="AD38" s="449">
        <f t="shared" si="23"/>
        <v>0</v>
      </c>
      <c r="AE38" s="450">
        <f t="shared" si="54"/>
        <v>0</v>
      </c>
      <c r="AF38" s="452">
        <f t="shared" si="24"/>
        <v>0</v>
      </c>
      <c r="AG38" s="449">
        <f t="shared" si="25"/>
        <v>0</v>
      </c>
      <c r="AH38" s="450">
        <f t="shared" si="55"/>
        <v>0</v>
      </c>
      <c r="AI38" s="452">
        <f t="shared" si="26"/>
        <v>0</v>
      </c>
      <c r="AJ38" s="390">
        <f t="shared" si="7"/>
        <v>30</v>
      </c>
      <c r="AK38" s="1045">
        <f t="shared" si="8"/>
        <v>0</v>
      </c>
      <c r="AL38" s="449">
        <f t="shared" si="27"/>
        <v>0</v>
      </c>
      <c r="AM38" s="450">
        <f t="shared" si="56"/>
        <v>0</v>
      </c>
      <c r="AN38" s="452">
        <f t="shared" si="28"/>
        <v>0</v>
      </c>
      <c r="AO38" s="449">
        <f t="shared" si="29"/>
        <v>0</v>
      </c>
      <c r="AP38" s="450">
        <f t="shared" si="57"/>
        <v>0</v>
      </c>
      <c r="AQ38" s="452">
        <f t="shared" si="30"/>
        <v>0</v>
      </c>
      <c r="AR38" s="449">
        <f t="shared" si="31"/>
        <v>0</v>
      </c>
      <c r="AS38" s="450">
        <f t="shared" si="58"/>
        <v>0</v>
      </c>
      <c r="AT38" s="452">
        <f t="shared" si="32"/>
        <v>0</v>
      </c>
      <c r="AU38" s="449">
        <f t="shared" si="33"/>
        <v>0</v>
      </c>
      <c r="AV38" s="450">
        <f t="shared" si="59"/>
        <v>0</v>
      </c>
      <c r="AW38" s="452">
        <f t="shared" si="34"/>
        <v>0</v>
      </c>
      <c r="AX38" s="449">
        <f t="shared" si="35"/>
        <v>0</v>
      </c>
      <c r="AY38" s="450">
        <f t="shared" si="60"/>
        <v>0</v>
      </c>
      <c r="AZ38" s="452">
        <f t="shared" si="36"/>
        <v>0</v>
      </c>
      <c r="BA38" s="390">
        <f t="shared" si="9"/>
        <v>30</v>
      </c>
      <c r="BB38" s="1045">
        <f t="shared" si="10"/>
        <v>0</v>
      </c>
      <c r="BC38" s="449"/>
      <c r="BD38" s="450">
        <f t="shared" si="61"/>
        <v>0</v>
      </c>
      <c r="BE38" s="452">
        <f t="shared" si="38"/>
        <v>0</v>
      </c>
      <c r="BF38" s="449"/>
      <c r="BG38" s="450">
        <f t="shared" si="62"/>
        <v>0</v>
      </c>
      <c r="BH38" s="452">
        <f t="shared" si="40"/>
        <v>0</v>
      </c>
      <c r="BI38" s="449">
        <f t="shared" si="41"/>
        <v>0</v>
      </c>
      <c r="BJ38" s="450">
        <f t="shared" si="63"/>
        <v>0</v>
      </c>
      <c r="BK38" s="452">
        <f t="shared" si="42"/>
        <v>0</v>
      </c>
      <c r="BL38" s="449">
        <f t="shared" si="43"/>
        <v>0</v>
      </c>
      <c r="BM38" s="450">
        <f t="shared" si="64"/>
        <v>0</v>
      </c>
      <c r="BN38" s="452">
        <f t="shared" si="44"/>
        <v>0</v>
      </c>
      <c r="BO38" s="449">
        <f t="shared" si="45"/>
        <v>0</v>
      </c>
      <c r="BP38" s="450">
        <f t="shared" si="65"/>
        <v>0</v>
      </c>
      <c r="BQ38" s="452">
        <f t="shared" si="46"/>
        <v>0</v>
      </c>
    </row>
    <row r="39" spans="1:69" ht="12.75">
      <c r="A39" s="390">
        <f t="shared" si="0"/>
        <v>31</v>
      </c>
      <c r="B39" s="428"/>
      <c r="C39" s="415">
        <f>+G39+J39+M39+P39+U39+X39+AA39+AD39+AG39+AL39+AO39+AR39+AU39+AX39+BC39+BF39+BI39+BL39+BO39</f>
        <v>0</v>
      </c>
      <c r="D39" s="415">
        <f t="shared" si="2"/>
        <v>0</v>
      </c>
      <c r="E39" s="415">
        <f t="shared" si="3"/>
        <v>0</v>
      </c>
      <c r="F39" s="427">
        <f t="shared" si="4"/>
        <v>0</v>
      </c>
      <c r="G39" s="449">
        <f t="shared" si="71"/>
        <v>0</v>
      </c>
      <c r="H39" s="450">
        <f t="shared" si="47"/>
        <v>0</v>
      </c>
      <c r="I39" s="292">
        <f t="shared" si="11"/>
        <v>0</v>
      </c>
      <c r="J39" s="449">
        <f t="shared" si="67"/>
        <v>0</v>
      </c>
      <c r="K39" s="450">
        <f t="shared" si="48"/>
        <v>0</v>
      </c>
      <c r="L39" s="292">
        <f t="shared" si="12"/>
        <v>0</v>
      </c>
      <c r="M39" s="449">
        <f t="shared" si="72"/>
        <v>0</v>
      </c>
      <c r="N39" s="450">
        <f t="shared" si="49"/>
        <v>0</v>
      </c>
      <c r="O39" s="292">
        <f t="shared" si="14"/>
        <v>0</v>
      </c>
      <c r="P39" s="449">
        <f t="shared" si="68"/>
        <v>0</v>
      </c>
      <c r="Q39" s="450">
        <f t="shared" si="50"/>
        <v>0</v>
      </c>
      <c r="R39" s="452">
        <f t="shared" si="16"/>
        <v>0</v>
      </c>
      <c r="S39" s="390">
        <f t="shared" si="5"/>
        <v>31</v>
      </c>
      <c r="T39" s="1045">
        <f t="shared" si="6"/>
        <v>0</v>
      </c>
      <c r="U39" s="449">
        <f t="shared" si="70"/>
        <v>0</v>
      </c>
      <c r="V39" s="450">
        <f t="shared" si="51"/>
        <v>0</v>
      </c>
      <c r="W39" s="452">
        <f t="shared" si="18"/>
        <v>0</v>
      </c>
      <c r="X39" s="449">
        <f t="shared" si="19"/>
        <v>0</v>
      </c>
      <c r="Y39" s="450">
        <f t="shared" si="52"/>
        <v>0</v>
      </c>
      <c r="Z39" s="452">
        <f t="shared" si="20"/>
        <v>0</v>
      </c>
      <c r="AA39" s="449">
        <f t="shared" si="21"/>
        <v>0</v>
      </c>
      <c r="AB39" s="450">
        <f t="shared" si="53"/>
        <v>0</v>
      </c>
      <c r="AC39" s="452">
        <f t="shared" si="22"/>
        <v>0</v>
      </c>
      <c r="AD39" s="449">
        <f t="shared" si="23"/>
        <v>0</v>
      </c>
      <c r="AE39" s="450">
        <f t="shared" si="54"/>
        <v>0</v>
      </c>
      <c r="AF39" s="452">
        <f t="shared" si="24"/>
        <v>0</v>
      </c>
      <c r="AG39" s="449">
        <f t="shared" si="25"/>
        <v>0</v>
      </c>
      <c r="AH39" s="450">
        <f t="shared" si="55"/>
        <v>0</v>
      </c>
      <c r="AI39" s="452">
        <f t="shared" si="26"/>
        <v>0</v>
      </c>
      <c r="AJ39" s="390">
        <f t="shared" si="7"/>
        <v>31</v>
      </c>
      <c r="AK39" s="1045">
        <f t="shared" si="8"/>
        <v>0</v>
      </c>
      <c r="AL39" s="449">
        <f t="shared" si="27"/>
        <v>0</v>
      </c>
      <c r="AM39" s="450">
        <f t="shared" si="56"/>
        <v>0</v>
      </c>
      <c r="AN39" s="452">
        <f t="shared" si="28"/>
        <v>0</v>
      </c>
      <c r="AO39" s="449">
        <f t="shared" si="29"/>
        <v>0</v>
      </c>
      <c r="AP39" s="450">
        <f t="shared" si="57"/>
        <v>0</v>
      </c>
      <c r="AQ39" s="452">
        <f t="shared" si="30"/>
        <v>0</v>
      </c>
      <c r="AR39" s="449">
        <f t="shared" si="31"/>
        <v>0</v>
      </c>
      <c r="AS39" s="450">
        <f t="shared" si="58"/>
        <v>0</v>
      </c>
      <c r="AT39" s="452">
        <f t="shared" si="32"/>
        <v>0</v>
      </c>
      <c r="AU39" s="449"/>
      <c r="AV39" s="450">
        <f t="shared" si="59"/>
        <v>0</v>
      </c>
      <c r="AW39" s="452">
        <f t="shared" si="34"/>
        <v>0</v>
      </c>
      <c r="AX39" s="449"/>
      <c r="AY39" s="450">
        <f t="shared" si="60"/>
        <v>0</v>
      </c>
      <c r="AZ39" s="452">
        <f t="shared" si="36"/>
        <v>0</v>
      </c>
      <c r="BA39" s="390">
        <f t="shared" si="9"/>
        <v>31</v>
      </c>
      <c r="BB39" s="1045">
        <f t="shared" si="10"/>
        <v>0</v>
      </c>
      <c r="BC39" s="449"/>
      <c r="BD39" s="450">
        <f t="shared" si="61"/>
        <v>0</v>
      </c>
      <c r="BE39" s="452">
        <f t="shared" si="38"/>
        <v>0</v>
      </c>
      <c r="BF39" s="449"/>
      <c r="BG39" s="450">
        <f t="shared" si="62"/>
        <v>0</v>
      </c>
      <c r="BH39" s="452">
        <f t="shared" si="40"/>
        <v>0</v>
      </c>
      <c r="BI39" s="449"/>
      <c r="BJ39" s="450">
        <f t="shared" si="63"/>
        <v>0</v>
      </c>
      <c r="BK39" s="452">
        <f t="shared" si="42"/>
        <v>0</v>
      </c>
      <c r="BL39" s="449">
        <f t="shared" si="43"/>
        <v>0</v>
      </c>
      <c r="BM39" s="450">
        <f t="shared" si="64"/>
        <v>0</v>
      </c>
      <c r="BN39" s="452">
        <f t="shared" si="44"/>
        <v>0</v>
      </c>
      <c r="BO39" s="449">
        <f t="shared" si="45"/>
        <v>0</v>
      </c>
      <c r="BP39" s="450">
        <f t="shared" si="65"/>
        <v>0</v>
      </c>
      <c r="BQ39" s="452">
        <f t="shared" si="46"/>
        <v>0</v>
      </c>
    </row>
    <row r="40" spans="2:69" ht="15">
      <c r="B40" s="1046"/>
      <c r="F40" s="414"/>
      <c r="G40" s="412"/>
      <c r="H40" s="405"/>
      <c r="I40" s="405"/>
      <c r="J40" s="412"/>
      <c r="K40" s="405"/>
      <c r="L40" s="405"/>
      <c r="M40" s="412"/>
      <c r="N40" s="405"/>
      <c r="O40" s="405"/>
      <c r="P40" s="412"/>
      <c r="Q40" s="405"/>
      <c r="R40" s="424"/>
      <c r="T40" s="1046"/>
      <c r="U40" s="412"/>
      <c r="V40" s="405"/>
      <c r="W40" s="424"/>
      <c r="X40" s="412"/>
      <c r="Y40" s="405"/>
      <c r="Z40" s="424"/>
      <c r="AA40" s="412"/>
      <c r="AB40" s="405"/>
      <c r="AC40" s="424"/>
      <c r="AD40" s="412"/>
      <c r="AE40" s="405"/>
      <c r="AF40" s="424"/>
      <c r="AG40" s="412"/>
      <c r="AH40" s="405"/>
      <c r="AI40" s="424"/>
      <c r="AK40" s="1046"/>
      <c r="AL40" s="412"/>
      <c r="AM40" s="405"/>
      <c r="AN40" s="424"/>
      <c r="AO40" s="412"/>
      <c r="AP40" s="405"/>
      <c r="AQ40" s="424"/>
      <c r="AR40" s="412"/>
      <c r="AS40" s="405"/>
      <c r="AT40" s="424"/>
      <c r="AU40" s="412"/>
      <c r="AV40" s="405"/>
      <c r="AW40" s="424"/>
      <c r="AX40" s="412"/>
      <c r="AY40" s="405"/>
      <c r="AZ40" s="424"/>
      <c r="BB40" s="1046"/>
      <c r="BC40" s="412"/>
      <c r="BD40" s="405"/>
      <c r="BE40" s="424"/>
      <c r="BF40" s="412"/>
      <c r="BG40" s="405"/>
      <c r="BH40" s="424"/>
      <c r="BI40" s="412"/>
      <c r="BJ40" s="405"/>
      <c r="BK40" s="424"/>
      <c r="BL40" s="412"/>
      <c r="BM40" s="405"/>
      <c r="BN40" s="424"/>
      <c r="BO40" s="412"/>
      <c r="BP40" s="405"/>
      <c r="BQ40" s="424"/>
    </row>
    <row r="41" spans="1:69" ht="12.75">
      <c r="A41" s="390">
        <f>A39+1</f>
        <v>32</v>
      </c>
      <c r="B41" s="429" t="s">
        <v>1022</v>
      </c>
      <c r="C41" s="415">
        <f>AVERAGE(C27:C39)</f>
        <v>0</v>
      </c>
      <c r="D41" s="432">
        <f>AVERAGE(D27:D39)</f>
        <v>0</v>
      </c>
      <c r="E41" s="415">
        <f>AVERAGE(E27:E39)</f>
        <v>0</v>
      </c>
      <c r="F41" s="414"/>
      <c r="G41" s="431">
        <f aca="true" t="shared" si="73" ref="G41:AX41">AVERAGE(G27:G39)</f>
        <v>0</v>
      </c>
      <c r="H41" s="432">
        <f>AVERAGE(H27:H39)</f>
        <v>0</v>
      </c>
      <c r="I41" s="432">
        <f t="shared" si="73"/>
        <v>0</v>
      </c>
      <c r="J41" s="431">
        <f aca="true" t="shared" si="74" ref="J41:O41">AVERAGE(J27:J39)</f>
        <v>0</v>
      </c>
      <c r="K41" s="432">
        <f>AVERAGE(K27:K39)</f>
        <v>0</v>
      </c>
      <c r="L41" s="432">
        <f t="shared" si="74"/>
        <v>0</v>
      </c>
      <c r="M41" s="431">
        <f t="shared" si="74"/>
        <v>0</v>
      </c>
      <c r="N41" s="432">
        <f>AVERAGE(N27:N39)</f>
        <v>0</v>
      </c>
      <c r="O41" s="432">
        <f t="shared" si="74"/>
        <v>0</v>
      </c>
      <c r="P41" s="431">
        <f t="shared" si="73"/>
        <v>0</v>
      </c>
      <c r="Q41" s="432">
        <f t="shared" si="73"/>
        <v>0</v>
      </c>
      <c r="R41" s="433">
        <f t="shared" si="73"/>
        <v>0</v>
      </c>
      <c r="S41" s="390">
        <f>S39+1</f>
        <v>32</v>
      </c>
      <c r="T41" s="429" t="s">
        <v>1022</v>
      </c>
      <c r="U41" s="431">
        <f t="shared" si="73"/>
        <v>0</v>
      </c>
      <c r="V41" s="432">
        <f t="shared" si="73"/>
        <v>0</v>
      </c>
      <c r="W41" s="433">
        <f t="shared" si="73"/>
        <v>0</v>
      </c>
      <c r="X41" s="431">
        <f t="shared" si="73"/>
        <v>0</v>
      </c>
      <c r="Y41" s="432">
        <f t="shared" si="73"/>
        <v>0</v>
      </c>
      <c r="Z41" s="433">
        <f t="shared" si="73"/>
        <v>0</v>
      </c>
      <c r="AA41" s="431">
        <f t="shared" si="73"/>
        <v>0</v>
      </c>
      <c r="AB41" s="432">
        <f t="shared" si="73"/>
        <v>0</v>
      </c>
      <c r="AC41" s="433">
        <f t="shared" si="73"/>
        <v>0</v>
      </c>
      <c r="AD41" s="431">
        <f t="shared" si="73"/>
        <v>0</v>
      </c>
      <c r="AE41" s="432">
        <f t="shared" si="73"/>
        <v>0</v>
      </c>
      <c r="AF41" s="433">
        <f t="shared" si="73"/>
        <v>0</v>
      </c>
      <c r="AG41" s="431">
        <f t="shared" si="73"/>
        <v>0</v>
      </c>
      <c r="AH41" s="432">
        <f t="shared" si="73"/>
        <v>0</v>
      </c>
      <c r="AI41" s="433">
        <f t="shared" si="73"/>
        <v>0</v>
      </c>
      <c r="AJ41" s="390">
        <f>AJ39+1</f>
        <v>32</v>
      </c>
      <c r="AK41" s="429" t="s">
        <v>1022</v>
      </c>
      <c r="AL41" s="431">
        <f t="shared" si="73"/>
        <v>0</v>
      </c>
      <c r="AM41" s="432">
        <f t="shared" si="73"/>
        <v>0</v>
      </c>
      <c r="AN41" s="433">
        <f t="shared" si="73"/>
        <v>0</v>
      </c>
      <c r="AO41" s="431">
        <f t="shared" si="73"/>
        <v>0</v>
      </c>
      <c r="AP41" s="432">
        <f t="shared" si="73"/>
        <v>0</v>
      </c>
      <c r="AQ41" s="433">
        <f t="shared" si="73"/>
        <v>0</v>
      </c>
      <c r="AR41" s="431">
        <f t="shared" si="73"/>
        <v>0</v>
      </c>
      <c r="AS41" s="432">
        <f t="shared" si="73"/>
        <v>0</v>
      </c>
      <c r="AT41" s="433">
        <f t="shared" si="73"/>
        <v>0</v>
      </c>
      <c r="AU41" s="431">
        <f t="shared" si="73"/>
        <v>0</v>
      </c>
      <c r="AV41" s="432">
        <f>AVERAGE(AV27:AV39)</f>
        <v>0</v>
      </c>
      <c r="AW41" s="433">
        <f t="shared" si="73"/>
        <v>0</v>
      </c>
      <c r="AX41" s="431">
        <f t="shared" si="73"/>
        <v>0</v>
      </c>
      <c r="AY41" s="432">
        <f aca="true" t="shared" si="75" ref="AY41:BH41">AVERAGE(AY27:AY39)</f>
        <v>0</v>
      </c>
      <c r="AZ41" s="433">
        <f t="shared" si="75"/>
        <v>0</v>
      </c>
      <c r="BA41" s="390">
        <f>BA39+1</f>
        <v>32</v>
      </c>
      <c r="BB41" s="429" t="s">
        <v>1022</v>
      </c>
      <c r="BC41" s="431">
        <f t="shared" si="75"/>
        <v>0</v>
      </c>
      <c r="BD41" s="432">
        <f t="shared" si="75"/>
        <v>0</v>
      </c>
      <c r="BE41" s="433">
        <f t="shared" si="75"/>
        <v>0</v>
      </c>
      <c r="BF41" s="431">
        <f t="shared" si="75"/>
        <v>0</v>
      </c>
      <c r="BG41" s="432">
        <f t="shared" si="75"/>
        <v>0</v>
      </c>
      <c r="BH41" s="433">
        <f t="shared" si="75"/>
        <v>0</v>
      </c>
      <c r="BI41" s="431">
        <f aca="true" t="shared" si="76" ref="BI41:BQ41">AVERAGE(BI27:BI39)</f>
        <v>0</v>
      </c>
      <c r="BJ41" s="432">
        <f t="shared" si="76"/>
        <v>0</v>
      </c>
      <c r="BK41" s="433">
        <f t="shared" si="76"/>
        <v>0</v>
      </c>
      <c r="BL41" s="431">
        <f t="shared" si="76"/>
        <v>0</v>
      </c>
      <c r="BM41" s="432">
        <f t="shared" si="76"/>
        <v>0</v>
      </c>
      <c r="BN41" s="433">
        <f t="shared" si="76"/>
        <v>0</v>
      </c>
      <c r="BO41" s="431">
        <f t="shared" si="76"/>
        <v>0</v>
      </c>
      <c r="BP41" s="432">
        <f t="shared" si="76"/>
        <v>0</v>
      </c>
      <c r="BQ41" s="433">
        <f t="shared" si="76"/>
        <v>0</v>
      </c>
    </row>
    <row r="42" spans="3:69" ht="12.75">
      <c r="C42" s="415"/>
      <c r="D42" s="415"/>
      <c r="E42" s="415"/>
      <c r="F42" s="390"/>
      <c r="G42" s="434"/>
      <c r="H42" s="430"/>
      <c r="I42" s="430"/>
      <c r="J42" s="434"/>
      <c r="K42" s="430"/>
      <c r="L42" s="430"/>
      <c r="M42" s="434"/>
      <c r="N42" s="430"/>
      <c r="O42" s="430"/>
      <c r="P42" s="434"/>
      <c r="Q42" s="430"/>
      <c r="R42" s="435"/>
      <c r="U42" s="434"/>
      <c r="V42" s="430"/>
      <c r="W42" s="435"/>
      <c r="X42" s="434"/>
      <c r="Y42" s="430"/>
      <c r="Z42" s="435"/>
      <c r="AA42" s="434"/>
      <c r="AB42" s="430"/>
      <c r="AC42" s="435"/>
      <c r="AD42" s="434"/>
      <c r="AE42" s="430"/>
      <c r="AF42" s="435"/>
      <c r="AG42" s="434"/>
      <c r="AH42" s="430"/>
      <c r="AI42" s="435"/>
      <c r="AL42" s="434"/>
      <c r="AM42" s="430"/>
      <c r="AN42" s="435"/>
      <c r="AO42" s="434"/>
      <c r="AP42" s="430"/>
      <c r="AQ42" s="435"/>
      <c r="AR42" s="434"/>
      <c r="AS42" s="430"/>
      <c r="AT42" s="435"/>
      <c r="AU42" s="434"/>
      <c r="AV42" s="430"/>
      <c r="AW42" s="435"/>
      <c r="AX42" s="434"/>
      <c r="AY42" s="430"/>
      <c r="AZ42" s="435"/>
      <c r="BC42" s="434"/>
      <c r="BD42" s="430"/>
      <c r="BE42" s="435"/>
      <c r="BF42" s="434"/>
      <c r="BG42" s="430"/>
      <c r="BH42" s="435"/>
      <c r="BI42" s="434"/>
      <c r="BJ42" s="430"/>
      <c r="BK42" s="435"/>
      <c r="BL42" s="434"/>
      <c r="BM42" s="430"/>
      <c r="BN42" s="435"/>
      <c r="BO42" s="434"/>
      <c r="BP42" s="430"/>
      <c r="BQ42" s="435"/>
    </row>
    <row r="43" spans="3:69" ht="12.75">
      <c r="C43" s="415"/>
      <c r="D43" s="415"/>
      <c r="E43" s="415"/>
      <c r="F43" s="390"/>
      <c r="G43" s="396"/>
      <c r="H43" s="397"/>
      <c r="I43" s="413"/>
      <c r="J43" s="396"/>
      <c r="K43" s="397"/>
      <c r="L43" s="413"/>
      <c r="M43" s="396"/>
      <c r="N43" s="397"/>
      <c r="O43" s="413"/>
      <c r="P43" s="396"/>
      <c r="Q43" s="397"/>
      <c r="R43" s="425"/>
      <c r="U43" s="396"/>
      <c r="V43" s="397"/>
      <c r="W43" s="425"/>
      <c r="X43" s="396"/>
      <c r="Y43" s="397"/>
      <c r="Z43" s="425"/>
      <c r="AA43" s="396"/>
      <c r="AB43" s="397"/>
      <c r="AC43" s="425"/>
      <c r="AD43" s="396"/>
      <c r="AE43" s="397"/>
      <c r="AF43" s="425"/>
      <c r="AG43" s="396"/>
      <c r="AH43" s="397"/>
      <c r="AI43" s="425"/>
      <c r="AL43" s="396"/>
      <c r="AM43" s="397"/>
      <c r="AN43" s="425"/>
      <c r="AO43" s="396"/>
      <c r="AP43" s="397"/>
      <c r="AQ43" s="425"/>
      <c r="AR43" s="396"/>
      <c r="AS43" s="397"/>
      <c r="AT43" s="425"/>
      <c r="AU43" s="396"/>
      <c r="AV43" s="397"/>
      <c r="AW43" s="425"/>
      <c r="AX43" s="396"/>
      <c r="AY43" s="397"/>
      <c r="AZ43" s="425"/>
      <c r="BC43" s="396"/>
      <c r="BD43" s="397"/>
      <c r="BE43" s="425"/>
      <c r="BF43" s="396"/>
      <c r="BG43" s="397"/>
      <c r="BH43" s="425"/>
      <c r="BI43" s="396"/>
      <c r="BJ43" s="397"/>
      <c r="BK43" s="425"/>
      <c r="BL43" s="396"/>
      <c r="BM43" s="397"/>
      <c r="BN43" s="425"/>
      <c r="BO43" s="396"/>
      <c r="BP43" s="397"/>
      <c r="BQ43" s="425"/>
    </row>
    <row r="44" spans="6:15" ht="12.75">
      <c r="F44" s="390"/>
      <c r="G44" s="391"/>
      <c r="H44" s="391"/>
      <c r="I44" s="391"/>
      <c r="J44" s="391"/>
      <c r="K44" s="391"/>
      <c r="L44" s="391"/>
      <c r="M44" s="391"/>
      <c r="N44" s="391"/>
      <c r="O44" s="391"/>
    </row>
    <row r="45" spans="3:15" ht="15">
      <c r="C45" s="29"/>
      <c r="F45" s="390"/>
      <c r="G45" s="391"/>
      <c r="H45" s="391"/>
      <c r="I45" s="391"/>
      <c r="J45" s="391"/>
      <c r="K45" s="391"/>
      <c r="L45" s="391"/>
      <c r="M45" s="391"/>
      <c r="N45" s="391"/>
      <c r="O45" s="391"/>
    </row>
    <row r="46" spans="2:16" ht="12.75">
      <c r="B46" s="429"/>
      <c r="C46" s="415"/>
      <c r="D46" s="415"/>
      <c r="E46" s="415"/>
      <c r="P46" s="291"/>
    </row>
    <row r="47" spans="2:3" ht="12.75">
      <c r="B47" s="389" t="s">
        <v>1562</v>
      </c>
      <c r="C47" s="448" t="s">
        <v>1535</v>
      </c>
    </row>
    <row r="48" ht="12.75">
      <c r="C48" s="448" t="s">
        <v>826</v>
      </c>
    </row>
    <row r="49" ht="12.75">
      <c r="C49" s="448" t="s">
        <v>643</v>
      </c>
    </row>
  </sheetData>
  <sheetProtection/>
  <mergeCells count="1">
    <mergeCell ref="C11:E11"/>
  </mergeCells>
  <printOptions/>
  <pageMargins left="0.37" right="0.46" top="1" bottom="1" header="0.5" footer="0.5"/>
  <pageSetup fitToWidth="7" horizontalDpi="600" verticalDpi="600" orientation="landscape" scale="40" r:id="rId1"/>
  <headerFooter alignWithMargins="0">
    <oddFooter>&amp;L&amp;D&amp;R&amp;F</oddFooter>
  </headerFooter>
  <colBreaks count="3" manualBreakCount="3">
    <brk id="18" max="49" man="1"/>
    <brk id="35" max="65535" man="1"/>
    <brk id="52" max="65535" man="1"/>
  </colBreaks>
</worksheet>
</file>

<file path=xl/worksheets/sheet25.xml><?xml version="1.0" encoding="utf-8"?>
<worksheet xmlns="http://schemas.openxmlformats.org/spreadsheetml/2006/main" xmlns:r="http://schemas.openxmlformats.org/officeDocument/2006/relationships">
  <sheetPr>
    <tabColor indexed="22"/>
    <pageSetUpPr fitToPage="1"/>
  </sheetPr>
  <dimension ref="A1:U48"/>
  <sheetViews>
    <sheetView zoomScale="50" zoomScaleNormal="50" workbookViewId="0" topLeftCell="A1">
      <selection activeCell="B16" sqref="B16:B39"/>
    </sheetView>
  </sheetViews>
  <sheetFormatPr defaultColWidth="8.88671875" defaultRowHeight="15"/>
  <cols>
    <col min="1" max="1" width="4.99609375" style="389" bestFit="1" customWidth="1"/>
    <col min="2" max="2" width="9.77734375" style="389" customWidth="1"/>
    <col min="3" max="3" width="17.5546875" style="389" customWidth="1"/>
    <col min="4" max="4" width="12.21484375" style="389" bestFit="1" customWidth="1"/>
    <col min="5" max="5" width="10.6640625" style="389" bestFit="1" customWidth="1"/>
    <col min="6" max="6" width="9.4453125" style="389" customWidth="1"/>
    <col min="7" max="7" width="13.6640625" style="389" bestFit="1" customWidth="1"/>
    <col min="8" max="8" width="11.77734375" style="389" bestFit="1" customWidth="1"/>
    <col min="9" max="9" width="12.88671875" style="389" customWidth="1"/>
    <col min="10" max="10" width="13.6640625" style="389" bestFit="1" customWidth="1"/>
    <col min="11" max="12" width="12.88671875" style="389" customWidth="1"/>
    <col min="13" max="13" width="13.6640625" style="389" bestFit="1" customWidth="1"/>
    <col min="14" max="14" width="11.5546875" style="389" customWidth="1"/>
    <col min="15" max="15" width="11.99609375" style="389" customWidth="1"/>
    <col min="16" max="16" width="13.6640625" style="389" bestFit="1" customWidth="1"/>
    <col min="17" max="17" width="11.77734375" style="389" customWidth="1"/>
    <col min="18" max="18" width="12.77734375" style="389" customWidth="1"/>
    <col min="19" max="19" width="13.6640625" style="389" bestFit="1" customWidth="1"/>
    <col min="20" max="20" width="11.88671875" style="389" customWidth="1"/>
    <col min="21" max="21" width="12.3359375" style="389" customWidth="1"/>
    <col min="22" max="16384" width="8.88671875" style="389" customWidth="1"/>
  </cols>
  <sheetData>
    <row r="1" spans="1:21" ht="20.25">
      <c r="A1" s="295"/>
      <c r="B1" s="96" t="s">
        <v>1232</v>
      </c>
      <c r="C1" s="295"/>
      <c r="D1" s="295"/>
      <c r="U1" s="389" t="s">
        <v>18</v>
      </c>
    </row>
    <row r="2" spans="1:4" ht="18">
      <c r="A2" s="298"/>
      <c r="B2" s="1000" t="str">
        <f>+'Projected Gross Rev Req'!D4</f>
        <v>For the 12 months ended - December 31, 20xx</v>
      </c>
      <c r="C2" s="298"/>
      <c r="D2" s="298"/>
    </row>
    <row r="3" spans="1:4" ht="15">
      <c r="A3" s="154"/>
      <c r="B3" s="426"/>
      <c r="C3" s="383"/>
      <c r="D3" s="383"/>
    </row>
    <row r="6" spans="2:11" ht="12.75">
      <c r="B6" s="436" t="s">
        <v>1240</v>
      </c>
      <c r="H6" s="565"/>
      <c r="K6" s="565"/>
    </row>
    <row r="7" spans="1:21" ht="12.75">
      <c r="A7" s="390">
        <v>1</v>
      </c>
      <c r="B7" s="436" t="s">
        <v>92</v>
      </c>
      <c r="G7" s="392" t="s">
        <v>625</v>
      </c>
      <c r="H7" s="446" t="s">
        <v>1233</v>
      </c>
      <c r="I7" s="410"/>
      <c r="J7" s="392" t="s">
        <v>625</v>
      </c>
      <c r="K7" s="446" t="s">
        <v>1235</v>
      </c>
      <c r="L7" s="410"/>
      <c r="M7" s="392" t="s">
        <v>625</v>
      </c>
      <c r="N7" s="446" t="s">
        <v>1236</v>
      </c>
      <c r="O7" s="410"/>
      <c r="P7" s="392" t="s">
        <v>625</v>
      </c>
      <c r="Q7" s="446" t="s">
        <v>1237</v>
      </c>
      <c r="R7" s="410"/>
      <c r="S7" s="392" t="s">
        <v>625</v>
      </c>
      <c r="T7" s="446" t="s">
        <v>1234</v>
      </c>
      <c r="U7" s="419"/>
    </row>
    <row r="8" spans="1:21" ht="12.75">
      <c r="A8" s="390">
        <f>+A7+1</f>
        <v>2</v>
      </c>
      <c r="G8" s="408" t="s">
        <v>645</v>
      </c>
      <c r="H8" s="446"/>
      <c r="I8" s="446"/>
      <c r="J8" s="408" t="s">
        <v>645</v>
      </c>
      <c r="K8" s="446"/>
      <c r="L8" s="446"/>
      <c r="M8" s="408" t="s">
        <v>645</v>
      </c>
      <c r="N8" s="446"/>
      <c r="O8" s="446"/>
      <c r="P8" s="408" t="s">
        <v>645</v>
      </c>
      <c r="Q8" s="446"/>
      <c r="R8" s="446"/>
      <c r="S8" s="408" t="s">
        <v>645</v>
      </c>
      <c r="T8" s="446"/>
      <c r="U8" s="451"/>
    </row>
    <row r="9" spans="1:21" ht="12.75">
      <c r="A9" s="390">
        <f>+A8+1</f>
        <v>3</v>
      </c>
      <c r="G9" s="393" t="s">
        <v>1231</v>
      </c>
      <c r="H9" s="456">
        <f>IF('P-1 (Trans Plant)'!$H$92=0,0,ROUND('P-1 (Trans Plant)'!$I$91/'P-1 (Trans Plant)'!$H$92/12,6))</f>
        <v>0</v>
      </c>
      <c r="I9" s="394" t="s">
        <v>1165</v>
      </c>
      <c r="J9" s="393" t="s">
        <v>1231</v>
      </c>
      <c r="K9" s="456">
        <f>IF('P-1 (Trans Plant)'!$H$92=0,0,ROUND('P-1 (Trans Plant)'!$I$91/'P-1 (Trans Plant)'!$H$92/12,6))</f>
        <v>0</v>
      </c>
      <c r="L9" s="394" t="s">
        <v>1165</v>
      </c>
      <c r="M9" s="393" t="s">
        <v>1231</v>
      </c>
      <c r="N9" s="456">
        <f>IF('P-1 (Trans Plant)'!$H$92=0,0,ROUND('P-1 (Trans Plant)'!$I$91/'P-1 (Trans Plant)'!$H$92/12,6))</f>
        <v>0</v>
      </c>
      <c r="O9" s="394" t="s">
        <v>1165</v>
      </c>
      <c r="P9" s="393" t="s">
        <v>1231</v>
      </c>
      <c r="Q9" s="456">
        <f>IF('P-1 (Trans Plant)'!$H$92=0,0,ROUND('P-1 (Trans Plant)'!$I$91/'P-1 (Trans Plant)'!$H$92/12,6))</f>
        <v>0</v>
      </c>
      <c r="R9" s="394" t="s">
        <v>1165</v>
      </c>
      <c r="S9" s="393" t="s">
        <v>1231</v>
      </c>
      <c r="T9" s="456">
        <f>IF('P-1 (Trans Plant)'!$H$92=0,0,ROUND('P-1 (Trans Plant)'!$I$91/'P-1 (Trans Plant)'!$H$92/12,6))</f>
        <v>0</v>
      </c>
      <c r="U9" s="421" t="s">
        <v>1165</v>
      </c>
    </row>
    <row r="10" spans="1:21" ht="12.75">
      <c r="A10" s="390">
        <f>+A9+1</f>
        <v>4</v>
      </c>
      <c r="G10" s="393" t="s">
        <v>630</v>
      </c>
      <c r="H10" s="512"/>
      <c r="I10" s="394"/>
      <c r="J10" s="393" t="s">
        <v>630</v>
      </c>
      <c r="K10" s="406"/>
      <c r="L10" s="394"/>
      <c r="M10" s="393" t="s">
        <v>630</v>
      </c>
      <c r="N10" s="406"/>
      <c r="O10" s="394"/>
      <c r="P10" s="393" t="s">
        <v>630</v>
      </c>
      <c r="Q10" s="406"/>
      <c r="R10" s="394"/>
      <c r="S10" s="393" t="s">
        <v>630</v>
      </c>
      <c r="T10" s="406"/>
      <c r="U10" s="421"/>
    </row>
    <row r="11" spans="1:21" ht="12.75">
      <c r="A11" s="390">
        <f>+A10+1</f>
        <v>5</v>
      </c>
      <c r="C11" s="1450" t="s">
        <v>1106</v>
      </c>
      <c r="D11" s="1450"/>
      <c r="E11" s="1450"/>
      <c r="G11" s="393" t="s">
        <v>631</v>
      </c>
      <c r="H11" s="398"/>
      <c r="I11" s="394"/>
      <c r="J11" s="393" t="s">
        <v>631</v>
      </c>
      <c r="K11" s="398"/>
      <c r="L11" s="394"/>
      <c r="M11" s="393" t="s">
        <v>631</v>
      </c>
      <c r="N11" s="398"/>
      <c r="O11" s="394"/>
      <c r="P11" s="393" t="s">
        <v>631</v>
      </c>
      <c r="Q11" s="398"/>
      <c r="R11" s="394"/>
      <c r="S11" s="393" t="s">
        <v>631</v>
      </c>
      <c r="T11" s="398"/>
      <c r="U11" s="421"/>
    </row>
    <row r="12" spans="1:21" ht="12.75">
      <c r="A12" s="390">
        <f>+A11+1</f>
        <v>6</v>
      </c>
      <c r="G12" s="393" t="s">
        <v>648</v>
      </c>
      <c r="H12" s="454"/>
      <c r="I12" s="394"/>
      <c r="J12" s="393" t="s">
        <v>648</v>
      </c>
      <c r="K12" s="454"/>
      <c r="L12" s="394"/>
      <c r="M12" s="393" t="s">
        <v>648</v>
      </c>
      <c r="N12" s="454"/>
      <c r="O12" s="394"/>
      <c r="P12" s="393" t="s">
        <v>648</v>
      </c>
      <c r="Q12" s="454"/>
      <c r="R12" s="394"/>
      <c r="S12" s="393" t="s">
        <v>648</v>
      </c>
      <c r="T12" s="454"/>
      <c r="U12" s="421"/>
    </row>
    <row r="13" spans="7:21" ht="12.75">
      <c r="G13" s="393"/>
      <c r="H13" s="394"/>
      <c r="I13" s="394"/>
      <c r="J13" s="393"/>
      <c r="K13" s="394"/>
      <c r="L13" s="394"/>
      <c r="M13" s="393"/>
      <c r="N13" s="394"/>
      <c r="O13" s="394"/>
      <c r="P13" s="393"/>
      <c r="Q13" s="394"/>
      <c r="R13" s="394"/>
      <c r="S13" s="393"/>
      <c r="T13" s="394"/>
      <c r="U13" s="421"/>
    </row>
    <row r="14" spans="2:21" ht="12.75">
      <c r="B14" s="385" t="s">
        <v>845</v>
      </c>
      <c r="C14" s="385" t="s">
        <v>88</v>
      </c>
      <c r="D14" s="385" t="s">
        <v>649</v>
      </c>
      <c r="E14" s="416" t="s">
        <v>1491</v>
      </c>
      <c r="F14" s="416" t="s">
        <v>845</v>
      </c>
      <c r="G14" s="402" t="s">
        <v>88</v>
      </c>
      <c r="H14" s="402" t="s">
        <v>649</v>
      </c>
      <c r="I14" s="422" t="s">
        <v>1491</v>
      </c>
      <c r="J14" s="402" t="s">
        <v>88</v>
      </c>
      <c r="K14" s="402" t="s">
        <v>649</v>
      </c>
      <c r="L14" s="422" t="s">
        <v>1491</v>
      </c>
      <c r="M14" s="402" t="s">
        <v>88</v>
      </c>
      <c r="N14" s="402" t="s">
        <v>649</v>
      </c>
      <c r="O14" s="422" t="s">
        <v>1491</v>
      </c>
      <c r="P14" s="402" t="s">
        <v>88</v>
      </c>
      <c r="Q14" s="402" t="s">
        <v>649</v>
      </c>
      <c r="R14" s="422" t="s">
        <v>1491</v>
      </c>
      <c r="S14" s="402" t="s">
        <v>88</v>
      </c>
      <c r="T14" s="402" t="s">
        <v>649</v>
      </c>
      <c r="U14" s="422" t="s">
        <v>1491</v>
      </c>
    </row>
    <row r="15" spans="1:21" ht="12.75">
      <c r="A15" s="390">
        <f>+A12+1</f>
        <v>7</v>
      </c>
      <c r="G15" s="449">
        <f>H10</f>
        <v>0</v>
      </c>
      <c r="H15" s="404"/>
      <c r="I15" s="404"/>
      <c r="J15" s="449">
        <v>0</v>
      </c>
      <c r="K15" s="404"/>
      <c r="L15" s="404"/>
      <c r="M15" s="449">
        <v>0</v>
      </c>
      <c r="N15" s="404"/>
      <c r="O15" s="404"/>
      <c r="P15" s="449">
        <v>0</v>
      </c>
      <c r="Q15" s="404"/>
      <c r="R15" s="404"/>
      <c r="S15" s="449">
        <v>0</v>
      </c>
      <c r="T15" s="404"/>
      <c r="U15" s="455"/>
    </row>
    <row r="16" spans="1:21" ht="12.75">
      <c r="A16" s="390">
        <f aca="true" t="shared" si="0" ref="A16:A39">+A15+1</f>
        <v>8</v>
      </c>
      <c r="B16" s="428"/>
      <c r="C16" s="415">
        <f>+G16+J16+M16+P16+S16</f>
        <v>0</v>
      </c>
      <c r="D16" s="415">
        <f aca="true" t="shared" si="1" ref="D16:D39">+H16+K16+N16+Q16+T16</f>
        <v>0</v>
      </c>
      <c r="E16" s="415">
        <f aca="true" t="shared" si="2" ref="E16:E39">+I16+L16+O16+R16+U16</f>
        <v>0</v>
      </c>
      <c r="F16" s="427">
        <f aca="true" t="shared" si="3" ref="F16:F39">+B16</f>
        <v>0</v>
      </c>
      <c r="G16" s="449">
        <f>+G15</f>
        <v>0</v>
      </c>
      <c r="H16" s="450">
        <f>ROUND(G15*H$9,0)+H11</f>
        <v>0</v>
      </c>
      <c r="I16" s="291">
        <f aca="true" t="shared" si="4" ref="I16:I39">+G16-H16</f>
        <v>0</v>
      </c>
      <c r="J16" s="449">
        <v>0</v>
      </c>
      <c r="K16" s="450">
        <f>ROUND(J15*K$9,0)+K11</f>
        <v>0</v>
      </c>
      <c r="L16" s="291">
        <f aca="true" t="shared" si="5" ref="L16:L39">+J16-K16</f>
        <v>0</v>
      </c>
      <c r="M16" s="449">
        <v>0</v>
      </c>
      <c r="N16" s="450">
        <f>ROUND(M15*N$9,0)+N11</f>
        <v>0</v>
      </c>
      <c r="O16" s="291">
        <f aca="true" t="shared" si="6" ref="O16:O39">+M16-N16</f>
        <v>0</v>
      </c>
      <c r="P16" s="449">
        <v>0</v>
      </c>
      <c r="Q16" s="450">
        <f>ROUND(P15*Q$9,0)+Q11</f>
        <v>0</v>
      </c>
      <c r="R16" s="291">
        <f aca="true" t="shared" si="7" ref="R16:R39">+P16-Q16</f>
        <v>0</v>
      </c>
      <c r="S16" s="449">
        <v>0</v>
      </c>
      <c r="T16" s="450">
        <f>ROUND(S15*T$9,0)+T11</f>
        <v>0</v>
      </c>
      <c r="U16" s="452">
        <f aca="true" t="shared" si="8" ref="U16:U39">+S16-T16</f>
        <v>0</v>
      </c>
    </row>
    <row r="17" spans="1:21" ht="12.75">
      <c r="A17" s="390">
        <f t="shared" si="0"/>
        <v>9</v>
      </c>
      <c r="B17" s="428"/>
      <c r="C17" s="415">
        <f aca="true" t="shared" si="9" ref="C17:C39">+G17+J17+M17+P17+S17</f>
        <v>0</v>
      </c>
      <c r="D17" s="415">
        <f t="shared" si="1"/>
        <v>0</v>
      </c>
      <c r="E17" s="415">
        <f t="shared" si="2"/>
        <v>0</v>
      </c>
      <c r="F17" s="427">
        <f t="shared" si="3"/>
        <v>0</v>
      </c>
      <c r="G17" s="449">
        <f>+G16</f>
        <v>0</v>
      </c>
      <c r="H17" s="450">
        <f aca="true" t="shared" si="10" ref="H17:H39">ROUND(G16*H$9,0)+H16</f>
        <v>0</v>
      </c>
      <c r="I17" s="291">
        <f t="shared" si="4"/>
        <v>0</v>
      </c>
      <c r="J17" s="449">
        <f>+J16</f>
        <v>0</v>
      </c>
      <c r="K17" s="450">
        <f aca="true" t="shared" si="11" ref="K17:K39">ROUND(J16*K$9,0)+K16</f>
        <v>0</v>
      </c>
      <c r="L17" s="291">
        <f t="shared" si="5"/>
        <v>0</v>
      </c>
      <c r="M17" s="449">
        <f aca="true" t="shared" si="12" ref="M17:M24">+M16</f>
        <v>0</v>
      </c>
      <c r="N17" s="450">
        <f aca="true" t="shared" si="13" ref="N17:N39">ROUND(M16*N$9,0)+N16</f>
        <v>0</v>
      </c>
      <c r="O17" s="291">
        <f t="shared" si="6"/>
        <v>0</v>
      </c>
      <c r="P17" s="449">
        <f aca="true" t="shared" si="14" ref="P17:P26">+P16</f>
        <v>0</v>
      </c>
      <c r="Q17" s="450">
        <f aca="true" t="shared" si="15" ref="Q17:Q39">ROUND(P16*Q$9,0)+Q16</f>
        <v>0</v>
      </c>
      <c r="R17" s="291">
        <f t="shared" si="7"/>
        <v>0</v>
      </c>
      <c r="S17" s="449">
        <f aca="true" t="shared" si="16" ref="S17:S22">+S16</f>
        <v>0</v>
      </c>
      <c r="T17" s="450">
        <f aca="true" t="shared" si="17" ref="T17:T39">ROUND(S16*T$9,0)+T16</f>
        <v>0</v>
      </c>
      <c r="U17" s="452">
        <f t="shared" si="8"/>
        <v>0</v>
      </c>
    </row>
    <row r="18" spans="1:21" ht="12.75">
      <c r="A18" s="390">
        <f t="shared" si="0"/>
        <v>10</v>
      </c>
      <c r="B18" s="428"/>
      <c r="C18" s="415">
        <f t="shared" si="9"/>
        <v>0</v>
      </c>
      <c r="D18" s="415">
        <f t="shared" si="1"/>
        <v>0</v>
      </c>
      <c r="E18" s="415">
        <f t="shared" si="2"/>
        <v>0</v>
      </c>
      <c r="F18" s="427">
        <f t="shared" si="3"/>
        <v>0</v>
      </c>
      <c r="G18" s="449">
        <f>+G17</f>
        <v>0</v>
      </c>
      <c r="H18" s="450">
        <f t="shared" si="10"/>
        <v>0</v>
      </c>
      <c r="I18" s="291">
        <f t="shared" si="4"/>
        <v>0</v>
      </c>
      <c r="J18" s="449">
        <f>+J17</f>
        <v>0</v>
      </c>
      <c r="K18" s="450">
        <f t="shared" si="11"/>
        <v>0</v>
      </c>
      <c r="L18" s="291">
        <f t="shared" si="5"/>
        <v>0</v>
      </c>
      <c r="M18" s="449">
        <f t="shared" si="12"/>
        <v>0</v>
      </c>
      <c r="N18" s="450">
        <f t="shared" si="13"/>
        <v>0</v>
      </c>
      <c r="O18" s="291">
        <f t="shared" si="6"/>
        <v>0</v>
      </c>
      <c r="P18" s="449">
        <f t="shared" si="14"/>
        <v>0</v>
      </c>
      <c r="Q18" s="450">
        <f t="shared" si="15"/>
        <v>0</v>
      </c>
      <c r="R18" s="291">
        <f t="shared" si="7"/>
        <v>0</v>
      </c>
      <c r="S18" s="449">
        <f t="shared" si="16"/>
        <v>0</v>
      </c>
      <c r="T18" s="450">
        <f t="shared" si="17"/>
        <v>0</v>
      </c>
      <c r="U18" s="452">
        <f t="shared" si="8"/>
        <v>0</v>
      </c>
    </row>
    <row r="19" spans="1:21" ht="12.75">
      <c r="A19" s="390">
        <f t="shared" si="0"/>
        <v>11</v>
      </c>
      <c r="B19" s="428"/>
      <c r="C19" s="415">
        <f t="shared" si="9"/>
        <v>0</v>
      </c>
      <c r="D19" s="415">
        <f t="shared" si="1"/>
        <v>0</v>
      </c>
      <c r="E19" s="415">
        <f t="shared" si="2"/>
        <v>0</v>
      </c>
      <c r="F19" s="427">
        <f t="shared" si="3"/>
        <v>0</v>
      </c>
      <c r="G19" s="449">
        <f>+G18</f>
        <v>0</v>
      </c>
      <c r="H19" s="450">
        <f t="shared" si="10"/>
        <v>0</v>
      </c>
      <c r="I19" s="291">
        <f t="shared" si="4"/>
        <v>0</v>
      </c>
      <c r="J19" s="449">
        <f>+K10</f>
        <v>0</v>
      </c>
      <c r="K19" s="450">
        <f t="shared" si="11"/>
        <v>0</v>
      </c>
      <c r="L19" s="291">
        <f t="shared" si="5"/>
        <v>0</v>
      </c>
      <c r="M19" s="449">
        <f t="shared" si="12"/>
        <v>0</v>
      </c>
      <c r="N19" s="450">
        <f t="shared" si="13"/>
        <v>0</v>
      </c>
      <c r="O19" s="291">
        <f t="shared" si="6"/>
        <v>0</v>
      </c>
      <c r="P19" s="449">
        <f t="shared" si="14"/>
        <v>0</v>
      </c>
      <c r="Q19" s="450">
        <f t="shared" si="15"/>
        <v>0</v>
      </c>
      <c r="R19" s="291">
        <f t="shared" si="7"/>
        <v>0</v>
      </c>
      <c r="S19" s="449">
        <f t="shared" si="16"/>
        <v>0</v>
      </c>
      <c r="T19" s="450">
        <f t="shared" si="17"/>
        <v>0</v>
      </c>
      <c r="U19" s="452">
        <f t="shared" si="8"/>
        <v>0</v>
      </c>
    </row>
    <row r="20" spans="1:21" ht="12.75">
      <c r="A20" s="390">
        <f t="shared" si="0"/>
        <v>12</v>
      </c>
      <c r="B20" s="428"/>
      <c r="C20" s="415">
        <f t="shared" si="9"/>
        <v>0</v>
      </c>
      <c r="D20" s="415">
        <f t="shared" si="1"/>
        <v>0</v>
      </c>
      <c r="E20" s="415">
        <f t="shared" si="2"/>
        <v>0</v>
      </c>
      <c r="F20" s="427">
        <f t="shared" si="3"/>
        <v>0</v>
      </c>
      <c r="G20" s="449">
        <f aca="true" t="shared" si="18" ref="G20:G39">+G19</f>
        <v>0</v>
      </c>
      <c r="H20" s="450">
        <f t="shared" si="10"/>
        <v>0</v>
      </c>
      <c r="I20" s="291">
        <f t="shared" si="4"/>
        <v>0</v>
      </c>
      <c r="J20" s="449">
        <f aca="true" t="shared" si="19" ref="J20:J39">+J19</f>
        <v>0</v>
      </c>
      <c r="K20" s="450">
        <f t="shared" si="11"/>
        <v>0</v>
      </c>
      <c r="L20" s="291">
        <f t="shared" si="5"/>
        <v>0</v>
      </c>
      <c r="M20" s="449">
        <f t="shared" si="12"/>
        <v>0</v>
      </c>
      <c r="N20" s="450">
        <f t="shared" si="13"/>
        <v>0</v>
      </c>
      <c r="O20" s="291">
        <f t="shared" si="6"/>
        <v>0</v>
      </c>
      <c r="P20" s="449">
        <f t="shared" si="14"/>
        <v>0</v>
      </c>
      <c r="Q20" s="450">
        <f t="shared" si="15"/>
        <v>0</v>
      </c>
      <c r="R20" s="291">
        <f t="shared" si="7"/>
        <v>0</v>
      </c>
      <c r="S20" s="449">
        <f t="shared" si="16"/>
        <v>0</v>
      </c>
      <c r="T20" s="450">
        <f t="shared" si="17"/>
        <v>0</v>
      </c>
      <c r="U20" s="452">
        <f t="shared" si="8"/>
        <v>0</v>
      </c>
    </row>
    <row r="21" spans="1:21" ht="12.75">
      <c r="A21" s="390">
        <f t="shared" si="0"/>
        <v>13</v>
      </c>
      <c r="B21" s="428"/>
      <c r="C21" s="415">
        <f t="shared" si="9"/>
        <v>0</v>
      </c>
      <c r="D21" s="415">
        <f t="shared" si="1"/>
        <v>0</v>
      </c>
      <c r="E21" s="415">
        <f t="shared" si="2"/>
        <v>0</v>
      </c>
      <c r="F21" s="427">
        <f t="shared" si="3"/>
        <v>0</v>
      </c>
      <c r="G21" s="449">
        <f t="shared" si="18"/>
        <v>0</v>
      </c>
      <c r="H21" s="450">
        <f t="shared" si="10"/>
        <v>0</v>
      </c>
      <c r="I21" s="291">
        <f t="shared" si="4"/>
        <v>0</v>
      </c>
      <c r="J21" s="449">
        <f t="shared" si="19"/>
        <v>0</v>
      </c>
      <c r="K21" s="450">
        <f t="shared" si="11"/>
        <v>0</v>
      </c>
      <c r="L21" s="291">
        <f t="shared" si="5"/>
        <v>0</v>
      </c>
      <c r="M21" s="449">
        <f t="shared" si="12"/>
        <v>0</v>
      </c>
      <c r="N21" s="450">
        <f t="shared" si="13"/>
        <v>0</v>
      </c>
      <c r="O21" s="291">
        <f t="shared" si="6"/>
        <v>0</v>
      </c>
      <c r="P21" s="449">
        <f t="shared" si="14"/>
        <v>0</v>
      </c>
      <c r="Q21" s="450">
        <f t="shared" si="15"/>
        <v>0</v>
      </c>
      <c r="R21" s="291">
        <f t="shared" si="7"/>
        <v>0</v>
      </c>
      <c r="S21" s="449">
        <f t="shared" si="16"/>
        <v>0</v>
      </c>
      <c r="T21" s="450">
        <f t="shared" si="17"/>
        <v>0</v>
      </c>
      <c r="U21" s="452">
        <f t="shared" si="8"/>
        <v>0</v>
      </c>
    </row>
    <row r="22" spans="1:21" ht="12.75">
      <c r="A22" s="390">
        <f t="shared" si="0"/>
        <v>14</v>
      </c>
      <c r="B22" s="428"/>
      <c r="C22" s="415">
        <f t="shared" si="9"/>
        <v>0</v>
      </c>
      <c r="D22" s="415">
        <f t="shared" si="1"/>
        <v>0</v>
      </c>
      <c r="E22" s="415">
        <f t="shared" si="2"/>
        <v>0</v>
      </c>
      <c r="F22" s="427">
        <f t="shared" si="3"/>
        <v>0</v>
      </c>
      <c r="G22" s="449">
        <f t="shared" si="18"/>
        <v>0</v>
      </c>
      <c r="H22" s="450">
        <f t="shared" si="10"/>
        <v>0</v>
      </c>
      <c r="I22" s="291">
        <f t="shared" si="4"/>
        <v>0</v>
      </c>
      <c r="J22" s="449">
        <f t="shared" si="19"/>
        <v>0</v>
      </c>
      <c r="K22" s="450">
        <f t="shared" si="11"/>
        <v>0</v>
      </c>
      <c r="L22" s="291">
        <f t="shared" si="5"/>
        <v>0</v>
      </c>
      <c r="M22" s="449">
        <f t="shared" si="12"/>
        <v>0</v>
      </c>
      <c r="N22" s="450">
        <f t="shared" si="13"/>
        <v>0</v>
      </c>
      <c r="O22" s="291">
        <f t="shared" si="6"/>
        <v>0</v>
      </c>
      <c r="P22" s="449">
        <f t="shared" si="14"/>
        <v>0</v>
      </c>
      <c r="Q22" s="450">
        <f t="shared" si="15"/>
        <v>0</v>
      </c>
      <c r="R22" s="291">
        <f t="shared" si="7"/>
        <v>0</v>
      </c>
      <c r="S22" s="449">
        <f t="shared" si="16"/>
        <v>0</v>
      </c>
      <c r="T22" s="450">
        <f t="shared" si="17"/>
        <v>0</v>
      </c>
      <c r="U22" s="452">
        <f t="shared" si="8"/>
        <v>0</v>
      </c>
    </row>
    <row r="23" spans="1:21" ht="12.75">
      <c r="A23" s="390">
        <f t="shared" si="0"/>
        <v>15</v>
      </c>
      <c r="B23" s="428"/>
      <c r="C23" s="415">
        <f t="shared" si="9"/>
        <v>0</v>
      </c>
      <c r="D23" s="415">
        <f t="shared" si="1"/>
        <v>0</v>
      </c>
      <c r="E23" s="415">
        <f t="shared" si="2"/>
        <v>0</v>
      </c>
      <c r="F23" s="427">
        <f t="shared" si="3"/>
        <v>0</v>
      </c>
      <c r="G23" s="449">
        <f t="shared" si="18"/>
        <v>0</v>
      </c>
      <c r="H23" s="450">
        <f t="shared" si="10"/>
        <v>0</v>
      </c>
      <c r="I23" s="291">
        <f t="shared" si="4"/>
        <v>0</v>
      </c>
      <c r="J23" s="449">
        <f t="shared" si="19"/>
        <v>0</v>
      </c>
      <c r="K23" s="450">
        <f t="shared" si="11"/>
        <v>0</v>
      </c>
      <c r="L23" s="291">
        <f t="shared" si="5"/>
        <v>0</v>
      </c>
      <c r="M23" s="449">
        <f t="shared" si="12"/>
        <v>0</v>
      </c>
      <c r="N23" s="450">
        <f t="shared" si="13"/>
        <v>0</v>
      </c>
      <c r="O23" s="291">
        <f t="shared" si="6"/>
        <v>0</v>
      </c>
      <c r="P23" s="449">
        <f t="shared" si="14"/>
        <v>0</v>
      </c>
      <c r="Q23" s="450">
        <f t="shared" si="15"/>
        <v>0</v>
      </c>
      <c r="R23" s="291">
        <f t="shared" si="7"/>
        <v>0</v>
      </c>
      <c r="S23" s="449">
        <f>+T10</f>
        <v>0</v>
      </c>
      <c r="T23" s="450">
        <f t="shared" si="17"/>
        <v>0</v>
      </c>
      <c r="U23" s="452">
        <f t="shared" si="8"/>
        <v>0</v>
      </c>
    </row>
    <row r="24" spans="1:21" ht="12.75">
      <c r="A24" s="390">
        <f t="shared" si="0"/>
        <v>16</v>
      </c>
      <c r="B24" s="428"/>
      <c r="C24" s="415">
        <f t="shared" si="9"/>
        <v>0</v>
      </c>
      <c r="D24" s="415">
        <f t="shared" si="1"/>
        <v>0</v>
      </c>
      <c r="E24" s="415">
        <f t="shared" si="2"/>
        <v>0</v>
      </c>
      <c r="F24" s="427">
        <f t="shared" si="3"/>
        <v>0</v>
      </c>
      <c r="G24" s="449">
        <f t="shared" si="18"/>
        <v>0</v>
      </c>
      <c r="H24" s="450">
        <f t="shared" si="10"/>
        <v>0</v>
      </c>
      <c r="I24" s="291">
        <f t="shared" si="4"/>
        <v>0</v>
      </c>
      <c r="J24" s="449">
        <f t="shared" si="19"/>
        <v>0</v>
      </c>
      <c r="K24" s="450">
        <f t="shared" si="11"/>
        <v>0</v>
      </c>
      <c r="L24" s="291">
        <f t="shared" si="5"/>
        <v>0</v>
      </c>
      <c r="M24" s="449">
        <f t="shared" si="12"/>
        <v>0</v>
      </c>
      <c r="N24" s="450">
        <f t="shared" si="13"/>
        <v>0</v>
      </c>
      <c r="O24" s="291">
        <f t="shared" si="6"/>
        <v>0</v>
      </c>
      <c r="P24" s="449">
        <f t="shared" si="14"/>
        <v>0</v>
      </c>
      <c r="Q24" s="450">
        <f t="shared" si="15"/>
        <v>0</v>
      </c>
      <c r="R24" s="291">
        <f t="shared" si="7"/>
        <v>0</v>
      </c>
      <c r="S24" s="449">
        <f aca="true" t="shared" si="20" ref="S24:S39">+S23</f>
        <v>0</v>
      </c>
      <c r="T24" s="450">
        <f t="shared" si="17"/>
        <v>0</v>
      </c>
      <c r="U24" s="452">
        <f t="shared" si="8"/>
        <v>0</v>
      </c>
    </row>
    <row r="25" spans="1:21" ht="12.75">
      <c r="A25" s="390">
        <f t="shared" si="0"/>
        <v>17</v>
      </c>
      <c r="B25" s="428"/>
      <c r="C25" s="415">
        <f t="shared" si="9"/>
        <v>0</v>
      </c>
      <c r="D25" s="415">
        <f t="shared" si="1"/>
        <v>0</v>
      </c>
      <c r="E25" s="415">
        <f t="shared" si="2"/>
        <v>0</v>
      </c>
      <c r="F25" s="427">
        <f t="shared" si="3"/>
        <v>0</v>
      </c>
      <c r="G25" s="449">
        <f t="shared" si="18"/>
        <v>0</v>
      </c>
      <c r="H25" s="450">
        <f t="shared" si="10"/>
        <v>0</v>
      </c>
      <c r="I25" s="291">
        <f t="shared" si="4"/>
        <v>0</v>
      </c>
      <c r="J25" s="449">
        <f t="shared" si="19"/>
        <v>0</v>
      </c>
      <c r="K25" s="450">
        <f t="shared" si="11"/>
        <v>0</v>
      </c>
      <c r="L25" s="291">
        <f t="shared" si="5"/>
        <v>0</v>
      </c>
      <c r="M25" s="449">
        <f>+N10</f>
        <v>0</v>
      </c>
      <c r="N25" s="450">
        <f t="shared" si="13"/>
        <v>0</v>
      </c>
      <c r="O25" s="291">
        <f t="shared" si="6"/>
        <v>0</v>
      </c>
      <c r="P25" s="449">
        <f t="shared" si="14"/>
        <v>0</v>
      </c>
      <c r="Q25" s="450">
        <f t="shared" si="15"/>
        <v>0</v>
      </c>
      <c r="R25" s="291">
        <f t="shared" si="7"/>
        <v>0</v>
      </c>
      <c r="S25" s="449">
        <f t="shared" si="20"/>
        <v>0</v>
      </c>
      <c r="T25" s="450">
        <f t="shared" si="17"/>
        <v>0</v>
      </c>
      <c r="U25" s="452">
        <f t="shared" si="8"/>
        <v>0</v>
      </c>
    </row>
    <row r="26" spans="1:21" ht="12.75">
      <c r="A26" s="390">
        <f t="shared" si="0"/>
        <v>18</v>
      </c>
      <c r="B26" s="428"/>
      <c r="C26" s="415">
        <f t="shared" si="9"/>
        <v>0</v>
      </c>
      <c r="D26" s="415">
        <f t="shared" si="1"/>
        <v>0</v>
      </c>
      <c r="E26" s="415">
        <f t="shared" si="2"/>
        <v>0</v>
      </c>
      <c r="F26" s="427">
        <f t="shared" si="3"/>
        <v>0</v>
      </c>
      <c r="G26" s="449">
        <f t="shared" si="18"/>
        <v>0</v>
      </c>
      <c r="H26" s="450">
        <f t="shared" si="10"/>
        <v>0</v>
      </c>
      <c r="I26" s="291">
        <f t="shared" si="4"/>
        <v>0</v>
      </c>
      <c r="J26" s="449">
        <f t="shared" si="19"/>
        <v>0</v>
      </c>
      <c r="K26" s="450">
        <f t="shared" si="11"/>
        <v>0</v>
      </c>
      <c r="L26" s="291">
        <f t="shared" si="5"/>
        <v>0</v>
      </c>
      <c r="M26" s="449">
        <f aca="true" t="shared" si="21" ref="M26:M39">+M25</f>
        <v>0</v>
      </c>
      <c r="N26" s="450">
        <f t="shared" si="13"/>
        <v>0</v>
      </c>
      <c r="O26" s="291">
        <f t="shared" si="6"/>
        <v>0</v>
      </c>
      <c r="P26" s="449">
        <f t="shared" si="14"/>
        <v>0</v>
      </c>
      <c r="Q26" s="450">
        <f t="shared" si="15"/>
        <v>0</v>
      </c>
      <c r="R26" s="291">
        <f t="shared" si="7"/>
        <v>0</v>
      </c>
      <c r="S26" s="449">
        <f t="shared" si="20"/>
        <v>0</v>
      </c>
      <c r="T26" s="450">
        <f t="shared" si="17"/>
        <v>0</v>
      </c>
      <c r="U26" s="452">
        <f t="shared" si="8"/>
        <v>0</v>
      </c>
    </row>
    <row r="27" spans="1:21" ht="12.75">
      <c r="A27" s="390">
        <f t="shared" si="0"/>
        <v>19</v>
      </c>
      <c r="B27" s="428"/>
      <c r="C27" s="415">
        <f t="shared" si="9"/>
        <v>0</v>
      </c>
      <c r="D27" s="415">
        <f t="shared" si="1"/>
        <v>0</v>
      </c>
      <c r="E27" s="415">
        <f t="shared" si="2"/>
        <v>0</v>
      </c>
      <c r="F27" s="427">
        <f t="shared" si="3"/>
        <v>0</v>
      </c>
      <c r="G27" s="449">
        <f t="shared" si="18"/>
        <v>0</v>
      </c>
      <c r="H27" s="450">
        <f t="shared" si="10"/>
        <v>0</v>
      </c>
      <c r="I27" s="291">
        <f t="shared" si="4"/>
        <v>0</v>
      </c>
      <c r="J27" s="449">
        <f t="shared" si="19"/>
        <v>0</v>
      </c>
      <c r="K27" s="450">
        <f t="shared" si="11"/>
        <v>0</v>
      </c>
      <c r="L27" s="291">
        <f t="shared" si="5"/>
        <v>0</v>
      </c>
      <c r="M27" s="449">
        <f t="shared" si="21"/>
        <v>0</v>
      </c>
      <c r="N27" s="450">
        <f t="shared" si="13"/>
        <v>0</v>
      </c>
      <c r="O27" s="291">
        <f t="shared" si="6"/>
        <v>0</v>
      </c>
      <c r="P27" s="449">
        <f>+Q10</f>
        <v>0</v>
      </c>
      <c r="Q27" s="450">
        <f t="shared" si="15"/>
        <v>0</v>
      </c>
      <c r="R27" s="291">
        <f t="shared" si="7"/>
        <v>0</v>
      </c>
      <c r="S27" s="449">
        <f t="shared" si="20"/>
        <v>0</v>
      </c>
      <c r="T27" s="450">
        <f t="shared" si="17"/>
        <v>0</v>
      </c>
      <c r="U27" s="452">
        <f t="shared" si="8"/>
        <v>0</v>
      </c>
    </row>
    <row r="28" spans="1:21" ht="12.75">
      <c r="A28" s="390">
        <f t="shared" si="0"/>
        <v>20</v>
      </c>
      <c r="B28" s="428"/>
      <c r="C28" s="415">
        <f t="shared" si="9"/>
        <v>0</v>
      </c>
      <c r="D28" s="415">
        <f t="shared" si="1"/>
        <v>0</v>
      </c>
      <c r="E28" s="415">
        <f t="shared" si="2"/>
        <v>0</v>
      </c>
      <c r="F28" s="427">
        <f t="shared" si="3"/>
        <v>0</v>
      </c>
      <c r="G28" s="449">
        <f t="shared" si="18"/>
        <v>0</v>
      </c>
      <c r="H28" s="450">
        <f t="shared" si="10"/>
        <v>0</v>
      </c>
      <c r="I28" s="291">
        <f t="shared" si="4"/>
        <v>0</v>
      </c>
      <c r="J28" s="449">
        <f t="shared" si="19"/>
        <v>0</v>
      </c>
      <c r="K28" s="450">
        <f t="shared" si="11"/>
        <v>0</v>
      </c>
      <c r="L28" s="291">
        <f t="shared" si="5"/>
        <v>0</v>
      </c>
      <c r="M28" s="449">
        <f t="shared" si="21"/>
        <v>0</v>
      </c>
      <c r="N28" s="450">
        <f t="shared" si="13"/>
        <v>0</v>
      </c>
      <c r="O28" s="291">
        <f t="shared" si="6"/>
        <v>0</v>
      </c>
      <c r="P28" s="449">
        <f aca="true" t="shared" si="22" ref="P28:P39">+P27</f>
        <v>0</v>
      </c>
      <c r="Q28" s="450">
        <f t="shared" si="15"/>
        <v>0</v>
      </c>
      <c r="R28" s="291">
        <f t="shared" si="7"/>
        <v>0</v>
      </c>
      <c r="S28" s="449">
        <f t="shared" si="20"/>
        <v>0</v>
      </c>
      <c r="T28" s="450">
        <f t="shared" si="17"/>
        <v>0</v>
      </c>
      <c r="U28" s="452">
        <f t="shared" si="8"/>
        <v>0</v>
      </c>
    </row>
    <row r="29" spans="1:21" ht="12.75">
      <c r="A29" s="390">
        <f t="shared" si="0"/>
        <v>21</v>
      </c>
      <c r="B29" s="428"/>
      <c r="C29" s="415">
        <f t="shared" si="9"/>
        <v>0</v>
      </c>
      <c r="D29" s="415">
        <f t="shared" si="1"/>
        <v>0</v>
      </c>
      <c r="E29" s="415">
        <f t="shared" si="2"/>
        <v>0</v>
      </c>
      <c r="F29" s="427">
        <f t="shared" si="3"/>
        <v>0</v>
      </c>
      <c r="G29" s="449">
        <f t="shared" si="18"/>
        <v>0</v>
      </c>
      <c r="H29" s="450">
        <f t="shared" si="10"/>
        <v>0</v>
      </c>
      <c r="I29" s="291">
        <f t="shared" si="4"/>
        <v>0</v>
      </c>
      <c r="J29" s="449">
        <f t="shared" si="19"/>
        <v>0</v>
      </c>
      <c r="K29" s="450">
        <f t="shared" si="11"/>
        <v>0</v>
      </c>
      <c r="L29" s="291">
        <f t="shared" si="5"/>
        <v>0</v>
      </c>
      <c r="M29" s="449">
        <f t="shared" si="21"/>
        <v>0</v>
      </c>
      <c r="N29" s="450">
        <f t="shared" si="13"/>
        <v>0</v>
      </c>
      <c r="O29" s="291">
        <f t="shared" si="6"/>
        <v>0</v>
      </c>
      <c r="P29" s="449">
        <f t="shared" si="22"/>
        <v>0</v>
      </c>
      <c r="Q29" s="450">
        <f t="shared" si="15"/>
        <v>0</v>
      </c>
      <c r="R29" s="291">
        <f t="shared" si="7"/>
        <v>0</v>
      </c>
      <c r="S29" s="449">
        <f t="shared" si="20"/>
        <v>0</v>
      </c>
      <c r="T29" s="450">
        <f t="shared" si="17"/>
        <v>0</v>
      </c>
      <c r="U29" s="452">
        <f t="shared" si="8"/>
        <v>0</v>
      </c>
    </row>
    <row r="30" spans="1:21" ht="12.75">
      <c r="A30" s="390">
        <f t="shared" si="0"/>
        <v>22</v>
      </c>
      <c r="B30" s="428"/>
      <c r="C30" s="415">
        <f t="shared" si="9"/>
        <v>0</v>
      </c>
      <c r="D30" s="415">
        <f t="shared" si="1"/>
        <v>0</v>
      </c>
      <c r="E30" s="415">
        <f t="shared" si="2"/>
        <v>0</v>
      </c>
      <c r="F30" s="427">
        <f t="shared" si="3"/>
        <v>0</v>
      </c>
      <c r="G30" s="449">
        <f t="shared" si="18"/>
        <v>0</v>
      </c>
      <c r="H30" s="450">
        <f t="shared" si="10"/>
        <v>0</v>
      </c>
      <c r="I30" s="291">
        <f t="shared" si="4"/>
        <v>0</v>
      </c>
      <c r="J30" s="449">
        <f t="shared" si="19"/>
        <v>0</v>
      </c>
      <c r="K30" s="450">
        <f t="shared" si="11"/>
        <v>0</v>
      </c>
      <c r="L30" s="291">
        <f t="shared" si="5"/>
        <v>0</v>
      </c>
      <c r="M30" s="449">
        <f t="shared" si="21"/>
        <v>0</v>
      </c>
      <c r="N30" s="450">
        <f t="shared" si="13"/>
        <v>0</v>
      </c>
      <c r="O30" s="291">
        <f t="shared" si="6"/>
        <v>0</v>
      </c>
      <c r="P30" s="449">
        <f t="shared" si="22"/>
        <v>0</v>
      </c>
      <c r="Q30" s="450">
        <f t="shared" si="15"/>
        <v>0</v>
      </c>
      <c r="R30" s="291">
        <f t="shared" si="7"/>
        <v>0</v>
      </c>
      <c r="S30" s="449">
        <f t="shared" si="20"/>
        <v>0</v>
      </c>
      <c r="T30" s="450">
        <f t="shared" si="17"/>
        <v>0</v>
      </c>
      <c r="U30" s="452">
        <f t="shared" si="8"/>
        <v>0</v>
      </c>
    </row>
    <row r="31" spans="1:21" ht="12.75">
      <c r="A31" s="390">
        <f t="shared" si="0"/>
        <v>23</v>
      </c>
      <c r="B31" s="428"/>
      <c r="C31" s="415">
        <f t="shared" si="9"/>
        <v>0</v>
      </c>
      <c r="D31" s="415">
        <f t="shared" si="1"/>
        <v>0</v>
      </c>
      <c r="E31" s="415">
        <f t="shared" si="2"/>
        <v>0</v>
      </c>
      <c r="F31" s="427">
        <f t="shared" si="3"/>
        <v>0</v>
      </c>
      <c r="G31" s="449">
        <f t="shared" si="18"/>
        <v>0</v>
      </c>
      <c r="H31" s="450">
        <f t="shared" si="10"/>
        <v>0</v>
      </c>
      <c r="I31" s="291">
        <f t="shared" si="4"/>
        <v>0</v>
      </c>
      <c r="J31" s="449">
        <f t="shared" si="19"/>
        <v>0</v>
      </c>
      <c r="K31" s="450">
        <f t="shared" si="11"/>
        <v>0</v>
      </c>
      <c r="L31" s="291">
        <f t="shared" si="5"/>
        <v>0</v>
      </c>
      <c r="M31" s="449">
        <f t="shared" si="21"/>
        <v>0</v>
      </c>
      <c r="N31" s="450">
        <f t="shared" si="13"/>
        <v>0</v>
      </c>
      <c r="O31" s="291">
        <f t="shared" si="6"/>
        <v>0</v>
      </c>
      <c r="P31" s="449">
        <f t="shared" si="22"/>
        <v>0</v>
      </c>
      <c r="Q31" s="450">
        <f t="shared" si="15"/>
        <v>0</v>
      </c>
      <c r="R31" s="291">
        <f t="shared" si="7"/>
        <v>0</v>
      </c>
      <c r="S31" s="449">
        <f t="shared" si="20"/>
        <v>0</v>
      </c>
      <c r="T31" s="450">
        <f t="shared" si="17"/>
        <v>0</v>
      </c>
      <c r="U31" s="452">
        <f t="shared" si="8"/>
        <v>0</v>
      </c>
    </row>
    <row r="32" spans="1:21" ht="12.75">
      <c r="A32" s="390">
        <f t="shared" si="0"/>
        <v>24</v>
      </c>
      <c r="B32" s="428"/>
      <c r="C32" s="415">
        <f t="shared" si="9"/>
        <v>0</v>
      </c>
      <c r="D32" s="415">
        <f t="shared" si="1"/>
        <v>0</v>
      </c>
      <c r="E32" s="415">
        <f t="shared" si="2"/>
        <v>0</v>
      </c>
      <c r="F32" s="427">
        <f t="shared" si="3"/>
        <v>0</v>
      </c>
      <c r="G32" s="449">
        <f t="shared" si="18"/>
        <v>0</v>
      </c>
      <c r="H32" s="450">
        <f t="shared" si="10"/>
        <v>0</v>
      </c>
      <c r="I32" s="291">
        <f t="shared" si="4"/>
        <v>0</v>
      </c>
      <c r="J32" s="449">
        <f t="shared" si="19"/>
        <v>0</v>
      </c>
      <c r="K32" s="450">
        <f t="shared" si="11"/>
        <v>0</v>
      </c>
      <c r="L32" s="291">
        <f t="shared" si="5"/>
        <v>0</v>
      </c>
      <c r="M32" s="449">
        <f t="shared" si="21"/>
        <v>0</v>
      </c>
      <c r="N32" s="450">
        <f t="shared" si="13"/>
        <v>0</v>
      </c>
      <c r="O32" s="291">
        <f t="shared" si="6"/>
        <v>0</v>
      </c>
      <c r="P32" s="449">
        <f t="shared" si="22"/>
        <v>0</v>
      </c>
      <c r="Q32" s="450">
        <f t="shared" si="15"/>
        <v>0</v>
      </c>
      <c r="R32" s="291">
        <f t="shared" si="7"/>
        <v>0</v>
      </c>
      <c r="S32" s="449">
        <f t="shared" si="20"/>
        <v>0</v>
      </c>
      <c r="T32" s="450">
        <f t="shared" si="17"/>
        <v>0</v>
      </c>
      <c r="U32" s="452">
        <f t="shared" si="8"/>
        <v>0</v>
      </c>
    </row>
    <row r="33" spans="1:21" ht="12.75">
      <c r="A33" s="390">
        <f t="shared" si="0"/>
        <v>25</v>
      </c>
      <c r="B33" s="428"/>
      <c r="C33" s="415">
        <f t="shared" si="9"/>
        <v>0</v>
      </c>
      <c r="D33" s="415">
        <f t="shared" si="1"/>
        <v>0</v>
      </c>
      <c r="E33" s="415">
        <f t="shared" si="2"/>
        <v>0</v>
      </c>
      <c r="F33" s="427">
        <f t="shared" si="3"/>
        <v>0</v>
      </c>
      <c r="G33" s="449">
        <f t="shared" si="18"/>
        <v>0</v>
      </c>
      <c r="H33" s="450">
        <f t="shared" si="10"/>
        <v>0</v>
      </c>
      <c r="I33" s="291">
        <f t="shared" si="4"/>
        <v>0</v>
      </c>
      <c r="J33" s="449">
        <f t="shared" si="19"/>
        <v>0</v>
      </c>
      <c r="K33" s="450">
        <f t="shared" si="11"/>
        <v>0</v>
      </c>
      <c r="L33" s="291">
        <f t="shared" si="5"/>
        <v>0</v>
      </c>
      <c r="M33" s="449">
        <f t="shared" si="21"/>
        <v>0</v>
      </c>
      <c r="N33" s="450">
        <f t="shared" si="13"/>
        <v>0</v>
      </c>
      <c r="O33" s="291">
        <f t="shared" si="6"/>
        <v>0</v>
      </c>
      <c r="P33" s="449">
        <f t="shared" si="22"/>
        <v>0</v>
      </c>
      <c r="Q33" s="450">
        <f t="shared" si="15"/>
        <v>0</v>
      </c>
      <c r="R33" s="291">
        <f t="shared" si="7"/>
        <v>0</v>
      </c>
      <c r="S33" s="449">
        <f t="shared" si="20"/>
        <v>0</v>
      </c>
      <c r="T33" s="450">
        <f t="shared" si="17"/>
        <v>0</v>
      </c>
      <c r="U33" s="452">
        <f t="shared" si="8"/>
        <v>0</v>
      </c>
    </row>
    <row r="34" spans="1:21" ht="12.75">
      <c r="A34" s="390">
        <f t="shared" si="0"/>
        <v>26</v>
      </c>
      <c r="B34" s="428"/>
      <c r="C34" s="415">
        <f t="shared" si="9"/>
        <v>0</v>
      </c>
      <c r="D34" s="415">
        <f t="shared" si="1"/>
        <v>0</v>
      </c>
      <c r="E34" s="415">
        <f t="shared" si="2"/>
        <v>0</v>
      </c>
      <c r="F34" s="427">
        <f t="shared" si="3"/>
        <v>0</v>
      </c>
      <c r="G34" s="449">
        <f t="shared" si="18"/>
        <v>0</v>
      </c>
      <c r="H34" s="450">
        <f t="shared" si="10"/>
        <v>0</v>
      </c>
      <c r="I34" s="291">
        <f t="shared" si="4"/>
        <v>0</v>
      </c>
      <c r="J34" s="449">
        <f t="shared" si="19"/>
        <v>0</v>
      </c>
      <c r="K34" s="450">
        <f t="shared" si="11"/>
        <v>0</v>
      </c>
      <c r="L34" s="291">
        <f t="shared" si="5"/>
        <v>0</v>
      </c>
      <c r="M34" s="449">
        <f t="shared" si="21"/>
        <v>0</v>
      </c>
      <c r="N34" s="450">
        <f t="shared" si="13"/>
        <v>0</v>
      </c>
      <c r="O34" s="291">
        <f t="shared" si="6"/>
        <v>0</v>
      </c>
      <c r="P34" s="449">
        <f t="shared" si="22"/>
        <v>0</v>
      </c>
      <c r="Q34" s="450">
        <f t="shared" si="15"/>
        <v>0</v>
      </c>
      <c r="R34" s="291">
        <f t="shared" si="7"/>
        <v>0</v>
      </c>
      <c r="S34" s="449">
        <f t="shared" si="20"/>
        <v>0</v>
      </c>
      <c r="T34" s="450">
        <f t="shared" si="17"/>
        <v>0</v>
      </c>
      <c r="U34" s="452">
        <f t="shared" si="8"/>
        <v>0</v>
      </c>
    </row>
    <row r="35" spans="1:21" ht="12.75">
      <c r="A35" s="390">
        <f t="shared" si="0"/>
        <v>27</v>
      </c>
      <c r="B35" s="428"/>
      <c r="C35" s="415">
        <f t="shared" si="9"/>
        <v>0</v>
      </c>
      <c r="D35" s="415">
        <f t="shared" si="1"/>
        <v>0</v>
      </c>
      <c r="E35" s="415">
        <f t="shared" si="2"/>
        <v>0</v>
      </c>
      <c r="F35" s="427">
        <f t="shared" si="3"/>
        <v>0</v>
      </c>
      <c r="G35" s="449">
        <f t="shared" si="18"/>
        <v>0</v>
      </c>
      <c r="H35" s="450">
        <f t="shared" si="10"/>
        <v>0</v>
      </c>
      <c r="I35" s="291">
        <f t="shared" si="4"/>
        <v>0</v>
      </c>
      <c r="J35" s="449">
        <f t="shared" si="19"/>
        <v>0</v>
      </c>
      <c r="K35" s="450">
        <f t="shared" si="11"/>
        <v>0</v>
      </c>
      <c r="L35" s="291">
        <f t="shared" si="5"/>
        <v>0</v>
      </c>
      <c r="M35" s="449">
        <f t="shared" si="21"/>
        <v>0</v>
      </c>
      <c r="N35" s="450">
        <f t="shared" si="13"/>
        <v>0</v>
      </c>
      <c r="O35" s="291">
        <f t="shared" si="6"/>
        <v>0</v>
      </c>
      <c r="P35" s="449">
        <f t="shared" si="22"/>
        <v>0</v>
      </c>
      <c r="Q35" s="450">
        <f t="shared" si="15"/>
        <v>0</v>
      </c>
      <c r="R35" s="291">
        <f t="shared" si="7"/>
        <v>0</v>
      </c>
      <c r="S35" s="449">
        <f t="shared" si="20"/>
        <v>0</v>
      </c>
      <c r="T35" s="450">
        <f t="shared" si="17"/>
        <v>0</v>
      </c>
      <c r="U35" s="452">
        <f t="shared" si="8"/>
        <v>0</v>
      </c>
    </row>
    <row r="36" spans="1:21" ht="12.75">
      <c r="A36" s="390">
        <f t="shared" si="0"/>
        <v>28</v>
      </c>
      <c r="B36" s="428"/>
      <c r="C36" s="415">
        <f t="shared" si="9"/>
        <v>0</v>
      </c>
      <c r="D36" s="415">
        <f t="shared" si="1"/>
        <v>0</v>
      </c>
      <c r="E36" s="415">
        <f t="shared" si="2"/>
        <v>0</v>
      </c>
      <c r="F36" s="427">
        <f t="shared" si="3"/>
        <v>0</v>
      </c>
      <c r="G36" s="449">
        <f t="shared" si="18"/>
        <v>0</v>
      </c>
      <c r="H36" s="450">
        <f t="shared" si="10"/>
        <v>0</v>
      </c>
      <c r="I36" s="291">
        <f t="shared" si="4"/>
        <v>0</v>
      </c>
      <c r="J36" s="449">
        <f t="shared" si="19"/>
        <v>0</v>
      </c>
      <c r="K36" s="450">
        <f t="shared" si="11"/>
        <v>0</v>
      </c>
      <c r="L36" s="291">
        <f t="shared" si="5"/>
        <v>0</v>
      </c>
      <c r="M36" s="449">
        <f t="shared" si="21"/>
        <v>0</v>
      </c>
      <c r="N36" s="450">
        <f t="shared" si="13"/>
        <v>0</v>
      </c>
      <c r="O36" s="291">
        <f t="shared" si="6"/>
        <v>0</v>
      </c>
      <c r="P36" s="449">
        <f t="shared" si="22"/>
        <v>0</v>
      </c>
      <c r="Q36" s="450">
        <f t="shared" si="15"/>
        <v>0</v>
      </c>
      <c r="R36" s="291">
        <f t="shared" si="7"/>
        <v>0</v>
      </c>
      <c r="S36" s="449">
        <f t="shared" si="20"/>
        <v>0</v>
      </c>
      <c r="T36" s="450">
        <f t="shared" si="17"/>
        <v>0</v>
      </c>
      <c r="U36" s="452">
        <f t="shared" si="8"/>
        <v>0</v>
      </c>
    </row>
    <row r="37" spans="1:21" ht="12.75">
      <c r="A37" s="390">
        <f t="shared" si="0"/>
        <v>29</v>
      </c>
      <c r="B37" s="428"/>
      <c r="C37" s="415">
        <f t="shared" si="9"/>
        <v>0</v>
      </c>
      <c r="D37" s="415">
        <f t="shared" si="1"/>
        <v>0</v>
      </c>
      <c r="E37" s="415">
        <f t="shared" si="2"/>
        <v>0</v>
      </c>
      <c r="F37" s="427">
        <f t="shared" si="3"/>
        <v>0</v>
      </c>
      <c r="G37" s="449">
        <f t="shared" si="18"/>
        <v>0</v>
      </c>
      <c r="H37" s="450">
        <f t="shared" si="10"/>
        <v>0</v>
      </c>
      <c r="I37" s="291">
        <f t="shared" si="4"/>
        <v>0</v>
      </c>
      <c r="J37" s="449">
        <f t="shared" si="19"/>
        <v>0</v>
      </c>
      <c r="K37" s="450">
        <f t="shared" si="11"/>
        <v>0</v>
      </c>
      <c r="L37" s="291">
        <f t="shared" si="5"/>
        <v>0</v>
      </c>
      <c r="M37" s="449">
        <f t="shared" si="21"/>
        <v>0</v>
      </c>
      <c r="N37" s="450">
        <f t="shared" si="13"/>
        <v>0</v>
      </c>
      <c r="O37" s="291">
        <f t="shared" si="6"/>
        <v>0</v>
      </c>
      <c r="P37" s="449">
        <f t="shared" si="22"/>
        <v>0</v>
      </c>
      <c r="Q37" s="450">
        <f t="shared" si="15"/>
        <v>0</v>
      </c>
      <c r="R37" s="291">
        <f t="shared" si="7"/>
        <v>0</v>
      </c>
      <c r="S37" s="449">
        <f t="shared" si="20"/>
        <v>0</v>
      </c>
      <c r="T37" s="450">
        <f t="shared" si="17"/>
        <v>0</v>
      </c>
      <c r="U37" s="452">
        <f t="shared" si="8"/>
        <v>0</v>
      </c>
    </row>
    <row r="38" spans="1:21" ht="12.75">
      <c r="A38" s="390">
        <f t="shared" si="0"/>
        <v>30</v>
      </c>
      <c r="B38" s="428"/>
      <c r="C38" s="415">
        <f t="shared" si="9"/>
        <v>0</v>
      </c>
      <c r="D38" s="415">
        <f t="shared" si="1"/>
        <v>0</v>
      </c>
      <c r="E38" s="415">
        <f t="shared" si="2"/>
        <v>0</v>
      </c>
      <c r="F38" s="427">
        <f t="shared" si="3"/>
        <v>0</v>
      </c>
      <c r="G38" s="449">
        <f t="shared" si="18"/>
        <v>0</v>
      </c>
      <c r="H38" s="450">
        <f t="shared" si="10"/>
        <v>0</v>
      </c>
      <c r="I38" s="291">
        <f t="shared" si="4"/>
        <v>0</v>
      </c>
      <c r="J38" s="449">
        <f t="shared" si="19"/>
        <v>0</v>
      </c>
      <c r="K38" s="450">
        <f t="shared" si="11"/>
        <v>0</v>
      </c>
      <c r="L38" s="291">
        <f t="shared" si="5"/>
        <v>0</v>
      </c>
      <c r="M38" s="449">
        <f t="shared" si="21"/>
        <v>0</v>
      </c>
      <c r="N38" s="450">
        <f t="shared" si="13"/>
        <v>0</v>
      </c>
      <c r="O38" s="291">
        <f t="shared" si="6"/>
        <v>0</v>
      </c>
      <c r="P38" s="449">
        <f t="shared" si="22"/>
        <v>0</v>
      </c>
      <c r="Q38" s="450">
        <f t="shared" si="15"/>
        <v>0</v>
      </c>
      <c r="R38" s="291">
        <f t="shared" si="7"/>
        <v>0</v>
      </c>
      <c r="S38" s="449">
        <f t="shared" si="20"/>
        <v>0</v>
      </c>
      <c r="T38" s="450">
        <f t="shared" si="17"/>
        <v>0</v>
      </c>
      <c r="U38" s="452">
        <f t="shared" si="8"/>
        <v>0</v>
      </c>
    </row>
    <row r="39" spans="1:21" ht="12.75">
      <c r="A39" s="390">
        <f t="shared" si="0"/>
        <v>31</v>
      </c>
      <c r="B39" s="428"/>
      <c r="C39" s="415">
        <f t="shared" si="9"/>
        <v>0</v>
      </c>
      <c r="D39" s="415">
        <f t="shared" si="1"/>
        <v>0</v>
      </c>
      <c r="E39" s="415">
        <f t="shared" si="2"/>
        <v>0</v>
      </c>
      <c r="F39" s="427">
        <f t="shared" si="3"/>
        <v>0</v>
      </c>
      <c r="G39" s="449">
        <f t="shared" si="18"/>
        <v>0</v>
      </c>
      <c r="H39" s="450">
        <f t="shared" si="10"/>
        <v>0</v>
      </c>
      <c r="I39" s="291">
        <f t="shared" si="4"/>
        <v>0</v>
      </c>
      <c r="J39" s="449">
        <f t="shared" si="19"/>
        <v>0</v>
      </c>
      <c r="K39" s="450">
        <f t="shared" si="11"/>
        <v>0</v>
      </c>
      <c r="L39" s="291">
        <f t="shared" si="5"/>
        <v>0</v>
      </c>
      <c r="M39" s="449">
        <f t="shared" si="21"/>
        <v>0</v>
      </c>
      <c r="N39" s="450">
        <f t="shared" si="13"/>
        <v>0</v>
      </c>
      <c r="O39" s="291">
        <f t="shared" si="6"/>
        <v>0</v>
      </c>
      <c r="P39" s="449">
        <f t="shared" si="22"/>
        <v>0</v>
      </c>
      <c r="Q39" s="450">
        <f t="shared" si="15"/>
        <v>0</v>
      </c>
      <c r="R39" s="291">
        <f t="shared" si="7"/>
        <v>0</v>
      </c>
      <c r="S39" s="449">
        <f t="shared" si="20"/>
        <v>0</v>
      </c>
      <c r="T39" s="450">
        <f t="shared" si="17"/>
        <v>0</v>
      </c>
      <c r="U39" s="452">
        <f t="shared" si="8"/>
        <v>0</v>
      </c>
    </row>
    <row r="40" spans="2:21" ht="15">
      <c r="B40" s="1046"/>
      <c r="F40" s="414"/>
      <c r="G40" s="412"/>
      <c r="H40" s="405"/>
      <c r="I40" s="405"/>
      <c r="J40" s="412"/>
      <c r="K40" s="405"/>
      <c r="L40" s="405"/>
      <c r="M40" s="412"/>
      <c r="N40" s="405"/>
      <c r="O40" s="405"/>
      <c r="P40" s="412"/>
      <c r="Q40" s="405"/>
      <c r="R40" s="405"/>
      <c r="S40" s="412"/>
      <c r="T40" s="405"/>
      <c r="U40" s="424"/>
    </row>
    <row r="41" spans="1:21" ht="12.75">
      <c r="A41" s="390">
        <f>A39+1</f>
        <v>32</v>
      </c>
      <c r="B41" s="429" t="s">
        <v>1022</v>
      </c>
      <c r="C41" s="415">
        <f>AVERAGE(C27:C39)</f>
        <v>0</v>
      </c>
      <c r="D41" s="432">
        <f>AVERAGE(D27:D39)</f>
        <v>0</v>
      </c>
      <c r="E41" s="415">
        <f>AVERAGE(E27:E39)</f>
        <v>0</v>
      </c>
      <c r="F41" s="414"/>
      <c r="G41" s="431">
        <f aca="true" t="shared" si="23" ref="G41:U41">AVERAGE(G27:G39)</f>
        <v>0</v>
      </c>
      <c r="H41" s="432">
        <f t="shared" si="23"/>
        <v>0</v>
      </c>
      <c r="I41" s="432">
        <f t="shared" si="23"/>
        <v>0</v>
      </c>
      <c r="J41" s="431">
        <f t="shared" si="23"/>
        <v>0</v>
      </c>
      <c r="K41" s="432">
        <f>AVERAGE(K27:K39)</f>
        <v>0</v>
      </c>
      <c r="L41" s="432">
        <f t="shared" si="23"/>
        <v>0</v>
      </c>
      <c r="M41" s="431">
        <f t="shared" si="23"/>
        <v>0</v>
      </c>
      <c r="N41" s="432">
        <f t="shared" si="23"/>
        <v>0</v>
      </c>
      <c r="O41" s="432">
        <f t="shared" si="23"/>
        <v>0</v>
      </c>
      <c r="P41" s="431">
        <f t="shared" si="23"/>
        <v>0</v>
      </c>
      <c r="Q41" s="432">
        <f t="shared" si="23"/>
        <v>0</v>
      </c>
      <c r="R41" s="432">
        <f t="shared" si="23"/>
        <v>0</v>
      </c>
      <c r="S41" s="431">
        <f t="shared" si="23"/>
        <v>0</v>
      </c>
      <c r="T41" s="432">
        <f t="shared" si="23"/>
        <v>0</v>
      </c>
      <c r="U41" s="433">
        <f t="shared" si="23"/>
        <v>0</v>
      </c>
    </row>
    <row r="42" spans="3:21" ht="12.75">
      <c r="C42" s="415"/>
      <c r="D42" s="415"/>
      <c r="E42" s="415"/>
      <c r="F42" s="390"/>
      <c r="G42" s="434"/>
      <c r="H42" s="430"/>
      <c r="I42" s="430"/>
      <c r="J42" s="434"/>
      <c r="K42" s="430"/>
      <c r="L42" s="430"/>
      <c r="M42" s="434"/>
      <c r="N42" s="430"/>
      <c r="O42" s="430"/>
      <c r="P42" s="434"/>
      <c r="Q42" s="430"/>
      <c r="R42" s="430"/>
      <c r="S42" s="434"/>
      <c r="T42" s="430"/>
      <c r="U42" s="435"/>
    </row>
    <row r="43" spans="3:21" ht="12.75">
      <c r="C43" s="415"/>
      <c r="D43" s="415"/>
      <c r="E43" s="415"/>
      <c r="F43" s="390"/>
      <c r="G43" s="396"/>
      <c r="H43" s="397"/>
      <c r="I43" s="413"/>
      <c r="J43" s="396"/>
      <c r="K43" s="397"/>
      <c r="L43" s="413"/>
      <c r="M43" s="396"/>
      <c r="N43" s="397"/>
      <c r="O43" s="413"/>
      <c r="P43" s="396"/>
      <c r="Q43" s="397"/>
      <c r="R43" s="413"/>
      <c r="S43" s="396"/>
      <c r="T43" s="397"/>
      <c r="U43" s="425"/>
    </row>
    <row r="44" spans="6:15" ht="12.75">
      <c r="F44" s="390"/>
      <c r="G44" s="391"/>
      <c r="H44" s="391"/>
      <c r="I44" s="391"/>
      <c r="J44" s="391"/>
      <c r="K44" s="391"/>
      <c r="L44" s="391"/>
      <c r="M44" s="391"/>
      <c r="N44" s="391"/>
      <c r="O44" s="391"/>
    </row>
    <row r="45" spans="3:15" ht="15">
      <c r="C45" s="29"/>
      <c r="F45" s="390"/>
      <c r="G45" s="391"/>
      <c r="H45" s="391"/>
      <c r="I45" s="391"/>
      <c r="J45" s="391"/>
      <c r="K45" s="391"/>
      <c r="L45" s="391"/>
      <c r="M45" s="391"/>
      <c r="N45" s="391"/>
      <c r="O45" s="391"/>
    </row>
    <row r="46" spans="2:16" ht="12.75">
      <c r="B46" s="429"/>
      <c r="C46" s="415"/>
      <c r="D46" s="415"/>
      <c r="E46" s="415"/>
      <c r="P46" s="291"/>
    </row>
    <row r="47" spans="2:3" ht="12.75">
      <c r="B47" s="389" t="s">
        <v>1562</v>
      </c>
      <c r="C47" s="448" t="s">
        <v>827</v>
      </c>
    </row>
    <row r="48" ht="12.75">
      <c r="C48" s="448" t="s">
        <v>644</v>
      </c>
    </row>
  </sheetData>
  <sheetProtection/>
  <mergeCells count="1">
    <mergeCell ref="C11:E11"/>
  </mergeCells>
  <printOptions/>
  <pageMargins left="0.46" right="0.36" top="1" bottom="1" header="0.5" footer="0.5"/>
  <pageSetup fitToHeight="2" fitToWidth="1" horizontalDpi="600" verticalDpi="600" orientation="landscape" scale="42" r:id="rId1"/>
  <headerFooter alignWithMargins="0">
    <oddFooter>&amp;L&amp;D&amp;R&amp;F</oddFooter>
  </headerFooter>
</worksheet>
</file>

<file path=xl/worksheets/sheet3.xml><?xml version="1.0" encoding="utf-8"?>
<worksheet xmlns="http://schemas.openxmlformats.org/spreadsheetml/2006/main" xmlns:r="http://schemas.openxmlformats.org/officeDocument/2006/relationships">
  <sheetPr>
    <tabColor indexed="22"/>
  </sheetPr>
  <dimension ref="A1:S314"/>
  <sheetViews>
    <sheetView zoomScale="75" zoomScaleNormal="75" zoomScalePageLayoutView="0" workbookViewId="0" topLeftCell="D70">
      <selection activeCell="J70" sqref="J70"/>
    </sheetView>
  </sheetViews>
  <sheetFormatPr defaultColWidth="8.88671875" defaultRowHeight="15"/>
  <cols>
    <col min="1" max="1" width="5.88671875" style="543" customWidth="1"/>
    <col min="2" max="2" width="1.77734375" style="543" customWidth="1"/>
    <col min="3" max="3" width="46.5546875" style="543" customWidth="1"/>
    <col min="4" max="4" width="29.21484375" style="543" customWidth="1"/>
    <col min="5" max="5" width="21.21484375" style="543" customWidth="1"/>
    <col min="6" max="6" width="17.77734375" style="543" customWidth="1"/>
    <col min="7" max="7" width="18.3359375" style="543" bestFit="1" customWidth="1"/>
    <col min="8" max="8" width="13.99609375" style="543" customWidth="1"/>
    <col min="9" max="9" width="4.77734375" style="543" customWidth="1"/>
    <col min="10" max="10" width="12.99609375" style="543" customWidth="1"/>
    <col min="11" max="11" width="3.77734375" style="543" customWidth="1"/>
    <col min="12" max="12" width="14.99609375" style="543" customWidth="1"/>
    <col min="13" max="13" width="3.6640625" style="543" customWidth="1"/>
    <col min="14" max="14" width="8.5546875" style="543" customWidth="1"/>
    <col min="15" max="15" width="3.21484375" style="543" customWidth="1"/>
    <col min="16" max="16" width="16.21484375" style="543" customWidth="1"/>
    <col min="17" max="16384" width="8.88671875" style="543" customWidth="1"/>
  </cols>
  <sheetData>
    <row r="1" spans="3:15" s="10" customFormat="1" ht="15">
      <c r="C1" s="2"/>
      <c r="D1" s="1429" t="s">
        <v>1099</v>
      </c>
      <c r="E1" s="1429"/>
      <c r="F1" s="1429"/>
      <c r="G1" s="1430"/>
      <c r="H1" s="1430"/>
      <c r="I1" s="2"/>
      <c r="L1" s="79"/>
      <c r="M1" s="2"/>
      <c r="N1" s="79" t="s">
        <v>4</v>
      </c>
      <c r="O1" s="2"/>
    </row>
    <row r="2" spans="3:15" s="10" customFormat="1" ht="15">
      <c r="C2" s="2"/>
      <c r="D2" s="1431" t="s">
        <v>249</v>
      </c>
      <c r="E2" s="1431"/>
      <c r="F2" s="1431"/>
      <c r="G2" s="1430"/>
      <c r="H2" s="1430"/>
      <c r="I2" s="4"/>
      <c r="J2" s="4"/>
      <c r="M2" s="4"/>
      <c r="N2" s="84" t="s">
        <v>23</v>
      </c>
      <c r="O2" s="4"/>
    </row>
    <row r="3" spans="3:15" s="10" customFormat="1" ht="15">
      <c r="C3" s="2"/>
      <c r="D3" s="1431" t="s">
        <v>1400</v>
      </c>
      <c r="E3" s="1431"/>
      <c r="F3" s="1431"/>
      <c r="G3" s="1431"/>
      <c r="H3" s="1431"/>
      <c r="I3" s="4"/>
      <c r="J3" s="4"/>
      <c r="M3" s="4"/>
      <c r="N3" s="84"/>
      <c r="O3" s="4"/>
    </row>
    <row r="4" spans="1:15" ht="18">
      <c r="A4" s="10"/>
      <c r="B4" s="10"/>
      <c r="C4" s="2"/>
      <c r="D4" s="1426" t="str">
        <f>+'Actual Net Rev Req'!C4</f>
        <v>For the 12 months ended - December 31, 2008</v>
      </c>
      <c r="E4" s="1426"/>
      <c r="F4" s="1426"/>
      <c r="G4" s="1426"/>
      <c r="H4" s="1426"/>
      <c r="I4" s="285"/>
      <c r="J4" s="285"/>
      <c r="K4" s="548"/>
      <c r="M4" s="545"/>
      <c r="O4" s="545"/>
    </row>
    <row r="5" spans="3:15" ht="15">
      <c r="C5" s="548"/>
      <c r="D5" s="545"/>
      <c r="E5" s="545"/>
      <c r="F5" s="545"/>
      <c r="G5" s="590"/>
      <c r="H5" s="545"/>
      <c r="I5" s="545"/>
      <c r="J5" s="545"/>
      <c r="K5" s="548"/>
      <c r="M5" s="545"/>
      <c r="N5" s="545"/>
      <c r="O5" s="545"/>
    </row>
    <row r="6" spans="3:15" ht="15">
      <c r="C6" s="548"/>
      <c r="D6" s="1434" t="s">
        <v>1356</v>
      </c>
      <c r="E6" s="1434"/>
      <c r="F6" s="1434"/>
      <c r="G6" s="1433"/>
      <c r="H6" s="1433"/>
      <c r="I6" s="545"/>
      <c r="J6" s="545"/>
      <c r="K6" s="545"/>
      <c r="M6" s="545"/>
      <c r="N6" s="545"/>
      <c r="O6" s="545"/>
    </row>
    <row r="7" spans="1:15" s="10" customFormat="1" ht="15">
      <c r="A7" s="543"/>
      <c r="B7" s="543"/>
      <c r="C7" s="548"/>
      <c r="D7" s="1407" t="s">
        <v>1163</v>
      </c>
      <c r="E7" s="1408"/>
      <c r="F7" s="1408"/>
      <c r="G7" s="1408"/>
      <c r="H7" s="1408"/>
      <c r="I7" s="4"/>
      <c r="J7" s="4"/>
      <c r="K7" s="4"/>
      <c r="M7" s="4"/>
      <c r="N7" s="4"/>
      <c r="O7" s="4"/>
    </row>
    <row r="8" spans="3:15" s="10" customFormat="1" ht="15">
      <c r="C8" s="2"/>
      <c r="D8" s="6"/>
      <c r="E8" s="6"/>
      <c r="F8" s="6"/>
      <c r="J8" s="4"/>
      <c r="K8" s="4"/>
      <c r="L8" s="4"/>
      <c r="M8" s="4"/>
      <c r="N8" s="4"/>
      <c r="O8" s="4"/>
    </row>
    <row r="9" spans="3:15" s="10" customFormat="1" ht="15">
      <c r="C9" s="2"/>
      <c r="D9" s="5"/>
      <c r="E9" s="6"/>
      <c r="F9" s="6"/>
      <c r="J9" s="4"/>
      <c r="K9" s="4"/>
      <c r="L9" s="4"/>
      <c r="M9" s="4"/>
      <c r="N9" s="4"/>
      <c r="O9" s="4"/>
    </row>
    <row r="10" spans="3:15" s="10" customFormat="1" ht="15">
      <c r="C10" s="3" t="s">
        <v>1121</v>
      </c>
      <c r="D10" s="3" t="s">
        <v>1122</v>
      </c>
      <c r="E10" s="3" t="s">
        <v>1147</v>
      </c>
      <c r="F10" s="216" t="s">
        <v>1148</v>
      </c>
      <c r="G10" s="216" t="s">
        <v>1149</v>
      </c>
      <c r="H10" s="4" t="s">
        <v>1100</v>
      </c>
      <c r="I10" s="4"/>
      <c r="J10" s="217" t="s">
        <v>1355</v>
      </c>
      <c r="K10" s="4"/>
      <c r="L10" s="217" t="s">
        <v>1357</v>
      </c>
      <c r="M10" s="4"/>
      <c r="N10" s="3"/>
      <c r="O10" s="4"/>
    </row>
    <row r="11" spans="1:15" ht="15.75">
      <c r="A11" s="10"/>
      <c r="B11" s="10"/>
      <c r="C11" s="2"/>
      <c r="D11" s="10"/>
      <c r="E11" s="29"/>
      <c r="F11" s="239" t="s">
        <v>1353</v>
      </c>
      <c r="G11" s="545"/>
      <c r="H11" s="545"/>
      <c r="I11" s="545"/>
      <c r="J11" s="679"/>
      <c r="K11" s="545"/>
      <c r="M11" s="545"/>
      <c r="N11" s="680"/>
      <c r="O11" s="545"/>
    </row>
    <row r="12" spans="1:15" ht="15.75">
      <c r="A12" s="679" t="s">
        <v>1101</v>
      </c>
      <c r="C12" s="548"/>
      <c r="D12" s="14" t="s">
        <v>1150</v>
      </c>
      <c r="E12" s="239" t="s">
        <v>1352</v>
      </c>
      <c r="F12" s="215" t="s">
        <v>1354</v>
      </c>
      <c r="H12" s="21"/>
      <c r="I12" s="16"/>
      <c r="K12" s="21"/>
      <c r="L12" s="16" t="s">
        <v>1151</v>
      </c>
      <c r="M12" s="545"/>
      <c r="N12" s="680"/>
      <c r="O12" s="553"/>
    </row>
    <row r="13" spans="1:15" ht="16.5" thickBot="1">
      <c r="A13" s="591" t="s">
        <v>1103</v>
      </c>
      <c r="B13" s="681"/>
      <c r="C13" s="437" t="s">
        <v>255</v>
      </c>
      <c r="D13" s="438" t="s">
        <v>252</v>
      </c>
      <c r="E13" s="439" t="s">
        <v>778</v>
      </c>
      <c r="F13" s="440" t="s">
        <v>780</v>
      </c>
      <c r="G13" s="441" t="s">
        <v>253</v>
      </c>
      <c r="H13" s="582"/>
      <c r="I13" s="441" t="s">
        <v>254</v>
      </c>
      <c r="J13" s="582"/>
      <c r="K13" s="582"/>
      <c r="L13" s="591" t="s">
        <v>1775</v>
      </c>
      <c r="M13" s="545"/>
      <c r="N13" s="545"/>
      <c r="O13" s="553"/>
    </row>
    <row r="14" spans="1:15" ht="15">
      <c r="A14" s="679"/>
      <c r="C14" s="548"/>
      <c r="D14" s="545"/>
      <c r="E14" s="545"/>
      <c r="F14" s="545"/>
      <c r="G14" s="545"/>
      <c r="H14" s="545"/>
      <c r="I14" s="545"/>
      <c r="J14" s="545"/>
      <c r="K14" s="545"/>
      <c r="L14" s="545"/>
      <c r="M14" s="545"/>
      <c r="N14" s="545"/>
      <c r="O14" s="553"/>
    </row>
    <row r="15" spans="1:15" ht="15.75">
      <c r="A15" s="679"/>
      <c r="C15" s="548" t="s">
        <v>1095</v>
      </c>
      <c r="D15" s="37"/>
      <c r="E15" s="37"/>
      <c r="F15" s="37"/>
      <c r="G15" s="545"/>
      <c r="H15" s="545"/>
      <c r="I15" s="545"/>
      <c r="J15" s="545"/>
      <c r="K15" s="545"/>
      <c r="L15" s="545"/>
      <c r="M15" s="545"/>
      <c r="N15" s="545"/>
      <c r="O15" s="553"/>
    </row>
    <row r="16" spans="1:15" ht="15">
      <c r="A16" s="679">
        <v>1</v>
      </c>
      <c r="C16" s="560" t="s">
        <v>256</v>
      </c>
      <c r="D16" s="547" t="s">
        <v>616</v>
      </c>
      <c r="E16" s="575">
        <v>1934338020</v>
      </c>
      <c r="F16" s="575">
        <v>2193360594</v>
      </c>
      <c r="G16" s="552">
        <f aca="true" t="shared" si="0" ref="G16:G21">E16+F16</f>
        <v>4127698614</v>
      </c>
      <c r="H16" s="545"/>
      <c r="I16" s="545"/>
      <c r="J16" s="545"/>
      <c r="K16" s="545"/>
      <c r="L16" s="552">
        <f aca="true" t="shared" si="1" ref="L16:L21">+J16*G16</f>
        <v>0</v>
      </c>
      <c r="M16" s="545"/>
      <c r="N16" s="545"/>
      <c r="O16" s="553"/>
    </row>
    <row r="17" spans="1:15" ht="15">
      <c r="A17" s="679">
        <f>A16+1</f>
        <v>2</v>
      </c>
      <c r="C17" s="548" t="s">
        <v>258</v>
      </c>
      <c r="D17" s="547" t="s">
        <v>1157</v>
      </c>
      <c r="E17" s="682">
        <v>471305367</v>
      </c>
      <c r="F17" s="682">
        <v>394757644</v>
      </c>
      <c r="G17" s="552">
        <f t="shared" si="0"/>
        <v>866063011</v>
      </c>
      <c r="H17" s="545"/>
      <c r="I17" s="545" t="s">
        <v>1108</v>
      </c>
      <c r="J17" s="556">
        <f>tp</f>
        <v>0.9973294379616451</v>
      </c>
      <c r="K17" s="545"/>
      <c r="L17" s="552">
        <f t="shared" si="1"/>
        <v>863750136</v>
      </c>
      <c r="M17" s="545"/>
      <c r="N17" s="545"/>
      <c r="O17" s="553"/>
    </row>
    <row r="18" spans="1:15" ht="15">
      <c r="A18" s="679">
        <f>A17+1</f>
        <v>3</v>
      </c>
      <c r="C18" s="560" t="s">
        <v>1280</v>
      </c>
      <c r="D18" s="547" t="s">
        <v>1158</v>
      </c>
      <c r="E18" s="577">
        <v>884997507</v>
      </c>
      <c r="F18" s="683">
        <v>740366619</v>
      </c>
      <c r="G18" s="552">
        <f t="shared" si="0"/>
        <v>1625364126</v>
      </c>
      <c r="H18" s="545"/>
      <c r="I18" s="545"/>
      <c r="J18" s="556"/>
      <c r="K18" s="545"/>
      <c r="L18" s="552">
        <f t="shared" si="1"/>
        <v>0</v>
      </c>
      <c r="M18" s="545"/>
      <c r="N18" s="545"/>
      <c r="O18" s="553"/>
    </row>
    <row r="19" spans="1:15" ht="15" customHeight="1">
      <c r="A19" s="679">
        <f>A18+1</f>
        <v>4</v>
      </c>
      <c r="B19" s="544"/>
      <c r="C19" s="684" t="s">
        <v>685</v>
      </c>
      <c r="D19" s="554" t="s">
        <v>684</v>
      </c>
      <c r="E19" s="1238">
        <v>178127322</v>
      </c>
      <c r="F19" s="1239">
        <v>93521803</v>
      </c>
      <c r="G19" s="552">
        <f t="shared" si="0"/>
        <v>271649125</v>
      </c>
      <c r="H19" s="547"/>
      <c r="I19" s="547" t="s">
        <v>1282</v>
      </c>
      <c r="J19" s="559">
        <f>WS</f>
        <v>0.053603184670747886</v>
      </c>
      <c r="K19" s="547"/>
      <c r="L19" s="552">
        <f t="shared" si="1"/>
        <v>14561258.213022076</v>
      </c>
      <c r="M19" s="545"/>
      <c r="N19" s="545"/>
      <c r="O19" s="545"/>
    </row>
    <row r="20" spans="1:15" ht="15" customHeight="1">
      <c r="A20" s="679" t="s">
        <v>681</v>
      </c>
      <c r="B20" s="544"/>
      <c r="C20" s="684" t="s">
        <v>682</v>
      </c>
      <c r="D20" s="554" t="s">
        <v>683</v>
      </c>
      <c r="E20" s="1238">
        <v>17098036</v>
      </c>
      <c r="F20" s="1239">
        <v>28023551</v>
      </c>
      <c r="G20" s="552">
        <f t="shared" si="0"/>
        <v>45121587</v>
      </c>
      <c r="H20" s="547"/>
      <c r="I20" s="547" t="s">
        <v>1282</v>
      </c>
      <c r="J20" s="559">
        <f>WS</f>
        <v>0.053603184670747886</v>
      </c>
      <c r="K20" s="547"/>
      <c r="L20" s="552">
        <f t="shared" si="1"/>
        <v>2418660.760598217</v>
      </c>
      <c r="M20" s="545"/>
      <c r="N20" s="545"/>
      <c r="O20" s="545"/>
    </row>
    <row r="21" spans="1:15" ht="15" customHeight="1" thickBot="1">
      <c r="A21" s="679">
        <f>A19+1</f>
        <v>5</v>
      </c>
      <c r="B21" s="544"/>
      <c r="C21" s="560" t="s">
        <v>1283</v>
      </c>
      <c r="D21" s="547" t="s">
        <v>1284</v>
      </c>
      <c r="E21" s="588">
        <v>0</v>
      </c>
      <c r="F21" s="588">
        <v>0</v>
      </c>
      <c r="G21" s="686">
        <f t="shared" si="0"/>
        <v>0</v>
      </c>
      <c r="H21" s="547"/>
      <c r="I21" s="547" t="s">
        <v>1282</v>
      </c>
      <c r="J21" s="559">
        <f>WS</f>
        <v>0.053603184670747886</v>
      </c>
      <c r="K21" s="547"/>
      <c r="L21" s="686">
        <f t="shared" si="1"/>
        <v>0</v>
      </c>
      <c r="M21" s="545"/>
      <c r="N21" s="545"/>
      <c r="O21" s="545"/>
    </row>
    <row r="22" spans="1:15" ht="15">
      <c r="A22" s="679">
        <f>A21+1</f>
        <v>6</v>
      </c>
      <c r="C22" s="687" t="s">
        <v>1404</v>
      </c>
      <c r="D22" s="547" t="s">
        <v>1544</v>
      </c>
      <c r="E22" s="550">
        <f>SUM(E16:E21)</f>
        <v>3485866252</v>
      </c>
      <c r="F22" s="550">
        <f>SUM(F16:F21)</f>
        <v>3450030211</v>
      </c>
      <c r="G22" s="550">
        <f>SUM(G16:G21)</f>
        <v>6935896463</v>
      </c>
      <c r="H22" s="545"/>
      <c r="I22" s="547"/>
      <c r="J22" s="688"/>
      <c r="K22" s="547"/>
      <c r="L22" s="550">
        <f>SUM(L16:L21)</f>
        <v>880730054.9736203</v>
      </c>
      <c r="M22" s="545"/>
      <c r="N22" s="551"/>
      <c r="O22" s="553"/>
    </row>
    <row r="23" spans="3:15" ht="15">
      <c r="C23" s="548"/>
      <c r="D23" s="545"/>
      <c r="E23" s="545"/>
      <c r="F23" s="547"/>
      <c r="G23" s="545"/>
      <c r="H23" s="545"/>
      <c r="I23" s="545"/>
      <c r="J23" s="551"/>
      <c r="K23" s="545"/>
      <c r="L23" s="545"/>
      <c r="M23" s="545"/>
      <c r="N23" s="551"/>
      <c r="O23" s="553"/>
    </row>
    <row r="24" spans="3:15" ht="15">
      <c r="C24" s="548" t="s">
        <v>1285</v>
      </c>
      <c r="D24" s="545" t="s">
        <v>1470</v>
      </c>
      <c r="E24" s="545"/>
      <c r="F24" s="547"/>
      <c r="G24" s="545"/>
      <c r="H24" s="545"/>
      <c r="I24" s="545"/>
      <c r="J24" s="545"/>
      <c r="K24" s="545"/>
      <c r="L24" s="545"/>
      <c r="M24" s="545"/>
      <c r="N24" s="545"/>
      <c r="O24" s="553"/>
    </row>
    <row r="25" spans="1:15" ht="15">
      <c r="A25" s="679">
        <f>A22+1</f>
        <v>7</v>
      </c>
      <c r="C25" s="560" t="str">
        <f>+C16</f>
        <v>  Production</v>
      </c>
      <c r="D25" s="547" t="s">
        <v>1159</v>
      </c>
      <c r="E25" s="575">
        <v>783283833</v>
      </c>
      <c r="F25" s="575">
        <v>1051368933</v>
      </c>
      <c r="G25" s="550">
        <f aca="true" t="shared" si="2" ref="G25:G30">E25+F25</f>
        <v>1834652766</v>
      </c>
      <c r="H25" s="545"/>
      <c r="I25" s="545"/>
      <c r="J25" s="545"/>
      <c r="K25" s="545"/>
      <c r="L25" s="552">
        <f aca="true" t="shared" si="3" ref="L25:L30">+J25*G25</f>
        <v>0</v>
      </c>
      <c r="M25" s="545"/>
      <c r="N25" s="545"/>
      <c r="O25" s="553"/>
    </row>
    <row r="26" spans="1:15" ht="15">
      <c r="A26" s="679">
        <f>A25+1</f>
        <v>8</v>
      </c>
      <c r="C26" s="560" t="str">
        <f>+C17</f>
        <v>  Transmission</v>
      </c>
      <c r="D26" s="547" t="s">
        <v>1097</v>
      </c>
      <c r="E26" s="577">
        <v>166273849</v>
      </c>
      <c r="F26" s="577">
        <v>148329537</v>
      </c>
      <c r="G26" s="689">
        <f t="shared" si="2"/>
        <v>314603386</v>
      </c>
      <c r="H26" s="545"/>
      <c r="I26" s="545" t="str">
        <f>+I17</f>
        <v>TP</v>
      </c>
      <c r="J26" s="556">
        <f>tp</f>
        <v>0.9973294379616451</v>
      </c>
      <c r="K26" s="545"/>
      <c r="L26" s="552">
        <f t="shared" si="3"/>
        <v>313763218.1402105</v>
      </c>
      <c r="M26" s="545"/>
      <c r="N26" s="545"/>
      <c r="O26" s="553"/>
    </row>
    <row r="27" spans="1:15" ht="15">
      <c r="A27" s="679">
        <f>A26+1</f>
        <v>9</v>
      </c>
      <c r="C27" s="560" t="str">
        <f>+C18</f>
        <v>  Distribution</v>
      </c>
      <c r="D27" s="547" t="s">
        <v>205</v>
      </c>
      <c r="E27" s="577">
        <v>328289362</v>
      </c>
      <c r="F27" s="683">
        <v>264902445</v>
      </c>
      <c r="G27" s="689">
        <f t="shared" si="2"/>
        <v>593191807</v>
      </c>
      <c r="H27" s="545"/>
      <c r="I27" s="545"/>
      <c r="J27" s="556"/>
      <c r="K27" s="545"/>
      <c r="L27" s="552">
        <f t="shared" si="3"/>
        <v>0</v>
      </c>
      <c r="M27" s="545"/>
      <c r="N27" s="545"/>
      <c r="O27" s="553"/>
    </row>
    <row r="28" spans="1:15" ht="15">
      <c r="A28" s="679">
        <f>A27+1</f>
        <v>10</v>
      </c>
      <c r="B28" s="544"/>
      <c r="C28" s="560" t="str">
        <f>+C19</f>
        <v>  General</v>
      </c>
      <c r="D28" s="547" t="s">
        <v>206</v>
      </c>
      <c r="E28" s="577">
        <v>92739118</v>
      </c>
      <c r="F28" s="683">
        <v>48081414</v>
      </c>
      <c r="G28" s="689">
        <f t="shared" si="2"/>
        <v>140820532</v>
      </c>
      <c r="H28" s="547"/>
      <c r="I28" s="547" t="s">
        <v>1282</v>
      </c>
      <c r="J28" s="559">
        <f>WS</f>
        <v>0.053603184670747886</v>
      </c>
      <c r="K28" s="547"/>
      <c r="L28" s="552">
        <f t="shared" si="3"/>
        <v>7548428.982228962</v>
      </c>
      <c r="M28" s="545"/>
      <c r="N28" s="545"/>
      <c r="O28" s="553"/>
    </row>
    <row r="29" spans="1:15" ht="15">
      <c r="A29" s="15" t="s">
        <v>686</v>
      </c>
      <c r="B29" s="679"/>
      <c r="C29" s="684" t="s">
        <v>682</v>
      </c>
      <c r="D29" s="554" t="s">
        <v>687</v>
      </c>
      <c r="E29" s="1238">
        <v>8672238.92</v>
      </c>
      <c r="F29" s="1239">
        <v>15202712.42</v>
      </c>
      <c r="G29" s="552">
        <f t="shared" si="2"/>
        <v>23874951.34</v>
      </c>
      <c r="H29" s="547"/>
      <c r="I29" s="547" t="s">
        <v>1282</v>
      </c>
      <c r="J29" s="559">
        <f>WS</f>
        <v>0.053603184670747886</v>
      </c>
      <c r="K29" s="547"/>
      <c r="L29" s="552">
        <f t="shared" si="3"/>
        <v>1279773.4256831396</v>
      </c>
      <c r="M29" s="545"/>
      <c r="N29" s="545"/>
      <c r="O29" s="553"/>
    </row>
    <row r="30" spans="1:15" ht="15.75" thickBot="1">
      <c r="A30" s="679">
        <f>A28+1</f>
        <v>11</v>
      </c>
      <c r="B30" s="544"/>
      <c r="C30" s="560" t="str">
        <f>+C21</f>
        <v>  Common</v>
      </c>
      <c r="D30" s="547" t="s">
        <v>1284</v>
      </c>
      <c r="E30" s="588">
        <v>0</v>
      </c>
      <c r="F30" s="588">
        <v>0</v>
      </c>
      <c r="G30" s="558">
        <f t="shared" si="2"/>
        <v>0</v>
      </c>
      <c r="H30" s="547"/>
      <c r="I30" s="547" t="s">
        <v>1282</v>
      </c>
      <c r="J30" s="559">
        <f>WS</f>
        <v>0.053603184670747886</v>
      </c>
      <c r="K30" s="547"/>
      <c r="L30" s="686">
        <f t="shared" si="3"/>
        <v>0</v>
      </c>
      <c r="M30" s="545"/>
      <c r="N30" s="545"/>
      <c r="O30" s="553"/>
    </row>
    <row r="31" spans="1:15" ht="15">
      <c r="A31" s="679">
        <f>A30+1</f>
        <v>12</v>
      </c>
      <c r="C31" s="560" t="s">
        <v>1403</v>
      </c>
      <c r="D31" s="547" t="s">
        <v>1545</v>
      </c>
      <c r="E31" s="550">
        <f>SUM(E25:E30)</f>
        <v>1379258400.92</v>
      </c>
      <c r="F31" s="550">
        <f>SUM(F25:F30)</f>
        <v>1527885041.42</v>
      </c>
      <c r="G31" s="550">
        <f>SUM(G25:G30)</f>
        <v>2907143442.34</v>
      </c>
      <c r="H31" s="545"/>
      <c r="I31" s="545"/>
      <c r="J31" s="545"/>
      <c r="K31" s="545"/>
      <c r="L31" s="550">
        <f>SUM(L25:L30)</f>
        <v>322591420.5481226</v>
      </c>
      <c r="M31" s="545"/>
      <c r="N31" s="545"/>
      <c r="O31" s="553"/>
    </row>
    <row r="32" spans="1:15" ht="15">
      <c r="A32" s="679"/>
      <c r="D32" s="545" t="s">
        <v>1100</v>
      </c>
      <c r="F32" s="544"/>
      <c r="H32" s="545"/>
      <c r="I32" s="545"/>
      <c r="J32" s="551"/>
      <c r="K32" s="545"/>
      <c r="M32" s="545"/>
      <c r="N32" s="551"/>
      <c r="O32" s="553"/>
    </row>
    <row r="33" spans="1:15" ht="15">
      <c r="A33" s="679"/>
      <c r="C33" s="548" t="s">
        <v>1286</v>
      </c>
      <c r="D33" s="545"/>
      <c r="E33" s="545"/>
      <c r="F33" s="547"/>
      <c r="G33" s="545"/>
      <c r="H33" s="545"/>
      <c r="I33" s="545"/>
      <c r="J33" s="545"/>
      <c r="K33" s="545"/>
      <c r="L33" s="545"/>
      <c r="M33" s="545"/>
      <c r="N33" s="545"/>
      <c r="O33" s="553"/>
    </row>
    <row r="34" spans="1:15" ht="15">
      <c r="A34" s="679">
        <f>A31+1</f>
        <v>13</v>
      </c>
      <c r="C34" s="560" t="str">
        <f>+C25</f>
        <v>  Production</v>
      </c>
      <c r="D34" s="596" t="s">
        <v>1043</v>
      </c>
      <c r="E34" s="552">
        <f aca="true" t="shared" si="4" ref="E34:G37">E16-E25</f>
        <v>1151054187</v>
      </c>
      <c r="F34" s="550">
        <f t="shared" si="4"/>
        <v>1141991661</v>
      </c>
      <c r="G34" s="552">
        <f t="shared" si="4"/>
        <v>2293045848</v>
      </c>
      <c r="H34" s="545"/>
      <c r="I34" s="545"/>
      <c r="J34" s="545"/>
      <c r="K34" s="545"/>
      <c r="L34" s="552">
        <f aca="true" t="shared" si="5" ref="L34:L39">L16-L25</f>
        <v>0</v>
      </c>
      <c r="M34" s="545"/>
      <c r="N34" s="545"/>
      <c r="O34" s="553"/>
    </row>
    <row r="35" spans="1:15" ht="15">
      <c r="A35" s="679">
        <f>A34+1</f>
        <v>14</v>
      </c>
      <c r="C35" s="560" t="str">
        <f>+C26</f>
        <v>  Transmission</v>
      </c>
      <c r="D35" s="596" t="s">
        <v>1044</v>
      </c>
      <c r="E35" s="552">
        <f t="shared" si="4"/>
        <v>305031518</v>
      </c>
      <c r="F35" s="550">
        <f t="shared" si="4"/>
        <v>246428107</v>
      </c>
      <c r="G35" s="552">
        <f t="shared" si="4"/>
        <v>551459625</v>
      </c>
      <c r="H35" s="545"/>
      <c r="I35" s="545"/>
      <c r="J35" s="556"/>
      <c r="K35" s="545"/>
      <c r="L35" s="552">
        <f t="shared" si="5"/>
        <v>549986917.8597895</v>
      </c>
      <c r="M35" s="545"/>
      <c r="N35" s="551"/>
      <c r="O35" s="553"/>
    </row>
    <row r="36" spans="1:15" ht="15">
      <c r="A36" s="679">
        <f>A35+1</f>
        <v>15</v>
      </c>
      <c r="C36" s="560" t="str">
        <f>+C27</f>
        <v>  Distribution</v>
      </c>
      <c r="D36" s="596" t="s">
        <v>1045</v>
      </c>
      <c r="E36" s="552">
        <f t="shared" si="4"/>
        <v>556708145</v>
      </c>
      <c r="F36" s="550">
        <f t="shared" si="4"/>
        <v>475464174</v>
      </c>
      <c r="G36" s="552">
        <f t="shared" si="4"/>
        <v>1032172319</v>
      </c>
      <c r="H36" s="545"/>
      <c r="I36" s="545"/>
      <c r="J36" s="556"/>
      <c r="K36" s="545"/>
      <c r="L36" s="552">
        <f t="shared" si="5"/>
        <v>0</v>
      </c>
      <c r="M36" s="545"/>
      <c r="N36" s="551"/>
      <c r="O36" s="553"/>
    </row>
    <row r="37" spans="1:15" ht="15">
      <c r="A37" s="702">
        <f>A36+1</f>
        <v>16</v>
      </c>
      <c r="B37" s="544"/>
      <c r="C37" s="560" t="str">
        <f>+C28</f>
        <v>  General</v>
      </c>
      <c r="D37" s="547" t="s">
        <v>688</v>
      </c>
      <c r="E37" s="550">
        <f t="shared" si="4"/>
        <v>85388204</v>
      </c>
      <c r="F37" s="550">
        <f t="shared" si="4"/>
        <v>45440389</v>
      </c>
      <c r="G37" s="550">
        <f t="shared" si="4"/>
        <v>130828593</v>
      </c>
      <c r="H37" s="547"/>
      <c r="I37" s="547"/>
      <c r="J37" s="690"/>
      <c r="K37" s="547"/>
      <c r="L37" s="552">
        <f t="shared" si="5"/>
        <v>7012829.230793114</v>
      </c>
      <c r="M37" s="545"/>
      <c r="N37" s="551"/>
      <c r="O37" s="553"/>
    </row>
    <row r="38" spans="1:15" ht="15">
      <c r="A38" s="679" t="s">
        <v>1137</v>
      </c>
      <c r="B38" s="544"/>
      <c r="C38" s="684" t="s">
        <v>682</v>
      </c>
      <c r="D38" s="547" t="s">
        <v>689</v>
      </c>
      <c r="E38" s="552">
        <f>E20-E29</f>
        <v>8425797.08</v>
      </c>
      <c r="F38" s="550">
        <f>F20-F29</f>
        <v>12820838.58</v>
      </c>
      <c r="G38" s="552">
        <f>E38+F38</f>
        <v>21246635.66</v>
      </c>
      <c r="H38" s="547"/>
      <c r="I38" s="547"/>
      <c r="J38" s="690"/>
      <c r="K38" s="547"/>
      <c r="L38" s="552">
        <f t="shared" si="5"/>
        <v>1138887.3349150775</v>
      </c>
      <c r="M38" s="545"/>
      <c r="N38" s="551"/>
      <c r="O38" s="553"/>
    </row>
    <row r="39" spans="1:15" ht="15.75" thickBot="1">
      <c r="A39" s="679">
        <f>A37+1</f>
        <v>17</v>
      </c>
      <c r="B39" s="544"/>
      <c r="C39" s="560" t="str">
        <f>+C30</f>
        <v>  Common</v>
      </c>
      <c r="D39" s="547" t="s">
        <v>1685</v>
      </c>
      <c r="E39" s="686">
        <f>E21-E30</f>
        <v>0</v>
      </c>
      <c r="F39" s="691">
        <f>F21-F30</f>
        <v>0</v>
      </c>
      <c r="G39" s="686">
        <f>G21-G30</f>
        <v>0</v>
      </c>
      <c r="H39" s="547"/>
      <c r="I39" s="547"/>
      <c r="J39" s="690"/>
      <c r="K39" s="547"/>
      <c r="L39" s="686">
        <f t="shared" si="5"/>
        <v>0</v>
      </c>
      <c r="M39" s="545"/>
      <c r="N39" s="551"/>
      <c r="O39" s="553"/>
    </row>
    <row r="40" spans="1:15" ht="15">
      <c r="A40" s="679">
        <f>A39+1</f>
        <v>18</v>
      </c>
      <c r="C40" s="548" t="s">
        <v>1402</v>
      </c>
      <c r="D40" s="545" t="s">
        <v>1046</v>
      </c>
      <c r="E40" s="550">
        <f>SUM(E34:E39)</f>
        <v>2106607851.08</v>
      </c>
      <c r="F40" s="550">
        <f>SUM(F34:F39)</f>
        <v>1922145169.58</v>
      </c>
      <c r="G40" s="550">
        <f>SUM(G34:G39)</f>
        <v>4028753020.66</v>
      </c>
      <c r="H40" s="545"/>
      <c r="I40" s="547"/>
      <c r="J40" s="688"/>
      <c r="K40" s="547"/>
      <c r="L40" s="550">
        <f>SUM(L34:L39)</f>
        <v>558138634.4254977</v>
      </c>
      <c r="M40" s="545"/>
      <c r="N40" s="545"/>
      <c r="O40" s="553"/>
    </row>
    <row r="41" spans="1:15" ht="15.75">
      <c r="A41" s="679"/>
      <c r="D41" s="37"/>
      <c r="F41" s="544"/>
      <c r="H41" s="545"/>
      <c r="K41" s="545"/>
      <c r="M41" s="545"/>
      <c r="N41" s="551"/>
      <c r="O41" s="553"/>
    </row>
    <row r="42" spans="1:15" ht="15">
      <c r="A42" s="679"/>
      <c r="C42" s="546" t="s">
        <v>962</v>
      </c>
      <c r="D42" s="547"/>
      <c r="E42" s="545"/>
      <c r="F42" s="547"/>
      <c r="G42" s="545"/>
      <c r="H42" s="545"/>
      <c r="I42" s="545"/>
      <c r="J42" s="545"/>
      <c r="K42" s="545"/>
      <c r="L42" s="545"/>
      <c r="M42" s="545"/>
      <c r="N42" s="545"/>
      <c r="O42" s="553"/>
    </row>
    <row r="43" spans="1:15" ht="15">
      <c r="A43" s="679">
        <f>+A40+1</f>
        <v>19</v>
      </c>
      <c r="C43" s="548" t="s">
        <v>654</v>
      </c>
      <c r="D43" s="547" t="s">
        <v>1802</v>
      </c>
      <c r="E43" s="655">
        <f>'A-5 (WEN ADIT)'!J18</f>
        <v>-46932578.430913694</v>
      </c>
      <c r="F43" s="655">
        <f>'A-7 (WES ADIT)'!J18</f>
        <v>-53782949.40637236</v>
      </c>
      <c r="G43" s="656">
        <f>E43+F43</f>
        <v>-100715527.83728606</v>
      </c>
      <c r="H43" s="545" t="s">
        <v>1100</v>
      </c>
      <c r="I43" s="547" t="s">
        <v>1593</v>
      </c>
      <c r="J43" s="559">
        <v>1</v>
      </c>
      <c r="K43" s="547"/>
      <c r="L43" s="599">
        <f>+J43*G43</f>
        <v>-100715527.83728606</v>
      </c>
      <c r="M43" s="545"/>
      <c r="N43" s="551"/>
      <c r="O43" s="553"/>
    </row>
    <row r="44" spans="1:15" ht="15">
      <c r="A44" s="679" t="s">
        <v>269</v>
      </c>
      <c r="C44" s="548" t="s">
        <v>865</v>
      </c>
      <c r="D44" s="547" t="s">
        <v>869</v>
      </c>
      <c r="E44" s="692">
        <v>5355073.33</v>
      </c>
      <c r="F44" s="692">
        <v>0</v>
      </c>
      <c r="G44" s="656">
        <f>E44+F44</f>
        <v>5355073.33</v>
      </c>
      <c r="H44" s="547"/>
      <c r="I44" s="547" t="s">
        <v>1289</v>
      </c>
      <c r="J44" s="559">
        <f>TE</f>
        <v>0.9253248326646663</v>
      </c>
      <c r="K44" s="547"/>
      <c r="L44" s="599">
        <f>+J44*G44</f>
        <v>4955182.332989267</v>
      </c>
      <c r="M44" s="545"/>
      <c r="N44" s="551"/>
      <c r="O44" s="553"/>
    </row>
    <row r="45" spans="1:15" ht="15.75" thickBot="1">
      <c r="A45" s="679" t="s">
        <v>866</v>
      </c>
      <c r="C45" s="548" t="s">
        <v>867</v>
      </c>
      <c r="D45" s="547" t="s">
        <v>868</v>
      </c>
      <c r="E45" s="693">
        <v>58582</v>
      </c>
      <c r="F45" s="693">
        <v>193024</v>
      </c>
      <c r="G45" s="691">
        <f>E45+F45</f>
        <v>251606</v>
      </c>
      <c r="H45" s="545"/>
      <c r="I45" s="547" t="s">
        <v>1289</v>
      </c>
      <c r="J45" s="559">
        <f>TE</f>
        <v>0.9253248326646663</v>
      </c>
      <c r="K45" s="547"/>
      <c r="L45" s="549">
        <f>+J45*G45</f>
        <v>232817.27984742602</v>
      </c>
      <c r="M45" s="545"/>
      <c r="N45" s="551"/>
      <c r="O45" s="553"/>
    </row>
    <row r="46" spans="1:15" ht="15">
      <c r="A46" s="679">
        <f>A43+1</f>
        <v>20</v>
      </c>
      <c r="B46" s="548"/>
      <c r="C46" s="548" t="s">
        <v>1594</v>
      </c>
      <c r="D46" s="545" t="s">
        <v>1541</v>
      </c>
      <c r="E46" s="550">
        <f>E43+E44-E45</f>
        <v>-41636087.100913696</v>
      </c>
      <c r="F46" s="550">
        <f>F43+F44-F45</f>
        <v>-53975973.40637236</v>
      </c>
      <c r="G46" s="550">
        <f>G43+G44-G45</f>
        <v>-95612060.50728606</v>
      </c>
      <c r="H46" s="545"/>
      <c r="I46" s="545"/>
      <c r="J46" s="545"/>
      <c r="K46" s="545"/>
      <c r="L46" s="550">
        <f>L43+L44-L45</f>
        <v>-95993162.78414422</v>
      </c>
      <c r="M46" s="545"/>
      <c r="N46" s="545"/>
      <c r="O46" s="553"/>
    </row>
    <row r="47" spans="1:15" ht="15">
      <c r="A47" s="679"/>
      <c r="D47" s="545"/>
      <c r="F47" s="544"/>
      <c r="H47" s="545"/>
      <c r="I47" s="545"/>
      <c r="J47" s="551"/>
      <c r="K47" s="545"/>
      <c r="M47" s="545"/>
      <c r="N47" s="551"/>
      <c r="O47" s="553"/>
    </row>
    <row r="48" spans="1:15" ht="15">
      <c r="A48" s="679">
        <f>A46+1</f>
        <v>21</v>
      </c>
      <c r="B48" s="548"/>
      <c r="C48" s="546" t="s">
        <v>1288</v>
      </c>
      <c r="D48" s="545" t="s">
        <v>430</v>
      </c>
      <c r="E48" s="692">
        <v>0</v>
      </c>
      <c r="F48" s="692">
        <v>0</v>
      </c>
      <c r="G48" s="656">
        <f>E48+F48</f>
        <v>0</v>
      </c>
      <c r="H48" s="547"/>
      <c r="I48" s="545" t="str">
        <f>+I26</f>
        <v>TP</v>
      </c>
      <c r="J48" s="556">
        <f>tp</f>
        <v>0.9973294379616451</v>
      </c>
      <c r="K48" s="545"/>
      <c r="L48" s="545">
        <f>+J48*G48</f>
        <v>0</v>
      </c>
      <c r="M48" s="545"/>
      <c r="N48" s="545"/>
      <c r="O48" s="553"/>
    </row>
    <row r="49" spans="1:15" ht="15">
      <c r="A49" s="679"/>
      <c r="C49" s="548"/>
      <c r="D49" s="545"/>
      <c r="E49" s="545"/>
      <c r="F49" s="547"/>
      <c r="G49" s="545"/>
      <c r="H49" s="545"/>
      <c r="I49" s="545"/>
      <c r="J49" s="545"/>
      <c r="K49" s="545"/>
      <c r="L49" s="545"/>
      <c r="M49" s="545"/>
      <c r="N49" s="545"/>
      <c r="O49" s="553"/>
    </row>
    <row r="50" spans="1:15" ht="15.75">
      <c r="A50" s="679"/>
      <c r="C50" s="548" t="s">
        <v>431</v>
      </c>
      <c r="D50" s="37"/>
      <c r="E50" s="545"/>
      <c r="F50" s="547"/>
      <c r="G50" s="545"/>
      <c r="H50" s="545"/>
      <c r="I50" s="545"/>
      <c r="J50" s="545"/>
      <c r="K50" s="545"/>
      <c r="L50" s="545"/>
      <c r="M50" s="545"/>
      <c r="N50" s="545"/>
      <c r="O50" s="553"/>
    </row>
    <row r="51" spans="1:15" ht="15">
      <c r="A51" s="679">
        <f>A48+1</f>
        <v>22</v>
      </c>
      <c r="B51" s="548"/>
      <c r="C51" s="548" t="s">
        <v>776</v>
      </c>
      <c r="D51" s="543" t="s">
        <v>433</v>
      </c>
      <c r="E51" s="552"/>
      <c r="F51" s="552"/>
      <c r="G51" s="552"/>
      <c r="H51" s="545"/>
      <c r="I51" s="545"/>
      <c r="J51" s="551"/>
      <c r="K51" s="545"/>
      <c r="L51" s="552">
        <f>+L87/8</f>
        <v>3480498.8119966774</v>
      </c>
      <c r="M51" s="553"/>
      <c r="N51" s="551"/>
      <c r="O51" s="553"/>
    </row>
    <row r="52" spans="1:15" ht="15">
      <c r="A52" s="679">
        <f>A51+1</f>
        <v>23</v>
      </c>
      <c r="B52" s="679"/>
      <c r="C52" s="548" t="s">
        <v>432</v>
      </c>
      <c r="D52" s="545" t="s">
        <v>1658</v>
      </c>
      <c r="E52" s="1240">
        <v>0</v>
      </c>
      <c r="F52" s="683">
        <v>1988</v>
      </c>
      <c r="G52" s="555">
        <f>E52+F52</f>
        <v>1988</v>
      </c>
      <c r="H52" s="545"/>
      <c r="I52" s="545" t="s">
        <v>1108</v>
      </c>
      <c r="J52" s="556">
        <f>tp</f>
        <v>0.9973294379616451</v>
      </c>
      <c r="K52" s="545"/>
      <c r="L52" s="557">
        <f>+J52*G52</f>
        <v>1982.6909226677503</v>
      </c>
      <c r="M52" s="545" t="s">
        <v>1100</v>
      </c>
      <c r="N52" s="551"/>
      <c r="O52" s="553"/>
    </row>
    <row r="53" spans="1:15" ht="15">
      <c r="A53" s="679" t="s">
        <v>43</v>
      </c>
      <c r="B53" s="548"/>
      <c r="C53" s="548" t="s">
        <v>1663</v>
      </c>
      <c r="D53" s="545" t="s">
        <v>44</v>
      </c>
      <c r="E53" s="1240">
        <v>111022</v>
      </c>
      <c r="F53" s="683">
        <v>164819</v>
      </c>
      <c r="G53" s="555">
        <f>E53+F53</f>
        <v>275841</v>
      </c>
      <c r="H53" s="545"/>
      <c r="I53" s="545" t="s">
        <v>1282</v>
      </c>
      <c r="J53" s="556">
        <f>WS</f>
        <v>0.053603184670747886</v>
      </c>
      <c r="K53" s="545"/>
      <c r="L53" s="557">
        <f>+J53*G53</f>
        <v>14785.956062763767</v>
      </c>
      <c r="M53" s="545"/>
      <c r="N53" s="551"/>
      <c r="O53" s="553"/>
    </row>
    <row r="54" spans="1:15" ht="15.75" thickBot="1">
      <c r="A54" s="679">
        <f>A52+1</f>
        <v>24</v>
      </c>
      <c r="B54" s="548"/>
      <c r="C54" s="548" t="s">
        <v>1062</v>
      </c>
      <c r="D54" s="547" t="s">
        <v>399</v>
      </c>
      <c r="E54" s="588">
        <v>7019795</v>
      </c>
      <c r="F54" s="695">
        <v>26285042</v>
      </c>
      <c r="G54" s="558">
        <f>E54+F54</f>
        <v>33304837</v>
      </c>
      <c r="H54" s="545"/>
      <c r="I54" s="547" t="s">
        <v>1290</v>
      </c>
      <c r="J54" s="559">
        <f>GP</f>
        <v>0.12698143054354016</v>
      </c>
      <c r="K54" s="547"/>
      <c r="L54" s="549">
        <f>J54*G54</f>
        <v>4229095.8462794265</v>
      </c>
      <c r="M54" s="545"/>
      <c r="N54" s="551"/>
      <c r="O54" s="553"/>
    </row>
    <row r="55" spans="1:15" ht="15">
      <c r="A55" s="679">
        <f>A54+1</f>
        <v>25</v>
      </c>
      <c r="B55" s="548"/>
      <c r="C55" s="548" t="s">
        <v>673</v>
      </c>
      <c r="D55" s="553" t="s">
        <v>1542</v>
      </c>
      <c r="E55" s="552">
        <f>SUM(E51:E54)</f>
        <v>7130817</v>
      </c>
      <c r="F55" s="552">
        <f>SUM(F51:F54)</f>
        <v>26451849</v>
      </c>
      <c r="G55" s="552">
        <f>SUM(G51:G54)</f>
        <v>33582666</v>
      </c>
      <c r="H55" s="553"/>
      <c r="I55" s="553"/>
      <c r="J55" s="553"/>
      <c r="K55" s="553"/>
      <c r="L55" s="552">
        <f>SUM(L51:L54)</f>
        <v>7726363.305261536</v>
      </c>
      <c r="M55" s="553"/>
      <c r="N55" s="696"/>
      <c r="O55" s="553"/>
    </row>
    <row r="56" spans="1:16" ht="15">
      <c r="A56" s="679"/>
      <c r="B56" s="548"/>
      <c r="C56" s="548"/>
      <c r="D56" s="553"/>
      <c r="E56" s="545"/>
      <c r="F56" s="545"/>
      <c r="G56" s="545"/>
      <c r="H56" s="553"/>
      <c r="I56" s="553"/>
      <c r="J56" s="553"/>
      <c r="K56" s="553"/>
      <c r="L56" s="545"/>
      <c r="M56" s="553"/>
      <c r="N56" s="553"/>
      <c r="O56" s="553"/>
      <c r="P56" s="1047"/>
    </row>
    <row r="57" spans="1:16" ht="15">
      <c r="A57" s="679"/>
      <c r="B57" s="548"/>
      <c r="D57" s="553"/>
      <c r="E57" s="545"/>
      <c r="F57" s="545"/>
      <c r="G57" s="545"/>
      <c r="H57" s="553"/>
      <c r="I57" s="553"/>
      <c r="J57" s="553"/>
      <c r="K57" s="553"/>
      <c r="L57" s="545"/>
      <c r="M57" s="553"/>
      <c r="N57" s="553"/>
      <c r="O57" s="553"/>
      <c r="P57" s="1047"/>
    </row>
    <row r="58" spans="1:16" ht="15">
      <c r="A58" s="679">
        <f>A55+1</f>
        <v>26</v>
      </c>
      <c r="B58" s="548"/>
      <c r="C58" s="560" t="s">
        <v>963</v>
      </c>
      <c r="D58" s="560" t="s">
        <v>1543</v>
      </c>
      <c r="E58" s="545"/>
      <c r="F58" s="545"/>
      <c r="G58" s="561"/>
      <c r="H58" s="553"/>
      <c r="I58" s="553"/>
      <c r="J58" s="553"/>
      <c r="K58" s="553"/>
      <c r="L58" s="562">
        <f>L40+L46+L48+L55</f>
        <v>469871834.946615</v>
      </c>
      <c r="M58" s="553"/>
      <c r="N58" s="553"/>
      <c r="O58" s="553"/>
      <c r="P58" s="561"/>
    </row>
    <row r="59" spans="1:16" ht="15">
      <c r="A59" s="679"/>
      <c r="B59" s="548"/>
      <c r="C59" s="548"/>
      <c r="D59" s="553"/>
      <c r="E59" s="545"/>
      <c r="F59" s="553"/>
      <c r="G59" s="545"/>
      <c r="H59" s="553"/>
      <c r="I59" s="553"/>
      <c r="J59" s="553"/>
      <c r="K59" s="553"/>
      <c r="L59" s="545"/>
      <c r="M59" s="553"/>
      <c r="N59" s="553"/>
      <c r="O59" s="553"/>
      <c r="P59" s="1047"/>
    </row>
    <row r="60" spans="1:16" ht="15">
      <c r="A60" s="679"/>
      <c r="C60" s="548"/>
      <c r="D60" s="1432" t="str">
        <f>+D1</f>
        <v>     Rate Formula Template</v>
      </c>
      <c r="E60" s="1432"/>
      <c r="F60" s="1432"/>
      <c r="G60" s="1433"/>
      <c r="H60" s="1433"/>
      <c r="I60" s="545"/>
      <c r="L60" s="697"/>
      <c r="M60" s="545"/>
      <c r="N60" s="697" t="str">
        <f>+N1</f>
        <v>Actual Gross Rev</v>
      </c>
      <c r="O60" s="545"/>
      <c r="P60" s="1047"/>
    </row>
    <row r="61" spans="1:16" ht="15">
      <c r="A61" s="679"/>
      <c r="C61" s="548"/>
      <c r="D61" s="1432" t="str">
        <f>D2</f>
        <v> Utilizing FERC Form 1 Data</v>
      </c>
      <c r="E61" s="1432"/>
      <c r="F61" s="1432"/>
      <c r="G61" s="1433"/>
      <c r="H61" s="1433"/>
      <c r="I61" s="545"/>
      <c r="J61" s="545"/>
      <c r="M61" s="545"/>
      <c r="N61" s="698" t="s">
        <v>24</v>
      </c>
      <c r="O61" s="545"/>
      <c r="P61" s="1047"/>
    </row>
    <row r="62" spans="1:16" ht="15">
      <c r="A62" s="679"/>
      <c r="C62" s="548"/>
      <c r="D62" s="1432" t="str">
        <f>D3</f>
        <v>Actual Gross Revenue Requirements</v>
      </c>
      <c r="E62" s="1432"/>
      <c r="F62" s="1432"/>
      <c r="G62" s="1433"/>
      <c r="H62" s="1433"/>
      <c r="I62" s="545"/>
      <c r="J62" s="545"/>
      <c r="M62" s="545"/>
      <c r="N62" s="698"/>
      <c r="O62" s="545"/>
      <c r="P62" s="1047"/>
    </row>
    <row r="63" spans="1:15" ht="15">
      <c r="A63" s="679"/>
      <c r="D63" s="1432" t="str">
        <f>D4</f>
        <v>For the 12 months ended - December 31, 2008</v>
      </c>
      <c r="E63" s="1432"/>
      <c r="F63" s="1432"/>
      <c r="G63" s="1433"/>
      <c r="H63" s="1433"/>
      <c r="I63" s="545"/>
      <c r="J63" s="545"/>
      <c r="K63" s="545"/>
      <c r="M63" s="545"/>
      <c r="O63" s="545"/>
    </row>
    <row r="64" spans="1:15" ht="15">
      <c r="A64" s="679"/>
      <c r="D64" s="545"/>
      <c r="E64" s="545"/>
      <c r="F64" s="545"/>
      <c r="G64" s="590"/>
      <c r="H64" s="545"/>
      <c r="I64" s="545"/>
      <c r="J64" s="545"/>
      <c r="K64" s="545"/>
      <c r="M64" s="545"/>
      <c r="N64" s="545"/>
      <c r="O64" s="545"/>
    </row>
    <row r="65" spans="1:15" ht="15">
      <c r="A65" s="679"/>
      <c r="D65" s="1403" t="str">
        <f>+D$6</f>
        <v>WESTAR ENERGY, INC. (Westar Energy and Kansas Gas and Electric)</v>
      </c>
      <c r="E65" s="1403"/>
      <c r="F65" s="1403"/>
      <c r="G65" s="1433"/>
      <c r="H65" s="1433"/>
      <c r="K65" s="545"/>
      <c r="M65" s="545"/>
      <c r="N65" s="545"/>
      <c r="O65" s="545"/>
    </row>
    <row r="66" spans="1:15" ht="15">
      <c r="A66" s="679"/>
      <c r="D66" s="1404" t="str">
        <f>+D$7</f>
        <v>(WESTAR)</v>
      </c>
      <c r="E66" s="1404"/>
      <c r="F66" s="1404"/>
      <c r="G66" s="1405"/>
      <c r="H66" s="1405"/>
      <c r="K66" s="545"/>
      <c r="L66" s="545"/>
      <c r="M66" s="545"/>
      <c r="N66" s="545"/>
      <c r="O66" s="545"/>
    </row>
    <row r="67" spans="1:15" ht="15">
      <c r="A67" s="679"/>
      <c r="C67" s="680" t="s">
        <v>1121</v>
      </c>
      <c r="D67" s="680" t="s">
        <v>1122</v>
      </c>
      <c r="E67" s="680" t="s">
        <v>1147</v>
      </c>
      <c r="F67" s="700" t="s">
        <v>1148</v>
      </c>
      <c r="G67" s="700" t="s">
        <v>1149</v>
      </c>
      <c r="H67" s="545" t="s">
        <v>1100</v>
      </c>
      <c r="I67" s="545"/>
      <c r="J67" s="701" t="s">
        <v>1355</v>
      </c>
      <c r="K67" s="545"/>
      <c r="L67" s="701" t="s">
        <v>1357</v>
      </c>
      <c r="M67" s="545"/>
      <c r="N67" s="545"/>
      <c r="O67" s="545"/>
    </row>
    <row r="68" spans="1:15" ht="15.75">
      <c r="A68" s="679"/>
      <c r="C68" s="680"/>
      <c r="D68" s="589"/>
      <c r="F68" s="14" t="s">
        <v>1353</v>
      </c>
      <c r="G68" s="545"/>
      <c r="H68" s="545"/>
      <c r="I68" s="545"/>
      <c r="J68" s="679"/>
      <c r="K68" s="545"/>
      <c r="M68" s="589"/>
      <c r="N68" s="16"/>
      <c r="O68" s="589"/>
    </row>
    <row r="69" spans="1:19" ht="15.75">
      <c r="A69" s="679" t="s">
        <v>1101</v>
      </c>
      <c r="C69" s="548"/>
      <c r="D69" s="14" t="s">
        <v>1150</v>
      </c>
      <c r="E69" s="14" t="s">
        <v>1352</v>
      </c>
      <c r="F69" s="20" t="s">
        <v>1354</v>
      </c>
      <c r="H69" s="21"/>
      <c r="I69" s="16"/>
      <c r="K69" s="21"/>
      <c r="L69" s="16" t="s">
        <v>1151</v>
      </c>
      <c r="M69" s="545"/>
      <c r="N69" s="16"/>
      <c r="O69" s="545"/>
      <c r="R69" s="560"/>
      <c r="S69" s="547"/>
    </row>
    <row r="70" spans="1:15" ht="16.5" thickBot="1">
      <c r="A70" s="591" t="s">
        <v>1103</v>
      </c>
      <c r="B70" s="681"/>
      <c r="C70" s="952"/>
      <c r="D70" s="438" t="s">
        <v>252</v>
      </c>
      <c r="E70" s="223" t="s">
        <v>778</v>
      </c>
      <c r="F70" s="438" t="s">
        <v>780</v>
      </c>
      <c r="G70" s="441" t="s">
        <v>253</v>
      </c>
      <c r="H70" s="582"/>
      <c r="I70" s="441" t="s">
        <v>254</v>
      </c>
      <c r="J70" s="582"/>
      <c r="K70" s="582"/>
      <c r="L70" s="591" t="str">
        <f>L$13</f>
        <v>(Col 5 times Col 6)</v>
      </c>
      <c r="M70" s="545"/>
      <c r="N70" s="16"/>
      <c r="O70" s="22"/>
    </row>
    <row r="71" spans="3:15" ht="15.75">
      <c r="C71" s="548"/>
      <c r="D71" s="545"/>
      <c r="E71" s="545"/>
      <c r="F71" s="545"/>
      <c r="G71" s="7"/>
      <c r="H71" s="8"/>
      <c r="I71" s="9"/>
      <c r="K71" s="8"/>
      <c r="L71" s="7"/>
      <c r="M71" s="545"/>
      <c r="N71" s="545"/>
      <c r="O71" s="545"/>
    </row>
    <row r="72" spans="1:15" ht="15.75">
      <c r="A72" s="679"/>
      <c r="C72" s="11" t="s">
        <v>1291</v>
      </c>
      <c r="D72" s="545"/>
      <c r="E72" s="37"/>
      <c r="F72" s="37"/>
      <c r="G72" s="545"/>
      <c r="H72" s="545"/>
      <c r="I72" s="545"/>
      <c r="J72" s="545"/>
      <c r="K72" s="545"/>
      <c r="L72" s="545"/>
      <c r="M72" s="545"/>
      <c r="N72" s="545"/>
      <c r="O72" s="545"/>
    </row>
    <row r="73" spans="1:15" ht="15">
      <c r="A73" s="702">
        <v>1</v>
      </c>
      <c r="B73" s="544"/>
      <c r="C73" s="560" t="s">
        <v>1560</v>
      </c>
      <c r="D73" s="547" t="s">
        <v>1409</v>
      </c>
      <c r="E73" s="703">
        <f>'A-4 (WEN O&amp;M Exclusions)'!J12</f>
        <v>14232812</v>
      </c>
      <c r="F73" s="703">
        <f>'A-6 (WES O&amp;M Exclusions)'!J12</f>
        <v>12837507</v>
      </c>
      <c r="G73" s="550">
        <f>E73+F73</f>
        <v>27070319</v>
      </c>
      <c r="H73" s="547" t="s">
        <v>1100</v>
      </c>
      <c r="I73" s="547"/>
      <c r="J73" s="559">
        <v>1</v>
      </c>
      <c r="K73" s="547"/>
      <c r="L73" s="550">
        <f aca="true" t="shared" si="6" ref="L73:L86">+J73*G73</f>
        <v>27070319</v>
      </c>
      <c r="M73" s="553"/>
      <c r="N73" s="545"/>
      <c r="O73" s="545"/>
    </row>
    <row r="74" spans="1:15" ht="15">
      <c r="A74" s="702">
        <v>2</v>
      </c>
      <c r="B74" s="544"/>
      <c r="C74" s="560" t="s">
        <v>1759</v>
      </c>
      <c r="D74" s="547" t="s">
        <v>1760</v>
      </c>
      <c r="E74" s="577">
        <f>478088+356461-16885+134264+120155+3490</f>
        <v>1075573</v>
      </c>
      <c r="F74" s="683">
        <f>478087+302836+-16885+109330+3141+2325</f>
        <v>878834</v>
      </c>
      <c r="G74" s="689">
        <f>E74+F74</f>
        <v>1954407</v>
      </c>
      <c r="H74" s="547"/>
      <c r="I74" s="547"/>
      <c r="J74" s="559">
        <v>1</v>
      </c>
      <c r="K74" s="547"/>
      <c r="L74" s="689">
        <f t="shared" si="6"/>
        <v>1954407</v>
      </c>
      <c r="M74" s="553"/>
      <c r="N74" s="545"/>
      <c r="O74" s="545"/>
    </row>
    <row r="75" spans="1:15" ht="15">
      <c r="A75" s="679" t="s">
        <v>1757</v>
      </c>
      <c r="C75" s="548" t="s">
        <v>227</v>
      </c>
      <c r="D75" s="545" t="s">
        <v>618</v>
      </c>
      <c r="E75" s="577">
        <v>3112122</v>
      </c>
      <c r="F75" s="683">
        <v>3100171</v>
      </c>
      <c r="G75" s="689">
        <f>E75+F75</f>
        <v>6212293</v>
      </c>
      <c r="H75" s="545" t="s">
        <v>1100</v>
      </c>
      <c r="I75" s="545" t="s">
        <v>1100</v>
      </c>
      <c r="J75" s="556">
        <v>1</v>
      </c>
      <c r="K75" s="545"/>
      <c r="L75" s="555">
        <f t="shared" si="6"/>
        <v>6212293</v>
      </c>
      <c r="M75" s="553"/>
      <c r="N75" s="545"/>
      <c r="O75" s="545"/>
    </row>
    <row r="76" spans="1:15" ht="15">
      <c r="A76" s="679">
        <v>3</v>
      </c>
      <c r="C76" s="548" t="s">
        <v>1358</v>
      </c>
      <c r="D76" s="545" t="s">
        <v>619</v>
      </c>
      <c r="E76" s="577">
        <v>74106631</v>
      </c>
      <c r="F76" s="683">
        <v>82347807</v>
      </c>
      <c r="G76" s="689">
        <f>E76+F76</f>
        <v>156454438</v>
      </c>
      <c r="H76" s="545"/>
      <c r="I76" s="545" t="s">
        <v>1282</v>
      </c>
      <c r="J76" s="559">
        <f aca="true" t="shared" si="7" ref="J76:J82">WS</f>
        <v>0.053603184670747886</v>
      </c>
      <c r="K76" s="545"/>
      <c r="L76" s="555">
        <f t="shared" si="6"/>
        <v>8386456.132672075</v>
      </c>
      <c r="M76" s="545"/>
      <c r="N76" s="545" t="s">
        <v>1100</v>
      </c>
      <c r="O76" s="545"/>
    </row>
    <row r="77" spans="1:15" ht="15">
      <c r="A77" s="679" t="s">
        <v>1770</v>
      </c>
      <c r="B77" s="679"/>
      <c r="C77" s="560" t="s">
        <v>695</v>
      </c>
      <c r="D77" s="547" t="s">
        <v>694</v>
      </c>
      <c r="E77" s="577">
        <v>8198784</v>
      </c>
      <c r="F77" s="577">
        <v>5488718</v>
      </c>
      <c r="G77" s="689">
        <f aca="true" t="shared" si="8" ref="G77:G84">E77+F77</f>
        <v>13687502</v>
      </c>
      <c r="H77" s="545"/>
      <c r="I77" s="545" t="s">
        <v>1282</v>
      </c>
      <c r="J77" s="559">
        <f t="shared" si="7"/>
        <v>0.053603184670747886</v>
      </c>
      <c r="K77" s="545"/>
      <c r="L77" s="555">
        <f t="shared" si="6"/>
        <v>733693.697387231</v>
      </c>
      <c r="M77" s="545"/>
      <c r="N77" s="545"/>
      <c r="O77" s="545"/>
    </row>
    <row r="78" spans="1:15" ht="15">
      <c r="A78" s="679">
        <v>4</v>
      </c>
      <c r="B78" s="679"/>
      <c r="C78" s="560" t="s">
        <v>696</v>
      </c>
      <c r="D78" s="547" t="s">
        <v>694</v>
      </c>
      <c r="E78" s="689">
        <f>E305</f>
        <v>9697558</v>
      </c>
      <c r="F78" s="689">
        <f>F305</f>
        <v>6642051</v>
      </c>
      <c r="G78" s="689">
        <f t="shared" si="8"/>
        <v>16339609</v>
      </c>
      <c r="H78" s="545"/>
      <c r="I78" s="545" t="s">
        <v>1282</v>
      </c>
      <c r="J78" s="559">
        <f t="shared" si="7"/>
        <v>0.053603184670747886</v>
      </c>
      <c r="K78" s="545"/>
      <c r="L78" s="555">
        <f t="shared" si="6"/>
        <v>875855.0786748142</v>
      </c>
      <c r="M78" s="545"/>
      <c r="N78" s="545"/>
      <c r="O78" s="545"/>
    </row>
    <row r="79" spans="1:15" ht="15">
      <c r="A79" s="679">
        <v>5</v>
      </c>
      <c r="B79" s="679"/>
      <c r="C79" s="560" t="s">
        <v>1292</v>
      </c>
      <c r="D79" s="547" t="s">
        <v>485</v>
      </c>
      <c r="E79" s="577">
        <v>0</v>
      </c>
      <c r="F79" s="577">
        <v>0</v>
      </c>
      <c r="G79" s="689">
        <f t="shared" si="8"/>
        <v>0</v>
      </c>
      <c r="H79" s="545"/>
      <c r="I79" s="545" t="str">
        <f>+I76</f>
        <v>W/S</v>
      </c>
      <c r="J79" s="559">
        <f t="shared" si="7"/>
        <v>0.053603184670747886</v>
      </c>
      <c r="K79" s="545"/>
      <c r="L79" s="555">
        <f t="shared" si="6"/>
        <v>0</v>
      </c>
      <c r="M79" s="545"/>
      <c r="N79" s="545"/>
      <c r="O79" s="545"/>
    </row>
    <row r="80" spans="1:15" ht="15">
      <c r="A80" s="679">
        <v>6</v>
      </c>
      <c r="B80" s="679"/>
      <c r="C80" s="560" t="s">
        <v>697</v>
      </c>
      <c r="D80" s="547" t="s">
        <v>479</v>
      </c>
      <c r="E80" s="683">
        <v>0</v>
      </c>
      <c r="F80" s="683">
        <v>0</v>
      </c>
      <c r="G80" s="689">
        <f t="shared" si="8"/>
        <v>0</v>
      </c>
      <c r="H80" s="547"/>
      <c r="I80" s="545" t="str">
        <f>+I79</f>
        <v>W/S</v>
      </c>
      <c r="J80" s="559">
        <f t="shared" si="7"/>
        <v>0.053603184670747886</v>
      </c>
      <c r="K80" s="545"/>
      <c r="L80" s="555">
        <f t="shared" si="6"/>
        <v>0</v>
      </c>
      <c r="M80" s="545"/>
      <c r="N80" s="545"/>
      <c r="O80" s="545"/>
    </row>
    <row r="81" spans="1:15" ht="15">
      <c r="A81" s="679" t="s">
        <v>207</v>
      </c>
      <c r="B81" s="679"/>
      <c r="C81" s="560" t="s">
        <v>408</v>
      </c>
      <c r="D81" s="547" t="s">
        <v>480</v>
      </c>
      <c r="E81" s="683">
        <v>922942</v>
      </c>
      <c r="F81" s="683">
        <v>621481</v>
      </c>
      <c r="G81" s="689">
        <f t="shared" si="8"/>
        <v>1544423</v>
      </c>
      <c r="H81" s="545" t="s">
        <v>1100</v>
      </c>
      <c r="I81" s="545" t="str">
        <f>+I80</f>
        <v>W/S</v>
      </c>
      <c r="J81" s="559">
        <f t="shared" si="7"/>
        <v>0.053603184670747886</v>
      </c>
      <c r="K81" s="545"/>
      <c r="L81" s="555">
        <f t="shared" si="6"/>
        <v>82785.99127875046</v>
      </c>
      <c r="M81" s="545"/>
      <c r="N81" s="545"/>
      <c r="O81" s="545"/>
    </row>
    <row r="82" spans="1:15" ht="15">
      <c r="A82" s="679" t="s">
        <v>1771</v>
      </c>
      <c r="B82" s="679"/>
      <c r="C82" s="560" t="s">
        <v>407</v>
      </c>
      <c r="D82" s="547" t="s">
        <v>481</v>
      </c>
      <c r="E82" s="683">
        <v>2715217</v>
      </c>
      <c r="F82" s="683">
        <v>2080491</v>
      </c>
      <c r="G82" s="689">
        <f t="shared" si="8"/>
        <v>4795708</v>
      </c>
      <c r="H82" s="545" t="s">
        <v>1100</v>
      </c>
      <c r="I82" s="545" t="str">
        <f>+I81</f>
        <v>W/S</v>
      </c>
      <c r="J82" s="559">
        <f t="shared" si="7"/>
        <v>0.053603184670747886</v>
      </c>
      <c r="K82" s="545"/>
      <c r="L82" s="555">
        <f t="shared" si="6"/>
        <v>257065.221550983</v>
      </c>
      <c r="M82" s="545"/>
      <c r="N82" s="545"/>
      <c r="O82" s="545"/>
    </row>
    <row r="83" spans="1:15" ht="15">
      <c r="A83" s="679">
        <v>7</v>
      </c>
      <c r="B83" s="679"/>
      <c r="C83" s="560" t="s">
        <v>1768</v>
      </c>
      <c r="D83" s="547" t="s">
        <v>1769</v>
      </c>
      <c r="E83" s="577">
        <v>490616</v>
      </c>
      <c r="F83" s="577">
        <v>302843</v>
      </c>
      <c r="G83" s="689">
        <f t="shared" si="8"/>
        <v>793459</v>
      </c>
      <c r="H83" s="545" t="s">
        <v>1100</v>
      </c>
      <c r="I83" s="545" t="s">
        <v>1289</v>
      </c>
      <c r="J83" s="559">
        <f>TE</f>
        <v>0.9253248326646663</v>
      </c>
      <c r="K83" s="545"/>
      <c r="L83" s="555">
        <f t="shared" si="6"/>
        <v>734207.3164012735</v>
      </c>
      <c r="M83" s="545"/>
      <c r="N83" s="545"/>
      <c r="O83" s="545"/>
    </row>
    <row r="84" spans="1:15" ht="15">
      <c r="A84" s="679">
        <v>8</v>
      </c>
      <c r="B84" s="679"/>
      <c r="C84" s="560" t="s">
        <v>698</v>
      </c>
      <c r="D84" s="547" t="s">
        <v>672</v>
      </c>
      <c r="E84" s="577">
        <v>194514</v>
      </c>
      <c r="F84" s="577">
        <v>130054</v>
      </c>
      <c r="G84" s="689">
        <f t="shared" si="8"/>
        <v>324568</v>
      </c>
      <c r="H84" s="545" t="s">
        <v>1100</v>
      </c>
      <c r="I84" s="545" t="s">
        <v>1282</v>
      </c>
      <c r="J84" s="559">
        <f>WS</f>
        <v>0.053603184670747886</v>
      </c>
      <c r="K84" s="545"/>
      <c r="L84" s="555">
        <f t="shared" si="6"/>
        <v>17397.8784422153</v>
      </c>
      <c r="M84" s="545"/>
      <c r="N84" s="545"/>
      <c r="O84" s="545"/>
    </row>
    <row r="85" spans="1:15" ht="15">
      <c r="A85" s="679">
        <v>9</v>
      </c>
      <c r="B85" s="679"/>
      <c r="C85" s="560" t="s">
        <v>1283</v>
      </c>
      <c r="D85" s="704" t="s">
        <v>1284</v>
      </c>
      <c r="E85" s="577">
        <v>0</v>
      </c>
      <c r="F85" s="577">
        <v>0</v>
      </c>
      <c r="G85" s="689">
        <f>E85+F85</f>
        <v>0</v>
      </c>
      <c r="H85" s="547"/>
      <c r="I85" s="545" t="s">
        <v>715</v>
      </c>
      <c r="J85" s="556">
        <f>CE</f>
        <v>0.053603184670747886</v>
      </c>
      <c r="K85" s="545"/>
      <c r="L85" s="555">
        <f t="shared" si="6"/>
        <v>0</v>
      </c>
      <c r="M85" s="545"/>
      <c r="N85" s="545"/>
      <c r="O85" s="545"/>
    </row>
    <row r="86" spans="1:15" ht="15.75" thickBot="1">
      <c r="A86" s="679">
        <v>10</v>
      </c>
      <c r="B86" s="679"/>
      <c r="C86" s="560" t="s">
        <v>1293</v>
      </c>
      <c r="D86" s="547"/>
      <c r="E86" s="588">
        <v>0</v>
      </c>
      <c r="F86" s="588">
        <v>0</v>
      </c>
      <c r="G86" s="558">
        <f>E86+F86</f>
        <v>0</v>
      </c>
      <c r="H86" s="547"/>
      <c r="I86" s="545" t="s">
        <v>1100</v>
      </c>
      <c r="J86" s="556">
        <v>1</v>
      </c>
      <c r="K86" s="545"/>
      <c r="L86" s="705">
        <f t="shared" si="6"/>
        <v>0</v>
      </c>
      <c r="M86" s="545"/>
      <c r="N86" s="545"/>
      <c r="O86" s="545"/>
    </row>
    <row r="87" spans="1:15" ht="15">
      <c r="A87" s="679">
        <v>11</v>
      </c>
      <c r="B87" s="679"/>
      <c r="C87" s="548" t="s">
        <v>674</v>
      </c>
      <c r="D87" s="4" t="s">
        <v>379</v>
      </c>
      <c r="E87" s="552">
        <f>+E73-E74-E75+E76-E77+E78-E79-E80+E85+E86+E83-E81-E82+E84</f>
        <v>82697493</v>
      </c>
      <c r="F87" s="552">
        <f>+F73-F74-F75+F76-F77+F78-F79-F80+F85+F86+F83-F81-F82+F84</f>
        <v>90090567</v>
      </c>
      <c r="G87" s="552">
        <f>+G73-G74-G75+G76-G77+G78-G79-G80+G85+G86+G83-G81-G82+G84</f>
        <v>172788060</v>
      </c>
      <c r="H87" s="545"/>
      <c r="I87" s="545"/>
      <c r="J87" s="545"/>
      <c r="K87" s="545"/>
      <c r="L87" s="552">
        <f>+L73-L74-L75+L76-L77+L78-L79-L80+L85+L86+L83-L81-L82+L84</f>
        <v>27843990.49597342</v>
      </c>
      <c r="M87" s="545"/>
      <c r="N87" s="545"/>
      <c r="O87" s="545"/>
    </row>
    <row r="88" spans="1:15" ht="15">
      <c r="A88" s="679"/>
      <c r="B88" s="679"/>
      <c r="D88" s="545"/>
      <c r="E88" s="545"/>
      <c r="F88" s="545"/>
      <c r="H88" s="545"/>
      <c r="I88" s="545"/>
      <c r="J88" s="545"/>
      <c r="K88" s="545"/>
      <c r="M88" s="545"/>
      <c r="N88" s="545"/>
      <c r="O88" s="545"/>
    </row>
    <row r="89" spans="1:15" ht="15.75">
      <c r="A89" s="679"/>
      <c r="B89" s="679"/>
      <c r="C89" s="11" t="s">
        <v>1294</v>
      </c>
      <c r="D89" s="37"/>
      <c r="E89" s="37"/>
      <c r="F89" s="37"/>
      <c r="G89" s="545"/>
      <c r="H89" s="545"/>
      <c r="I89" s="545"/>
      <c r="J89" s="545"/>
      <c r="K89" s="545"/>
      <c r="L89" s="545"/>
      <c r="M89" s="545"/>
      <c r="N89" s="545"/>
      <c r="O89" s="545"/>
    </row>
    <row r="90" spans="1:15" ht="15">
      <c r="A90" s="679">
        <v>12</v>
      </c>
      <c r="B90" s="679"/>
      <c r="C90" s="560" t="s">
        <v>258</v>
      </c>
      <c r="D90" s="547" t="s">
        <v>660</v>
      </c>
      <c r="E90" s="706">
        <v>8951112</v>
      </c>
      <c r="F90" s="706">
        <v>6996737</v>
      </c>
      <c r="G90" s="552">
        <f>E90+F90</f>
        <v>15947849</v>
      </c>
      <c r="H90" s="545"/>
      <c r="I90" s="545" t="s">
        <v>1108</v>
      </c>
      <c r="J90" s="556">
        <f>tp</f>
        <v>0.9973294379616451</v>
      </c>
      <c r="K90" s="545"/>
      <c r="L90" s="552">
        <f>+J90*G90</f>
        <v>15905259.279867183</v>
      </c>
      <c r="M90" s="545"/>
      <c r="N90" s="551"/>
      <c r="O90" s="545"/>
    </row>
    <row r="91" spans="1:15" ht="15">
      <c r="A91" s="679">
        <v>13</v>
      </c>
      <c r="B91" s="679"/>
      <c r="C91" s="548" t="s">
        <v>685</v>
      </c>
      <c r="D91" s="547" t="s">
        <v>692</v>
      </c>
      <c r="E91" s="707">
        <v>9087280</v>
      </c>
      <c r="F91" s="707">
        <v>6215989</v>
      </c>
      <c r="G91" s="708">
        <f>E91+F91</f>
        <v>15303269</v>
      </c>
      <c r="H91" s="545"/>
      <c r="I91" s="545" t="s">
        <v>1282</v>
      </c>
      <c r="J91" s="556">
        <f>WS</f>
        <v>0.053603184670747886</v>
      </c>
      <c r="K91" s="545"/>
      <c r="L91" s="555">
        <f>+J91*G91</f>
        <v>820303.9542731313</v>
      </c>
      <c r="M91" s="545"/>
      <c r="N91" s="551"/>
      <c r="O91" s="545"/>
    </row>
    <row r="92" spans="1:15" ht="15">
      <c r="A92" s="679" t="s">
        <v>690</v>
      </c>
      <c r="B92" s="679"/>
      <c r="C92" s="548" t="s">
        <v>682</v>
      </c>
      <c r="D92" s="547" t="s">
        <v>691</v>
      </c>
      <c r="E92" s="707">
        <v>2061466</v>
      </c>
      <c r="F92" s="707">
        <v>1277822</v>
      </c>
      <c r="G92" s="708">
        <f>E92+F92</f>
        <v>3339288</v>
      </c>
      <c r="H92" s="545"/>
      <c r="I92" s="545" t="s">
        <v>1282</v>
      </c>
      <c r="J92" s="556">
        <f>WS</f>
        <v>0.053603184670747886</v>
      </c>
      <c r="K92" s="545"/>
      <c r="L92" s="555">
        <f>+J92*G92</f>
        <v>178996.47133281236</v>
      </c>
      <c r="M92" s="545"/>
      <c r="N92" s="551"/>
      <c r="O92" s="545"/>
    </row>
    <row r="93" spans="1:15" ht="15">
      <c r="A93" s="679">
        <v>14</v>
      </c>
      <c r="B93" s="679"/>
      <c r="C93" s="548" t="str">
        <f>+C85</f>
        <v>  Common</v>
      </c>
      <c r="D93" s="545" t="s">
        <v>620</v>
      </c>
      <c r="E93" s="707">
        <v>0</v>
      </c>
      <c r="F93" s="707">
        <v>0</v>
      </c>
      <c r="G93" s="708">
        <f>E93+F93</f>
        <v>0</v>
      </c>
      <c r="H93" s="547"/>
      <c r="I93" s="545" t="s">
        <v>715</v>
      </c>
      <c r="J93" s="556">
        <f>CE</f>
        <v>0.053603184670747886</v>
      </c>
      <c r="K93" s="545"/>
      <c r="L93" s="709">
        <f>+J93*G93</f>
        <v>0</v>
      </c>
      <c r="M93" s="545"/>
      <c r="N93" s="551"/>
      <c r="O93" s="545"/>
    </row>
    <row r="94" spans="1:15" ht="30.75" thickBot="1">
      <c r="A94" s="710" t="s">
        <v>871</v>
      </c>
      <c r="B94" s="679"/>
      <c r="C94" s="711" t="s">
        <v>872</v>
      </c>
      <c r="D94" s="712" t="s">
        <v>873</v>
      </c>
      <c r="E94" s="713">
        <v>0</v>
      </c>
      <c r="F94" s="713">
        <v>0</v>
      </c>
      <c r="G94" s="558">
        <f>E94+F94</f>
        <v>0</v>
      </c>
      <c r="H94" s="547"/>
      <c r="I94" s="714" t="s">
        <v>1289</v>
      </c>
      <c r="J94" s="715">
        <f>TE</f>
        <v>0.9253248326646663</v>
      </c>
      <c r="K94" s="714"/>
      <c r="L94" s="705">
        <f>+J94*G94</f>
        <v>0</v>
      </c>
      <c r="M94" s="545"/>
      <c r="N94" s="551"/>
      <c r="O94" s="545"/>
    </row>
    <row r="95" spans="1:15" ht="15">
      <c r="A95" s="679">
        <v>15</v>
      </c>
      <c r="B95" s="679"/>
      <c r="C95" s="548" t="s">
        <v>675</v>
      </c>
      <c r="D95" s="545" t="s">
        <v>1706</v>
      </c>
      <c r="E95" s="552">
        <f>SUM(E90:E94)</f>
        <v>20099858</v>
      </c>
      <c r="F95" s="552">
        <f>SUM(F90:F94)</f>
        <v>14490548</v>
      </c>
      <c r="G95" s="552">
        <f>SUM(G90:G94)</f>
        <v>34590406</v>
      </c>
      <c r="H95" s="545"/>
      <c r="I95" s="545"/>
      <c r="J95" s="545"/>
      <c r="K95" s="545"/>
      <c r="L95" s="552">
        <f>SUM(L90:L93)</f>
        <v>16904559.705473125</v>
      </c>
      <c r="M95" s="545"/>
      <c r="N95" s="545"/>
      <c r="O95" s="545"/>
    </row>
    <row r="96" spans="1:15" ht="15">
      <c r="A96" s="679"/>
      <c r="B96" s="679"/>
      <c r="C96" s="548"/>
      <c r="D96" s="545"/>
      <c r="E96" s="545"/>
      <c r="F96" s="545"/>
      <c r="G96" s="545"/>
      <c r="H96" s="545"/>
      <c r="I96" s="545"/>
      <c r="J96" s="545"/>
      <c r="K96" s="545"/>
      <c r="L96" s="545"/>
      <c r="M96" s="545"/>
      <c r="N96" s="545"/>
      <c r="O96" s="545"/>
    </row>
    <row r="97" spans="1:15" ht="15.75">
      <c r="A97" s="679" t="s">
        <v>1100</v>
      </c>
      <c r="B97" s="679"/>
      <c r="C97" s="11" t="s">
        <v>228</v>
      </c>
      <c r="G97" s="545"/>
      <c r="H97" s="545"/>
      <c r="I97" s="545"/>
      <c r="J97" s="545"/>
      <c r="K97" s="545"/>
      <c r="L97" s="545"/>
      <c r="M97" s="545"/>
      <c r="N97" s="545"/>
      <c r="O97" s="545"/>
    </row>
    <row r="98" spans="1:15" ht="15.75">
      <c r="A98" s="679"/>
      <c r="B98" s="679"/>
      <c r="C98" s="548" t="s">
        <v>1295</v>
      </c>
      <c r="D98" s="38"/>
      <c r="E98" s="38"/>
      <c r="F98" s="38"/>
      <c r="H98" s="545"/>
      <c r="I98" s="545"/>
      <c r="K98" s="545"/>
      <c r="M98" s="545"/>
      <c r="N98" s="551"/>
      <c r="O98" s="545"/>
    </row>
    <row r="99" spans="1:15" ht="15">
      <c r="A99" s="679">
        <v>16</v>
      </c>
      <c r="B99" s="679"/>
      <c r="C99" s="548" t="s">
        <v>1296</v>
      </c>
      <c r="D99" s="547" t="s">
        <v>1160</v>
      </c>
      <c r="E99" s="1300">
        <f>5344208-329122+692+15409</f>
        <v>5031187</v>
      </c>
      <c r="F99" s="1300">
        <f>5526794-87652+0+8192</f>
        <v>5447334</v>
      </c>
      <c r="G99" s="552">
        <f aca="true" t="shared" si="9" ref="G99:G105">E99+F99</f>
        <v>10478521</v>
      </c>
      <c r="H99" s="545"/>
      <c r="I99" s="545" t="s">
        <v>1282</v>
      </c>
      <c r="J99" s="716">
        <f>WS</f>
        <v>0.053603184670747886</v>
      </c>
      <c r="K99" s="545"/>
      <c r="L99" s="552">
        <f>+J99*G99</f>
        <v>561682.0962393098</v>
      </c>
      <c r="M99" s="545"/>
      <c r="N99" s="551"/>
      <c r="O99" s="545"/>
    </row>
    <row r="100" spans="1:15" ht="15">
      <c r="A100" s="679">
        <v>17</v>
      </c>
      <c r="B100" s="679"/>
      <c r="C100" s="548" t="s">
        <v>1297</v>
      </c>
      <c r="D100" s="547" t="str">
        <f>+D99</f>
        <v>263.i</v>
      </c>
      <c r="E100" s="1039">
        <v>0</v>
      </c>
      <c r="F100" s="1039">
        <v>0</v>
      </c>
      <c r="G100" s="689">
        <f t="shared" si="9"/>
        <v>0</v>
      </c>
      <c r="H100" s="545"/>
      <c r="I100" s="545" t="str">
        <f>+I99</f>
        <v>W/S</v>
      </c>
      <c r="J100" s="716">
        <f>WS</f>
        <v>0.053603184670747886</v>
      </c>
      <c r="K100" s="545"/>
      <c r="L100" s="555">
        <f>+J100*G100</f>
        <v>0</v>
      </c>
      <c r="M100" s="545"/>
      <c r="N100" s="551"/>
      <c r="O100" s="545"/>
    </row>
    <row r="101" spans="1:15" ht="15">
      <c r="A101" s="679"/>
      <c r="B101" s="679"/>
      <c r="C101" s="548" t="s">
        <v>1298</v>
      </c>
      <c r="D101" s="547" t="s">
        <v>1100</v>
      </c>
      <c r="E101" s="689"/>
      <c r="F101" s="689"/>
      <c r="G101" s="689"/>
      <c r="H101" s="545"/>
      <c r="I101" s="545"/>
      <c r="K101" s="545"/>
      <c r="L101" s="555"/>
      <c r="M101" s="545"/>
      <c r="N101" s="551"/>
      <c r="O101" s="545"/>
    </row>
    <row r="102" spans="1:15" ht="15">
      <c r="A102" s="679">
        <v>18</v>
      </c>
      <c r="B102" s="679"/>
      <c r="C102" s="548" t="s">
        <v>1683</v>
      </c>
      <c r="D102" s="547" t="s">
        <v>1160</v>
      </c>
      <c r="E102" s="1039">
        <v>44976825</v>
      </c>
      <c r="F102" s="1039">
        <v>29109226</v>
      </c>
      <c r="G102" s="689">
        <f t="shared" si="9"/>
        <v>74086051</v>
      </c>
      <c r="H102" s="717"/>
      <c r="I102" s="547" t="s">
        <v>1290</v>
      </c>
      <c r="J102" s="718">
        <f>GP</f>
        <v>0.12698143054354016</v>
      </c>
      <c r="K102" s="545"/>
      <c r="L102" s="555">
        <f>+J102*G102</f>
        <v>9407552.739301674</v>
      </c>
      <c r="M102" s="545"/>
      <c r="N102" s="551"/>
      <c r="O102" s="545"/>
    </row>
    <row r="103" spans="1:15" ht="15">
      <c r="A103" s="679">
        <v>19</v>
      </c>
      <c r="B103" s="679"/>
      <c r="C103" s="548" t="s">
        <v>1299</v>
      </c>
      <c r="D103" s="547" t="s">
        <v>1160</v>
      </c>
      <c r="E103" s="1039">
        <v>0</v>
      </c>
      <c r="F103" s="1039">
        <v>0</v>
      </c>
      <c r="G103" s="689">
        <f t="shared" si="9"/>
        <v>0</v>
      </c>
      <c r="H103" s="547"/>
      <c r="I103" s="547" t="s">
        <v>257</v>
      </c>
      <c r="J103" s="719">
        <v>0</v>
      </c>
      <c r="K103" s="545"/>
      <c r="L103" s="555">
        <v>0</v>
      </c>
      <c r="M103" s="545"/>
      <c r="N103" s="551"/>
      <c r="O103" s="545"/>
    </row>
    <row r="104" spans="1:15" ht="15">
      <c r="A104" s="679">
        <v>20</v>
      </c>
      <c r="B104" s="679"/>
      <c r="C104" s="548" t="s">
        <v>34</v>
      </c>
      <c r="D104" s="547" t="str">
        <f>+D103</f>
        <v>263.i</v>
      </c>
      <c r="E104" s="1039">
        <f>31932-565136</f>
        <v>-533204</v>
      </c>
      <c r="F104" s="1039">
        <f>-238984+20055</f>
        <v>-218929</v>
      </c>
      <c r="G104" s="689">
        <f t="shared" si="9"/>
        <v>-752133</v>
      </c>
      <c r="H104" s="547"/>
      <c r="I104" s="547" t="s">
        <v>1290</v>
      </c>
      <c r="J104" s="718">
        <f>GP</f>
        <v>0.12698143054354016</v>
      </c>
      <c r="K104" s="545"/>
      <c r="L104" s="555">
        <f>+J104*G104</f>
        <v>-95506.92429900449</v>
      </c>
      <c r="M104" s="545"/>
      <c r="N104" s="551"/>
      <c r="O104" s="545"/>
    </row>
    <row r="105" spans="1:15" ht="15.75" thickBot="1">
      <c r="A105" s="679">
        <v>21</v>
      </c>
      <c r="B105" s="679"/>
      <c r="C105" s="548" t="s">
        <v>1300</v>
      </c>
      <c r="D105" s="545"/>
      <c r="E105" s="1301">
        <v>0</v>
      </c>
      <c r="F105" s="1301">
        <v>0</v>
      </c>
      <c r="G105" s="558">
        <f t="shared" si="9"/>
        <v>0</v>
      </c>
      <c r="H105" s="547"/>
      <c r="I105" s="547" t="s">
        <v>1290</v>
      </c>
      <c r="J105" s="718">
        <f>GP</f>
        <v>0.12698143054354016</v>
      </c>
      <c r="K105" s="545"/>
      <c r="L105" s="705">
        <f>+J105*G105</f>
        <v>0</v>
      </c>
      <c r="M105" s="545"/>
      <c r="N105" s="551"/>
      <c r="O105" s="545"/>
    </row>
    <row r="106" spans="1:15" ht="15">
      <c r="A106" s="679">
        <v>22</v>
      </c>
      <c r="B106" s="679"/>
      <c r="C106" s="548" t="s">
        <v>676</v>
      </c>
      <c r="D106" s="545" t="s">
        <v>1707</v>
      </c>
      <c r="E106" s="552">
        <f>SUM(E99:E105)</f>
        <v>49474808</v>
      </c>
      <c r="F106" s="552">
        <f>SUM(F99:F105)</f>
        <v>34337631</v>
      </c>
      <c r="G106" s="552">
        <f>SUM(G99:G105)</f>
        <v>83812439</v>
      </c>
      <c r="H106" s="545"/>
      <c r="I106" s="545"/>
      <c r="J106" s="716"/>
      <c r="K106" s="545"/>
      <c r="L106" s="552">
        <f>SUM(L99:L105)</f>
        <v>9873727.911241978</v>
      </c>
      <c r="M106" s="545"/>
      <c r="N106" s="545"/>
      <c r="O106" s="545"/>
    </row>
    <row r="107" spans="1:15" ht="15">
      <c r="A107" s="679"/>
      <c r="B107" s="679"/>
      <c r="C107" s="548"/>
      <c r="D107" s="545"/>
      <c r="E107" s="545"/>
      <c r="F107" s="545"/>
      <c r="G107" s="545"/>
      <c r="H107" s="545"/>
      <c r="I107" s="545"/>
      <c r="J107" s="716"/>
      <c r="K107" s="545"/>
      <c r="L107" s="545"/>
      <c r="M107" s="545"/>
      <c r="N107" s="545"/>
      <c r="O107" s="545"/>
    </row>
    <row r="108" spans="1:15" ht="15">
      <c r="A108" s="679" t="s">
        <v>1301</v>
      </c>
      <c r="B108" s="679"/>
      <c r="C108" s="548"/>
      <c r="D108" s="545"/>
      <c r="E108" s="545"/>
      <c r="F108" s="545"/>
      <c r="G108" s="545"/>
      <c r="H108" s="545"/>
      <c r="I108" s="545"/>
      <c r="J108" s="716"/>
      <c r="K108" s="545"/>
      <c r="L108" s="545"/>
      <c r="M108" s="545"/>
      <c r="N108" s="545"/>
      <c r="O108" s="545"/>
    </row>
    <row r="109" spans="1:15" ht="15.75">
      <c r="A109" s="679" t="s">
        <v>1100</v>
      </c>
      <c r="B109" s="679"/>
      <c r="C109" s="11" t="s">
        <v>1302</v>
      </c>
      <c r="D109" s="545" t="s">
        <v>229</v>
      </c>
      <c r="E109" s="545"/>
      <c r="F109" s="545"/>
      <c r="G109" s="545"/>
      <c r="H109" s="545"/>
      <c r="J109" s="720"/>
      <c r="K109" s="545"/>
      <c r="M109" s="545"/>
      <c r="O109" s="545"/>
    </row>
    <row r="110" spans="1:15" ht="15">
      <c r="A110" s="679">
        <v>23</v>
      </c>
      <c r="B110" s="679"/>
      <c r="C110" s="721" t="s">
        <v>771</v>
      </c>
      <c r="D110" s="545"/>
      <c r="E110" s="545"/>
      <c r="F110" s="545"/>
      <c r="G110" s="722">
        <f>IF(E275&gt;0,1-(((1-E276)*(1-E275))/(1-E276*E275*E277)),0)</f>
        <v>0.39615</v>
      </c>
      <c r="H110" s="545"/>
      <c r="J110" s="720"/>
      <c r="K110" s="545"/>
      <c r="M110" s="545"/>
      <c r="O110" s="545"/>
    </row>
    <row r="111" spans="1:15" ht="15">
      <c r="A111" s="590">
        <v>24</v>
      </c>
      <c r="B111" s="545"/>
      <c r="C111" s="545" t="s">
        <v>772</v>
      </c>
      <c r="D111" s="545"/>
      <c r="E111" s="545"/>
      <c r="F111" s="545"/>
      <c r="G111" s="722">
        <f>IF(L237&gt;0,(G110/(1-G110))*(1-L234/L237),0)</f>
        <v>0.43734046479847694</v>
      </c>
      <c r="H111" s="545"/>
      <c r="J111" s="720"/>
      <c r="K111" s="545"/>
      <c r="M111" s="545"/>
      <c r="O111" s="545"/>
    </row>
    <row r="112" spans="1:15" ht="15">
      <c r="A112" s="545"/>
      <c r="B112" s="545"/>
      <c r="C112" s="545" t="s">
        <v>1039</v>
      </c>
      <c r="D112" s="545"/>
      <c r="E112" s="545"/>
      <c r="F112" s="545"/>
      <c r="G112" s="545"/>
      <c r="H112" s="545"/>
      <c r="J112" s="720"/>
      <c r="K112" s="545"/>
      <c r="M112" s="545"/>
      <c r="O112" s="545"/>
    </row>
    <row r="113" spans="1:15" ht="15">
      <c r="A113" s="545"/>
      <c r="B113" s="545"/>
      <c r="C113" s="545" t="s">
        <v>230</v>
      </c>
      <c r="D113" s="545"/>
      <c r="E113" s="545"/>
      <c r="F113" s="545"/>
      <c r="G113" s="545"/>
      <c r="H113" s="545"/>
      <c r="J113" s="720"/>
      <c r="K113" s="545"/>
      <c r="M113" s="545"/>
      <c r="O113" s="545"/>
    </row>
    <row r="114" spans="1:15" ht="15.75">
      <c r="A114" s="679">
        <v>25</v>
      </c>
      <c r="B114" s="679"/>
      <c r="C114" s="721" t="s">
        <v>661</v>
      </c>
      <c r="D114" s="37"/>
      <c r="E114" s="37"/>
      <c r="F114" s="37"/>
      <c r="G114" s="724">
        <f>IF(G110&gt;0,1/(1-G110),0)</f>
        <v>1.6560404073859403</v>
      </c>
      <c r="H114" s="545"/>
      <c r="J114" s="720"/>
      <c r="K114" s="545"/>
      <c r="M114" s="545"/>
      <c r="O114" s="545"/>
    </row>
    <row r="115" spans="1:15" ht="15">
      <c r="A115" s="679">
        <v>26</v>
      </c>
      <c r="B115" s="679"/>
      <c r="C115" s="548" t="s">
        <v>773</v>
      </c>
      <c r="D115" s="545"/>
      <c r="E115" s="586">
        <v>-1035754</v>
      </c>
      <c r="F115" s="575">
        <v>-1487813</v>
      </c>
      <c r="G115" s="550">
        <f>E115+F115</f>
        <v>-2523567</v>
      </c>
      <c r="H115" s="545"/>
      <c r="J115" s="720"/>
      <c r="K115" s="545"/>
      <c r="M115" s="545"/>
      <c r="O115" s="545"/>
    </row>
    <row r="116" spans="1:15" ht="15">
      <c r="A116" s="679"/>
      <c r="B116" s="679"/>
      <c r="C116" s="548"/>
      <c r="D116" s="545"/>
      <c r="E116" s="552"/>
      <c r="F116" s="552"/>
      <c r="G116" s="545"/>
      <c r="H116" s="545"/>
      <c r="J116" s="720"/>
      <c r="K116" s="545"/>
      <c r="M116" s="545"/>
      <c r="O116" s="545"/>
    </row>
    <row r="117" spans="1:15" ht="15">
      <c r="A117" s="679">
        <v>27</v>
      </c>
      <c r="B117" s="679"/>
      <c r="C117" s="721" t="s">
        <v>662</v>
      </c>
      <c r="D117" s="725"/>
      <c r="E117" s="725"/>
      <c r="F117" s="725"/>
      <c r="G117" s="552"/>
      <c r="H117" s="545"/>
      <c r="I117" s="545" t="s">
        <v>257</v>
      </c>
      <c r="J117" s="716"/>
      <c r="K117" s="545"/>
      <c r="L117" s="552">
        <f>G111*L121</f>
        <v>16996036.765166666</v>
      </c>
      <c r="M117" s="545"/>
      <c r="N117" s="726" t="s">
        <v>1100</v>
      </c>
      <c r="O117" s="545"/>
    </row>
    <row r="118" spans="1:15" ht="15.75" thickBot="1">
      <c r="A118" s="679">
        <v>28</v>
      </c>
      <c r="B118" s="679"/>
      <c r="C118" s="543" t="s">
        <v>1040</v>
      </c>
      <c r="D118" s="725" t="s">
        <v>1041</v>
      </c>
      <c r="E118" s="725"/>
      <c r="F118" s="725"/>
      <c r="G118" s="709">
        <f>G114*G115</f>
        <v>-4179128.9227457154</v>
      </c>
      <c r="H118" s="545"/>
      <c r="I118" s="544" t="s">
        <v>1287</v>
      </c>
      <c r="J118" s="716">
        <f>NP</f>
        <v>0.1385388063163182</v>
      </c>
      <c r="K118" s="545"/>
      <c r="L118" s="705">
        <f>J118*G118</f>
        <v>-578971.5323991922</v>
      </c>
      <c r="M118" s="545"/>
      <c r="N118" s="726"/>
      <c r="O118" s="545"/>
    </row>
    <row r="119" spans="1:16" ht="15">
      <c r="A119" s="679">
        <v>29</v>
      </c>
      <c r="B119" s="679"/>
      <c r="C119" s="727" t="s">
        <v>182</v>
      </c>
      <c r="D119" s="543" t="s">
        <v>664</v>
      </c>
      <c r="G119" s="728"/>
      <c r="H119" s="545"/>
      <c r="I119" s="545" t="s">
        <v>1100</v>
      </c>
      <c r="J119" s="716" t="s">
        <v>1100</v>
      </c>
      <c r="K119" s="545"/>
      <c r="L119" s="728">
        <f>+L117+L118</f>
        <v>16417065.232767474</v>
      </c>
      <c r="M119" s="545"/>
      <c r="N119" s="545"/>
      <c r="O119" s="545"/>
      <c r="P119" s="729"/>
    </row>
    <row r="120" spans="1:15" ht="15">
      <c r="A120" s="679" t="s">
        <v>1100</v>
      </c>
      <c r="B120" s="679"/>
      <c r="D120" s="730"/>
      <c r="E120" s="730"/>
      <c r="F120" s="730"/>
      <c r="G120" s="545"/>
      <c r="H120" s="545"/>
      <c r="I120" s="545"/>
      <c r="J120" s="716"/>
      <c r="K120" s="545"/>
      <c r="L120" s="545"/>
      <c r="M120" s="545"/>
      <c r="N120" s="545"/>
      <c r="O120" s="545"/>
    </row>
    <row r="121" spans="1:15" ht="15.75">
      <c r="A121" s="679">
        <v>30</v>
      </c>
      <c r="B121" s="679"/>
      <c r="C121" s="11" t="s">
        <v>1303</v>
      </c>
      <c r="D121" s="551"/>
      <c r="E121" s="551"/>
      <c r="F121" s="551"/>
      <c r="G121" s="552"/>
      <c r="H121" s="545"/>
      <c r="I121" s="545" t="s">
        <v>257</v>
      </c>
      <c r="J121" s="720"/>
      <c r="K121" s="545"/>
      <c r="L121" s="552">
        <f>+$L237*L58+J244</f>
        <v>38862255.22945449</v>
      </c>
      <c r="M121" s="545"/>
      <c r="O121" s="545"/>
    </row>
    <row r="122" spans="1:15" ht="15">
      <c r="A122" s="679"/>
      <c r="B122" s="679"/>
      <c r="C122" s="731" t="s">
        <v>409</v>
      </c>
      <c r="D122" s="544"/>
      <c r="E122" s="544"/>
      <c r="F122" s="547"/>
      <c r="G122" s="545"/>
      <c r="H122" s="545"/>
      <c r="I122" s="545"/>
      <c r="J122" s="720"/>
      <c r="K122" s="545"/>
      <c r="L122" s="545"/>
      <c r="M122" s="545"/>
      <c r="N122" s="551"/>
      <c r="O122" s="545"/>
    </row>
    <row r="123" spans="1:16" ht="15">
      <c r="A123" s="679"/>
      <c r="B123" s="679"/>
      <c r="C123" s="727"/>
      <c r="G123" s="545"/>
      <c r="H123" s="545"/>
      <c r="I123" s="545"/>
      <c r="J123" s="720"/>
      <c r="K123" s="545"/>
      <c r="L123" s="545"/>
      <c r="M123" s="545"/>
      <c r="N123" s="551"/>
      <c r="O123" s="545"/>
      <c r="P123" s="729"/>
    </row>
    <row r="124" spans="1:15" ht="15">
      <c r="A124" s="679">
        <v>31</v>
      </c>
      <c r="B124" s="679"/>
      <c r="C124" s="727" t="s">
        <v>1595</v>
      </c>
      <c r="D124" s="545" t="s">
        <v>1100</v>
      </c>
      <c r="E124" s="545"/>
      <c r="F124" s="545"/>
      <c r="G124" s="694">
        <v>0</v>
      </c>
      <c r="H124" s="547"/>
      <c r="I124" s="547" t="s">
        <v>1593</v>
      </c>
      <c r="J124" s="719">
        <f>DA</f>
        <v>1</v>
      </c>
      <c r="K124" s="547"/>
      <c r="L124" s="547">
        <f>G124</f>
        <v>0</v>
      </c>
      <c r="M124" s="545"/>
      <c r="N124" s="551"/>
      <c r="O124" s="545"/>
    </row>
    <row r="125" spans="1:15" ht="15.75" thickBot="1">
      <c r="A125" s="679"/>
      <c r="B125" s="679"/>
      <c r="C125" s="548"/>
      <c r="G125" s="582"/>
      <c r="H125" s="545"/>
      <c r="I125" s="545"/>
      <c r="J125" s="720"/>
      <c r="K125" s="545"/>
      <c r="L125" s="582"/>
      <c r="M125" s="545"/>
      <c r="N125" s="551"/>
      <c r="O125" s="545"/>
    </row>
    <row r="126" spans="1:15" ht="16.5" thickBot="1">
      <c r="A126" s="679">
        <v>32</v>
      </c>
      <c r="B126" s="679"/>
      <c r="C126" s="11" t="s">
        <v>1042</v>
      </c>
      <c r="D126" s="4" t="s">
        <v>380</v>
      </c>
      <c r="E126" s="545"/>
      <c r="F126" s="545"/>
      <c r="G126" s="732">
        <f>+G121+G119+G106+G95+G87+G124</f>
        <v>291190905</v>
      </c>
      <c r="H126" s="545"/>
      <c r="I126" s="545"/>
      <c r="J126" s="545"/>
      <c r="K126" s="545"/>
      <c r="L126" s="732">
        <f>+L121+L119+L106+L95+L87+L124</f>
        <v>109901598.57491049</v>
      </c>
      <c r="M126" s="553"/>
      <c r="N126" s="553"/>
      <c r="O126" s="553"/>
    </row>
    <row r="127" spans="1:15" ht="15.75" thickTop="1">
      <c r="A127" s="679"/>
      <c r="C127" s="548"/>
      <c r="D127" s="1403" t="str">
        <f>+D1</f>
        <v>     Rate Formula Template</v>
      </c>
      <c r="E127" s="1403"/>
      <c r="F127" s="1403"/>
      <c r="G127" s="1403"/>
      <c r="H127" s="1403"/>
      <c r="L127" s="697"/>
      <c r="M127" s="545"/>
      <c r="N127" s="697" t="str">
        <f>+N1</f>
        <v>Actual Gross Rev</v>
      </c>
      <c r="O127" s="545"/>
    </row>
    <row r="128" spans="1:15" ht="15">
      <c r="A128" s="679"/>
      <c r="C128" s="548"/>
      <c r="D128" s="1403" t="str">
        <f>+D2</f>
        <v> Utilizing FERC Form 1 Data</v>
      </c>
      <c r="E128" s="1403"/>
      <c r="F128" s="1403"/>
      <c r="G128" s="1433"/>
      <c r="H128" s="1433"/>
      <c r="M128" s="545"/>
      <c r="N128" s="697" t="s">
        <v>25</v>
      </c>
      <c r="O128" s="545"/>
    </row>
    <row r="129" spans="1:15" ht="15">
      <c r="A129" s="679"/>
      <c r="C129" s="548"/>
      <c r="D129" s="1403" t="str">
        <f>+D3</f>
        <v>Actual Gross Revenue Requirements</v>
      </c>
      <c r="E129" s="1403"/>
      <c r="F129" s="1403"/>
      <c r="G129" s="1433"/>
      <c r="H129" s="1433"/>
      <c r="M129" s="545"/>
      <c r="N129" s="697"/>
      <c r="O129" s="545"/>
    </row>
    <row r="130" spans="1:15" ht="15">
      <c r="A130" s="679"/>
      <c r="D130" s="1403" t="str">
        <f>+D4</f>
        <v>For the 12 months ended - December 31, 2008</v>
      </c>
      <c r="E130" s="1403"/>
      <c r="F130" s="1403"/>
      <c r="G130" s="1433"/>
      <c r="H130" s="1433"/>
      <c r="M130" s="545"/>
      <c r="O130" s="545"/>
    </row>
    <row r="131" spans="1:15" ht="15">
      <c r="A131" s="679"/>
      <c r="G131" s="699"/>
      <c r="M131" s="545"/>
      <c r="N131" s="545"/>
      <c r="O131" s="545"/>
    </row>
    <row r="132" spans="1:15" ht="15">
      <c r="A132" s="679"/>
      <c r="D132" s="1404" t="str">
        <f>+D$6</f>
        <v>WESTAR ENERGY, INC. (Westar Energy and Kansas Gas and Electric)</v>
      </c>
      <c r="E132" s="1404"/>
      <c r="F132" s="1404"/>
      <c r="G132" s="1405"/>
      <c r="H132" s="1405"/>
      <c r="M132" s="545"/>
      <c r="N132" s="545"/>
      <c r="O132" s="545"/>
    </row>
    <row r="133" spans="1:15" ht="15">
      <c r="A133" s="679"/>
      <c r="D133" s="1404" t="str">
        <f>+D$7</f>
        <v>(WESTAR)</v>
      </c>
      <c r="E133" s="1404"/>
      <c r="F133" s="1404"/>
      <c r="G133" s="1405"/>
      <c r="H133" s="1405"/>
      <c r="I133" s="548"/>
      <c r="J133" s="548"/>
      <c r="K133" s="548"/>
      <c r="L133" s="548"/>
      <c r="M133" s="548"/>
      <c r="N133" s="548"/>
      <c r="O133" s="548"/>
    </row>
    <row r="134" spans="1:15" ht="15">
      <c r="A134" s="679"/>
      <c r="D134" s="676"/>
      <c r="E134" s="676"/>
      <c r="F134" s="676"/>
      <c r="G134" s="677"/>
      <c r="H134" s="677"/>
      <c r="I134" s="548"/>
      <c r="J134" s="548"/>
      <c r="K134" s="548"/>
      <c r="L134" s="548"/>
      <c r="M134" s="548"/>
      <c r="N134" s="548"/>
      <c r="O134" s="548"/>
    </row>
    <row r="135" spans="1:15" ht="15.75">
      <c r="A135" s="679"/>
      <c r="D135" s="1402" t="s">
        <v>1063</v>
      </c>
      <c r="E135" s="1402"/>
      <c r="F135" s="1402"/>
      <c r="G135" s="1403"/>
      <c r="H135" s="1403"/>
      <c r="I135" s="963"/>
      <c r="J135" s="553"/>
      <c r="K135" s="553"/>
      <c r="L135" s="553"/>
      <c r="M135" s="545"/>
      <c r="N135" s="545"/>
      <c r="O135" s="548"/>
    </row>
    <row r="136" spans="1:15" ht="15">
      <c r="A136" s="679"/>
      <c r="C136" s="680" t="s">
        <v>1121</v>
      </c>
      <c r="D136" s="680" t="s">
        <v>1122</v>
      </c>
      <c r="E136" s="680" t="s">
        <v>1147</v>
      </c>
      <c r="F136" s="700" t="s">
        <v>1148</v>
      </c>
      <c r="G136" s="700" t="s">
        <v>1149</v>
      </c>
      <c r="H136" s="545" t="s">
        <v>1100</v>
      </c>
      <c r="I136" s="545"/>
      <c r="J136" s="701" t="s">
        <v>1355</v>
      </c>
      <c r="K136" s="545"/>
      <c r="L136" s="701" t="s">
        <v>1357</v>
      </c>
      <c r="M136" s="545"/>
      <c r="N136" s="545"/>
      <c r="O136" s="548"/>
    </row>
    <row r="137" spans="1:15" ht="15.75">
      <c r="A137" s="679"/>
      <c r="C137" s="680"/>
      <c r="D137" s="589"/>
      <c r="F137" s="14" t="s">
        <v>1353</v>
      </c>
      <c r="G137" s="545"/>
      <c r="H137" s="545"/>
      <c r="I137" s="545"/>
      <c r="J137" s="679"/>
      <c r="K137" s="545"/>
      <c r="M137" s="589"/>
      <c r="N137" s="16"/>
      <c r="O137" s="545"/>
    </row>
    <row r="138" spans="1:15" ht="15.75">
      <c r="A138" s="679" t="s">
        <v>1101</v>
      </c>
      <c r="C138" s="548"/>
      <c r="D138" s="14" t="s">
        <v>1150</v>
      </c>
      <c r="E138" s="14" t="s">
        <v>1352</v>
      </c>
      <c r="F138" s="20" t="s">
        <v>1354</v>
      </c>
      <c r="H138" s="21"/>
      <c r="I138" s="16"/>
      <c r="K138" s="21"/>
      <c r="L138" s="16" t="s">
        <v>1151</v>
      </c>
      <c r="M138" s="545"/>
      <c r="N138" s="16"/>
      <c r="O138" s="545"/>
    </row>
    <row r="139" spans="1:15" ht="16.5" thickBot="1">
      <c r="A139" s="591" t="s">
        <v>1103</v>
      </c>
      <c r="B139" s="681"/>
      <c r="C139" s="952"/>
      <c r="D139" s="438" t="s">
        <v>252</v>
      </c>
      <c r="E139" s="223" t="s">
        <v>778</v>
      </c>
      <c r="F139" s="438" t="s">
        <v>780</v>
      </c>
      <c r="G139" s="441" t="s">
        <v>253</v>
      </c>
      <c r="H139" s="582"/>
      <c r="I139" s="441" t="s">
        <v>254</v>
      </c>
      <c r="J139" s="582"/>
      <c r="K139" s="582"/>
      <c r="L139" s="591" t="str">
        <f>L$13</f>
        <v>(Col 5 times Col 6)</v>
      </c>
      <c r="M139" s="545"/>
      <c r="N139" s="16"/>
      <c r="O139" s="545"/>
    </row>
    <row r="140" spans="1:15" ht="15">
      <c r="A140" s="679"/>
      <c r="D140" s="548"/>
      <c r="E140" s="548"/>
      <c r="F140" s="548"/>
      <c r="G140" s="699"/>
      <c r="H140" s="548"/>
      <c r="I140" s="548"/>
      <c r="J140" s="548"/>
      <c r="K140" s="548"/>
      <c r="L140" s="548"/>
      <c r="M140" s="548"/>
      <c r="N140" s="548"/>
      <c r="O140" s="545"/>
    </row>
    <row r="141" spans="1:15" ht="15">
      <c r="A141" s="679"/>
      <c r="D141" s="548"/>
      <c r="E141" s="548"/>
      <c r="F141" s="548"/>
      <c r="G141" s="699"/>
      <c r="H141" s="548"/>
      <c r="I141" s="548"/>
      <c r="J141" s="548"/>
      <c r="K141" s="548"/>
      <c r="L141" s="548"/>
      <c r="M141" s="548"/>
      <c r="N141" s="548"/>
      <c r="O141" s="545"/>
    </row>
    <row r="142" spans="1:15" ht="15.75">
      <c r="A142" s="679"/>
      <c r="C142" s="195" t="s">
        <v>594</v>
      </c>
      <c r="D142" s="917"/>
      <c r="E142" s="14"/>
      <c r="F142" s="20"/>
      <c r="G142" s="16"/>
      <c r="H142" s="917"/>
      <c r="I142" s="917"/>
      <c r="J142" s="917"/>
      <c r="K142" s="544"/>
      <c r="L142" s="544"/>
      <c r="M142" s="548"/>
      <c r="N142" s="548"/>
      <c r="O142" s="545"/>
    </row>
    <row r="143" spans="1:15" ht="15">
      <c r="A143" s="679"/>
      <c r="C143" s="687"/>
      <c r="D143" s="917"/>
      <c r="H143" s="917"/>
      <c r="I143" s="917"/>
      <c r="J143" s="917"/>
      <c r="K143" s="917"/>
      <c r="L143" s="917"/>
      <c r="M143" s="548"/>
      <c r="N143" s="548"/>
      <c r="O143" s="545"/>
    </row>
    <row r="144" spans="1:15" ht="15">
      <c r="A144" s="679">
        <v>1</v>
      </c>
      <c r="C144" s="944" t="s">
        <v>1029</v>
      </c>
      <c r="D144" s="917" t="s">
        <v>1408</v>
      </c>
      <c r="E144" s="1048">
        <f>E165</f>
        <v>471305367</v>
      </c>
      <c r="F144" s="1048">
        <f>F165</f>
        <v>394757644</v>
      </c>
      <c r="G144" s="550">
        <f>E144+F144</f>
        <v>866063011</v>
      </c>
      <c r="H144" s="547"/>
      <c r="I144" s="547"/>
      <c r="J144" s="547"/>
      <c r="K144" s="547"/>
      <c r="L144" s="550">
        <f>G144</f>
        <v>866063011</v>
      </c>
      <c r="M144" s="548"/>
      <c r="N144" s="548"/>
      <c r="O144" s="545"/>
    </row>
    <row r="145" spans="1:15" ht="15">
      <c r="A145" s="679">
        <v>2</v>
      </c>
      <c r="C145" s="944" t="s">
        <v>1030</v>
      </c>
      <c r="D145" s="544" t="s">
        <v>1031</v>
      </c>
      <c r="E145" s="586">
        <v>0</v>
      </c>
      <c r="F145" s="586">
        <v>0</v>
      </c>
      <c r="G145" s="550">
        <f>E145+F145</f>
        <v>0</v>
      </c>
      <c r="H145" s="547"/>
      <c r="I145" s="544"/>
      <c r="J145" s="544"/>
      <c r="K145" s="544"/>
      <c r="L145" s="689">
        <v>0</v>
      </c>
      <c r="M145" s="548"/>
      <c r="N145" s="548"/>
      <c r="O145" s="545"/>
    </row>
    <row r="146" spans="1:15" ht="15.75" thickBot="1">
      <c r="A146" s="679">
        <v>3</v>
      </c>
      <c r="C146" s="965" t="s">
        <v>446</v>
      </c>
      <c r="D146" s="966" t="s">
        <v>1154</v>
      </c>
      <c r="E146" s="693">
        <v>2312875</v>
      </c>
      <c r="F146" s="1049">
        <v>0</v>
      </c>
      <c r="G146" s="691">
        <f>E146+F146</f>
        <v>2312875</v>
      </c>
      <c r="H146" s="547"/>
      <c r="I146" s="547"/>
      <c r="J146" s="969"/>
      <c r="K146" s="547"/>
      <c r="L146" s="705">
        <f>G146</f>
        <v>2312875</v>
      </c>
      <c r="M146" s="548"/>
      <c r="N146" s="548"/>
      <c r="O146" s="545"/>
    </row>
    <row r="147" spans="1:15" ht="15">
      <c r="A147" s="679">
        <v>4</v>
      </c>
      <c r="C147" s="944" t="s">
        <v>116</v>
      </c>
      <c r="D147" s="917" t="s">
        <v>447</v>
      </c>
      <c r="E147" s="550">
        <f>E144-E145-E146</f>
        <v>468992492</v>
      </c>
      <c r="F147" s="550">
        <f>F144-F145-F146</f>
        <v>394757644</v>
      </c>
      <c r="G147" s="550">
        <f>G144-G145-G146</f>
        <v>863750136</v>
      </c>
      <c r="H147" s="852"/>
      <c r="I147" s="547"/>
      <c r="J147" s="969"/>
      <c r="K147" s="547"/>
      <c r="L147" s="550">
        <f>L144-L145-L146</f>
        <v>863750136</v>
      </c>
      <c r="M147" s="548"/>
      <c r="N147" s="548"/>
      <c r="O147" s="545"/>
    </row>
    <row r="148" spans="1:15" ht="15">
      <c r="A148" s="679"/>
      <c r="C148" s="544"/>
      <c r="D148" s="917"/>
      <c r="E148" s="917"/>
      <c r="F148" s="917"/>
      <c r="G148" s="547"/>
      <c r="H148" s="852"/>
      <c r="I148" s="547"/>
      <c r="J148" s="969"/>
      <c r="K148" s="547"/>
      <c r="L148" s="544"/>
      <c r="M148" s="548"/>
      <c r="N148" s="548"/>
      <c r="O148" s="545"/>
    </row>
    <row r="149" spans="1:15" ht="15">
      <c r="A149" s="679">
        <v>5</v>
      </c>
      <c r="C149" s="944" t="s">
        <v>177</v>
      </c>
      <c r="D149" s="970" t="s">
        <v>178</v>
      </c>
      <c r="E149" s="974"/>
      <c r="F149" s="974"/>
      <c r="G149" s="971"/>
      <c r="H149" s="972"/>
      <c r="I149" s="971"/>
      <c r="J149" s="973"/>
      <c r="K149" s="547" t="s">
        <v>1306</v>
      </c>
      <c r="L149" s="974">
        <f>IF(L144&gt;0,L147/L144,0)</f>
        <v>0.9973294379616451</v>
      </c>
      <c r="M149" s="548"/>
      <c r="N149" s="548"/>
      <c r="O149" s="545"/>
    </row>
    <row r="150" spans="1:15" ht="15">
      <c r="A150" s="679"/>
      <c r="D150" s="548"/>
      <c r="E150" s="548"/>
      <c r="F150" s="548"/>
      <c r="G150" s="699"/>
      <c r="H150" s="548"/>
      <c r="I150" s="548"/>
      <c r="J150" s="548"/>
      <c r="K150" s="548"/>
      <c r="L150" s="548"/>
      <c r="M150" s="548"/>
      <c r="N150" s="548"/>
      <c r="O150" s="545"/>
    </row>
    <row r="151" spans="1:15" ht="15.75">
      <c r="A151" s="679"/>
      <c r="C151" s="30" t="s">
        <v>1304</v>
      </c>
      <c r="D151" s="544"/>
      <c r="E151" s="544"/>
      <c r="F151" s="544"/>
      <c r="G151" s="544"/>
      <c r="H151" s="828"/>
      <c r="I151" s="544"/>
      <c r="J151" s="544"/>
      <c r="K151" s="544"/>
      <c r="L151" s="544"/>
      <c r="M151" s="545"/>
      <c r="N151" s="545"/>
      <c r="O151" s="545"/>
    </row>
    <row r="152" spans="1:15" ht="15">
      <c r="A152" s="679"/>
      <c r="C152" s="544"/>
      <c r="D152" s="544"/>
      <c r="E152" s="544"/>
      <c r="F152" s="544"/>
      <c r="G152" s="544"/>
      <c r="H152" s="828"/>
      <c r="I152" s="544"/>
      <c r="J152" s="544"/>
      <c r="K152" s="544"/>
      <c r="L152" s="544"/>
      <c r="M152" s="545"/>
      <c r="N152" s="545"/>
      <c r="O152" s="545"/>
    </row>
    <row r="153" spans="1:15" ht="15">
      <c r="A153" s="679">
        <v>6</v>
      </c>
      <c r="B153" s="544"/>
      <c r="C153" s="544" t="s">
        <v>487</v>
      </c>
      <c r="D153" s="544" t="s">
        <v>486</v>
      </c>
      <c r="E153" s="544"/>
      <c r="F153" s="544"/>
      <c r="G153" s="917"/>
      <c r="H153" s="835"/>
      <c r="I153" s="917"/>
      <c r="J153" s="975"/>
      <c r="K153" s="917"/>
      <c r="L153" s="550">
        <f>+G73</f>
        <v>27070319</v>
      </c>
      <c r="M153" s="545"/>
      <c r="N153" s="545"/>
      <c r="O153" s="545"/>
    </row>
    <row r="154" spans="1:15" ht="15.75" thickBot="1">
      <c r="A154" s="679">
        <v>7</v>
      </c>
      <c r="B154" s="544"/>
      <c r="C154" s="965" t="s">
        <v>488</v>
      </c>
      <c r="D154" s="966" t="s">
        <v>489</v>
      </c>
      <c r="E154" s="691"/>
      <c r="F154" s="691"/>
      <c r="G154" s="691"/>
      <c r="H154" s="852"/>
      <c r="I154" s="547"/>
      <c r="J154" s="547"/>
      <c r="K154" s="547"/>
      <c r="L154" s="558">
        <f>+G74</f>
        <v>1954407</v>
      </c>
      <c r="M154" s="545"/>
      <c r="N154" s="545"/>
      <c r="O154" s="545"/>
    </row>
    <row r="155" spans="1:15" ht="15">
      <c r="A155" s="679">
        <v>8</v>
      </c>
      <c r="C155" s="944" t="s">
        <v>1678</v>
      </c>
      <c r="D155" s="970"/>
      <c r="E155" s="970"/>
      <c r="F155" s="970"/>
      <c r="G155" s="971"/>
      <c r="H155" s="971"/>
      <c r="I155" s="971"/>
      <c r="J155" s="973"/>
      <c r="K155" s="971"/>
      <c r="L155" s="550">
        <f>+L153-L154</f>
        <v>25115912</v>
      </c>
      <c r="O155" s="545"/>
    </row>
    <row r="156" spans="1:15" ht="15">
      <c r="A156" s="679"/>
      <c r="C156" s="944"/>
      <c r="D156" s="917"/>
      <c r="E156" s="917"/>
      <c r="F156" s="917"/>
      <c r="G156" s="547"/>
      <c r="H156" s="547"/>
      <c r="I156" s="547"/>
      <c r="J156" s="547"/>
      <c r="K156" s="544"/>
      <c r="L156" s="544"/>
      <c r="O156" s="545"/>
    </row>
    <row r="157" spans="1:15" ht="15">
      <c r="A157" s="679">
        <v>9</v>
      </c>
      <c r="C157" s="944" t="s">
        <v>1679</v>
      </c>
      <c r="D157" s="917"/>
      <c r="E157" s="917"/>
      <c r="F157" s="917"/>
      <c r="G157" s="547"/>
      <c r="H157" s="547"/>
      <c r="I157" s="547"/>
      <c r="J157" s="547"/>
      <c r="K157" s="547"/>
      <c r="L157" s="559">
        <f>IF(L153&gt;0,L155/L153,0)</f>
        <v>0.9278025870326833</v>
      </c>
      <c r="O157" s="545"/>
    </row>
    <row r="158" spans="1:15" ht="15">
      <c r="A158" s="679">
        <v>10</v>
      </c>
      <c r="C158" s="944" t="s">
        <v>1680</v>
      </c>
      <c r="D158" s="917"/>
      <c r="E158" s="917"/>
      <c r="F158" s="917"/>
      <c r="G158" s="547"/>
      <c r="H158" s="547"/>
      <c r="I158" s="547"/>
      <c r="J158" s="547"/>
      <c r="K158" s="917" t="s">
        <v>1306</v>
      </c>
      <c r="L158" s="976">
        <f>L149</f>
        <v>0.9973294379616451</v>
      </c>
      <c r="O158" s="545"/>
    </row>
    <row r="159" spans="1:15" ht="15">
      <c r="A159" s="679">
        <v>11</v>
      </c>
      <c r="C159" s="944" t="s">
        <v>196</v>
      </c>
      <c r="D159" s="917"/>
      <c r="E159" s="917"/>
      <c r="F159" s="917"/>
      <c r="G159" s="917"/>
      <c r="H159" s="917"/>
      <c r="I159" s="917"/>
      <c r="J159" s="917"/>
      <c r="K159" s="917" t="s">
        <v>1305</v>
      </c>
      <c r="L159" s="719">
        <f>+L158*L157</f>
        <v>0.9253248326646663</v>
      </c>
      <c r="O159" s="545"/>
    </row>
    <row r="160" spans="1:15" ht="15">
      <c r="A160" s="679"/>
      <c r="C160" s="944"/>
      <c r="D160" s="917"/>
      <c r="E160" s="917"/>
      <c r="F160" s="917"/>
      <c r="G160" s="917"/>
      <c r="H160" s="917"/>
      <c r="I160" s="917"/>
      <c r="J160" s="917"/>
      <c r="K160" s="917"/>
      <c r="L160" s="719"/>
      <c r="O160" s="545"/>
    </row>
    <row r="161" spans="1:15" ht="15.75">
      <c r="A161" s="679"/>
      <c r="C161" s="165" t="s">
        <v>1096</v>
      </c>
      <c r="D161" s="548"/>
      <c r="E161" s="548"/>
      <c r="F161" s="548"/>
      <c r="G161" s="699"/>
      <c r="H161" s="548"/>
      <c r="I161" s="548"/>
      <c r="J161" s="548"/>
      <c r="K161" s="548"/>
      <c r="L161" s="548"/>
      <c r="M161" s="548"/>
      <c r="N161" s="548"/>
      <c r="O161" s="545"/>
    </row>
    <row r="162" spans="1:15" ht="15">
      <c r="A162" s="679"/>
      <c r="D162" s="548"/>
      <c r="E162" s="548"/>
      <c r="F162" s="548"/>
      <c r="G162" s="699"/>
      <c r="H162" s="548"/>
      <c r="I162" s="548"/>
      <c r="J162" s="548"/>
      <c r="K162" s="548"/>
      <c r="L162" s="548"/>
      <c r="M162" s="548"/>
      <c r="N162" s="548"/>
      <c r="O162" s="545"/>
    </row>
    <row r="163" spans="1:15" ht="15.75">
      <c r="A163" s="679"/>
      <c r="C163" s="548" t="s">
        <v>1093</v>
      </c>
      <c r="D163" s="37"/>
      <c r="E163" s="37"/>
      <c r="F163" s="37"/>
      <c r="G163" s="545"/>
      <c r="H163" s="545"/>
      <c r="I163" s="545"/>
      <c r="J163" s="545"/>
      <c r="K163" s="545"/>
      <c r="L163" s="545"/>
      <c r="M163" s="548"/>
      <c r="N163" s="548"/>
      <c r="O163" s="545"/>
    </row>
    <row r="164" spans="1:15" ht="15">
      <c r="A164" s="702">
        <v>12</v>
      </c>
      <c r="B164" s="544"/>
      <c r="C164" s="560" t="s">
        <v>256</v>
      </c>
      <c r="D164" s="547" t="s">
        <v>1555</v>
      </c>
      <c r="E164" s="585">
        <f aca="true" t="shared" si="10" ref="E164:F166">E16</f>
        <v>1934338020</v>
      </c>
      <c r="F164" s="585">
        <f t="shared" si="10"/>
        <v>2193360594</v>
      </c>
      <c r="G164" s="550">
        <f>E164+F164</f>
        <v>4127698614</v>
      </c>
      <c r="H164" s="547"/>
      <c r="I164" s="547" t="s">
        <v>257</v>
      </c>
      <c r="J164" s="559" t="s">
        <v>1100</v>
      </c>
      <c r="K164" s="547"/>
      <c r="L164" s="547" t="s">
        <v>1100</v>
      </c>
      <c r="M164" s="548"/>
      <c r="N164" s="548"/>
      <c r="O164" s="545"/>
    </row>
    <row r="165" spans="1:15" ht="15">
      <c r="A165" s="679">
        <v>13</v>
      </c>
      <c r="C165" s="548" t="s">
        <v>258</v>
      </c>
      <c r="D165" s="547" t="s">
        <v>1003</v>
      </c>
      <c r="E165" s="1050">
        <f t="shared" si="10"/>
        <v>471305367</v>
      </c>
      <c r="F165" s="1050">
        <f t="shared" si="10"/>
        <v>394757644</v>
      </c>
      <c r="G165" s="689">
        <f>E165+F165</f>
        <v>866063011</v>
      </c>
      <c r="H165" s="545"/>
      <c r="I165" s="545" t="s">
        <v>1108</v>
      </c>
      <c r="J165" s="556">
        <f>tp</f>
        <v>0.9973294379616451</v>
      </c>
      <c r="K165" s="545"/>
      <c r="L165" s="545">
        <f>+J165*G165</f>
        <v>863750136</v>
      </c>
      <c r="M165" s="548"/>
      <c r="N165" s="548"/>
      <c r="O165" s="545"/>
    </row>
    <row r="166" spans="1:15" ht="15">
      <c r="A166" s="702">
        <v>14</v>
      </c>
      <c r="B166" s="544"/>
      <c r="C166" s="560" t="s">
        <v>1280</v>
      </c>
      <c r="D166" s="547" t="s">
        <v>1004</v>
      </c>
      <c r="E166" s="689">
        <f t="shared" si="10"/>
        <v>884997507</v>
      </c>
      <c r="F166" s="1051">
        <f t="shared" si="10"/>
        <v>740366619</v>
      </c>
      <c r="G166" s="689">
        <f>E166+F166</f>
        <v>1625364126</v>
      </c>
      <c r="H166" s="547"/>
      <c r="I166" s="547" t="s">
        <v>257</v>
      </c>
      <c r="J166" s="559" t="s">
        <v>1100</v>
      </c>
      <c r="K166" s="547"/>
      <c r="L166" s="547" t="s">
        <v>1100</v>
      </c>
      <c r="M166" s="548"/>
      <c r="N166" s="548"/>
      <c r="O166" s="545"/>
    </row>
    <row r="167" spans="1:15" ht="15">
      <c r="A167" s="702">
        <v>15</v>
      </c>
      <c r="B167" s="544"/>
      <c r="C167" s="684" t="s">
        <v>1281</v>
      </c>
      <c r="D167" s="547" t="s">
        <v>1005</v>
      </c>
      <c r="E167" s="1052">
        <f>E19+E20</f>
        <v>195225358</v>
      </c>
      <c r="F167" s="1052">
        <f>F19+F20</f>
        <v>121545354</v>
      </c>
      <c r="G167" s="689">
        <f>E167+F167</f>
        <v>316770712</v>
      </c>
      <c r="H167" s="547"/>
      <c r="I167" s="547" t="s">
        <v>1282</v>
      </c>
      <c r="J167" s="559">
        <f>WS</f>
        <v>0.053603184670747886</v>
      </c>
      <c r="K167" s="547"/>
      <c r="L167" s="547">
        <f>+J167*G167</f>
        <v>16979918.97362029</v>
      </c>
      <c r="M167" s="548"/>
      <c r="N167" s="548"/>
      <c r="O167" s="545"/>
    </row>
    <row r="168" spans="1:15" ht="15.75" thickBot="1">
      <c r="A168" s="702">
        <v>16</v>
      </c>
      <c r="B168" s="544"/>
      <c r="C168" s="560" t="s">
        <v>1283</v>
      </c>
      <c r="D168" s="547" t="s">
        <v>1006</v>
      </c>
      <c r="E168" s="558">
        <f>E21</f>
        <v>0</v>
      </c>
      <c r="F168" s="558">
        <f>F21</f>
        <v>0</v>
      </c>
      <c r="G168" s="558">
        <f>E168+F168</f>
        <v>0</v>
      </c>
      <c r="H168" s="547"/>
      <c r="I168" s="547" t="s">
        <v>715</v>
      </c>
      <c r="J168" s="559">
        <f>CE</f>
        <v>0.053603184670747886</v>
      </c>
      <c r="K168" s="547"/>
      <c r="L168" s="980">
        <f>+J168*G168</f>
        <v>0</v>
      </c>
      <c r="M168" s="548"/>
      <c r="N168" s="548"/>
      <c r="O168" s="545"/>
    </row>
    <row r="169" spans="1:15" ht="15">
      <c r="A169" s="702">
        <v>17</v>
      </c>
      <c r="B169" s="544"/>
      <c r="C169" s="687" t="s">
        <v>1404</v>
      </c>
      <c r="D169" s="547" t="s">
        <v>1554</v>
      </c>
      <c r="E169" s="550">
        <f>SUM(E164:E168)</f>
        <v>3485866252</v>
      </c>
      <c r="F169" s="550">
        <f>SUM(F164:F168)</f>
        <v>3450030211</v>
      </c>
      <c r="G169" s="550">
        <f>SUM(G164:G168)</f>
        <v>6935896463</v>
      </c>
      <c r="H169" s="547"/>
      <c r="I169" s="547" t="s">
        <v>1060</v>
      </c>
      <c r="J169" s="688">
        <f>IF(L169&gt;0,L169/G169,0)</f>
        <v>0.12698143054354016</v>
      </c>
      <c r="K169" s="547"/>
      <c r="L169" s="550">
        <f>SUM(L164:L168)</f>
        <v>880730054.9736203</v>
      </c>
      <c r="M169" s="548"/>
      <c r="N169" s="548"/>
      <c r="O169" s="545"/>
    </row>
    <row r="170" spans="3:15" ht="15">
      <c r="C170" s="548"/>
      <c r="D170" s="545"/>
      <c r="E170" s="547"/>
      <c r="F170" s="547"/>
      <c r="G170" s="545"/>
      <c r="H170" s="545"/>
      <c r="I170" s="545"/>
      <c r="J170" s="551"/>
      <c r="K170" s="545"/>
      <c r="L170" s="545"/>
      <c r="M170" s="548"/>
      <c r="N170" s="548"/>
      <c r="O170" s="545"/>
    </row>
    <row r="171" spans="3:15" ht="15">
      <c r="C171" s="548" t="s">
        <v>1211</v>
      </c>
      <c r="D171" s="545"/>
      <c r="E171" s="547"/>
      <c r="F171" s="547"/>
      <c r="G171" s="545"/>
      <c r="H171" s="545"/>
      <c r="I171" s="545"/>
      <c r="J171" s="545"/>
      <c r="K171" s="545"/>
      <c r="L171" s="545"/>
      <c r="M171" s="548"/>
      <c r="N171" s="548"/>
      <c r="O171" s="545"/>
    </row>
    <row r="172" spans="1:15" ht="15">
      <c r="A172" s="702">
        <v>18</v>
      </c>
      <c r="B172" s="544"/>
      <c r="C172" s="560" t="str">
        <f>+C164</f>
        <v>  Production</v>
      </c>
      <c r="D172" s="547" t="s">
        <v>1007</v>
      </c>
      <c r="E172" s="585">
        <f aca="true" t="shared" si="11" ref="E172:F174">E25</f>
        <v>783283833</v>
      </c>
      <c r="F172" s="585">
        <f t="shared" si="11"/>
        <v>1051368933</v>
      </c>
      <c r="G172" s="550">
        <f>E172+F172</f>
        <v>1834652766</v>
      </c>
      <c r="H172" s="547"/>
      <c r="I172" s="547" t="str">
        <f aca="true" t="shared" si="12" ref="I172:J176">+I164</f>
        <v>NA</v>
      </c>
      <c r="J172" s="559" t="str">
        <f t="shared" si="12"/>
        <v> </v>
      </c>
      <c r="K172" s="547"/>
      <c r="L172" s="547" t="s">
        <v>1100</v>
      </c>
      <c r="M172" s="548"/>
      <c r="N172" s="548"/>
      <c r="O172" s="545"/>
    </row>
    <row r="173" spans="1:15" ht="15">
      <c r="A173" s="702">
        <v>19</v>
      </c>
      <c r="B173" s="544"/>
      <c r="C173" s="560" t="str">
        <f>+C165</f>
        <v>  Transmission</v>
      </c>
      <c r="D173" s="547" t="s">
        <v>1008</v>
      </c>
      <c r="E173" s="1050">
        <f t="shared" si="11"/>
        <v>166273849</v>
      </c>
      <c r="F173" s="1050">
        <f t="shared" si="11"/>
        <v>148329537</v>
      </c>
      <c r="G173" s="689">
        <f>E173+F173</f>
        <v>314603386</v>
      </c>
      <c r="H173" s="547"/>
      <c r="I173" s="547" t="str">
        <f t="shared" si="12"/>
        <v>TP</v>
      </c>
      <c r="J173" s="559">
        <f>tp</f>
        <v>0.9973294379616451</v>
      </c>
      <c r="K173" s="547"/>
      <c r="L173" s="547">
        <f>+J173*G173</f>
        <v>313763218.1402105</v>
      </c>
      <c r="M173" s="548"/>
      <c r="N173" s="548"/>
      <c r="O173" s="545"/>
    </row>
    <row r="174" spans="1:15" ht="15">
      <c r="A174" s="702">
        <v>20</v>
      </c>
      <c r="B174" s="544"/>
      <c r="C174" s="560" t="str">
        <f>+C166</f>
        <v>  Distribution</v>
      </c>
      <c r="D174" s="547" t="s">
        <v>1009</v>
      </c>
      <c r="E174" s="1050">
        <f t="shared" si="11"/>
        <v>328289362</v>
      </c>
      <c r="F174" s="1050">
        <f t="shared" si="11"/>
        <v>264902445</v>
      </c>
      <c r="G174" s="689">
        <f>E174+F174</f>
        <v>593191807</v>
      </c>
      <c r="H174" s="547"/>
      <c r="I174" s="547" t="str">
        <f t="shared" si="12"/>
        <v>NA</v>
      </c>
      <c r="J174" s="559" t="str">
        <f t="shared" si="12"/>
        <v> </v>
      </c>
      <c r="K174" s="547"/>
      <c r="L174" s="547" t="s">
        <v>1100</v>
      </c>
      <c r="M174" s="548"/>
      <c r="N174" s="548"/>
      <c r="O174" s="545"/>
    </row>
    <row r="175" spans="1:15" ht="15">
      <c r="A175" s="702">
        <v>21</v>
      </c>
      <c r="B175" s="544"/>
      <c r="C175" s="560" t="str">
        <f>+C167</f>
        <v>  General &amp; Intangible</v>
      </c>
      <c r="D175" s="547" t="s">
        <v>1010</v>
      </c>
      <c r="E175" s="1052">
        <f>E28+E29</f>
        <v>101411356.92</v>
      </c>
      <c r="F175" s="1052">
        <f>F28+F29</f>
        <v>63284126.42</v>
      </c>
      <c r="G175" s="689">
        <f>E175+F175</f>
        <v>164695483.34</v>
      </c>
      <c r="H175" s="547"/>
      <c r="I175" s="547" t="str">
        <f t="shared" si="12"/>
        <v>W/S</v>
      </c>
      <c r="J175" s="559">
        <f>WS</f>
        <v>0.053603184670747886</v>
      </c>
      <c r="K175" s="547"/>
      <c r="L175" s="547">
        <f>+J175*G175</f>
        <v>8828202.407912102</v>
      </c>
      <c r="M175" s="548"/>
      <c r="N175" s="548"/>
      <c r="O175" s="545"/>
    </row>
    <row r="176" spans="1:15" ht="15.75" thickBot="1">
      <c r="A176" s="702">
        <v>22</v>
      </c>
      <c r="B176" s="544"/>
      <c r="C176" s="560" t="str">
        <f>+C168</f>
        <v>  Common</v>
      </c>
      <c r="D176" s="547" t="s">
        <v>1011</v>
      </c>
      <c r="E176" s="558">
        <f>E30</f>
        <v>0</v>
      </c>
      <c r="F176" s="558">
        <f>F30</f>
        <v>0</v>
      </c>
      <c r="G176" s="558">
        <f>E176+F176</f>
        <v>0</v>
      </c>
      <c r="H176" s="547"/>
      <c r="I176" s="547" t="str">
        <f t="shared" si="12"/>
        <v>CE</v>
      </c>
      <c r="J176" s="559">
        <f>CE</f>
        <v>0.053603184670747886</v>
      </c>
      <c r="K176" s="547"/>
      <c r="L176" s="980">
        <f>+J176*G176</f>
        <v>0</v>
      </c>
      <c r="M176" s="548"/>
      <c r="N176" s="548"/>
      <c r="O176" s="545"/>
    </row>
    <row r="177" spans="1:15" ht="15">
      <c r="A177" s="702">
        <v>23</v>
      </c>
      <c r="B177" s="544"/>
      <c r="C177" s="560" t="s">
        <v>1403</v>
      </c>
      <c r="D177" s="547" t="s">
        <v>1554</v>
      </c>
      <c r="E177" s="550">
        <f>SUM(E172:E176)</f>
        <v>1379258400.92</v>
      </c>
      <c r="F177" s="550">
        <f>SUM(F172:F176)</f>
        <v>1527885041.42</v>
      </c>
      <c r="G177" s="550">
        <f>SUM(G172:G176)</f>
        <v>2907143442.34</v>
      </c>
      <c r="H177" s="547"/>
      <c r="I177" s="547"/>
      <c r="J177" s="547"/>
      <c r="K177" s="547"/>
      <c r="L177" s="550">
        <f>SUM(L172:L176)</f>
        <v>322591420.5481226</v>
      </c>
      <c r="M177" s="548"/>
      <c r="N177" s="548"/>
      <c r="O177" s="545"/>
    </row>
    <row r="178" spans="1:15" ht="15">
      <c r="A178" s="679"/>
      <c r="D178" s="545" t="s">
        <v>1100</v>
      </c>
      <c r="F178" s="544"/>
      <c r="H178" s="545"/>
      <c r="I178" s="545"/>
      <c r="J178" s="551"/>
      <c r="K178" s="545"/>
      <c r="M178" s="545"/>
      <c r="N178" s="545"/>
      <c r="O178" s="545"/>
    </row>
    <row r="179" spans="1:15" ht="15">
      <c r="A179" s="679"/>
      <c r="C179" s="548" t="s">
        <v>1094</v>
      </c>
      <c r="D179" s="545"/>
      <c r="E179" s="545"/>
      <c r="F179" s="547"/>
      <c r="G179" s="545"/>
      <c r="H179" s="545"/>
      <c r="I179" s="545"/>
      <c r="J179" s="545"/>
      <c r="K179" s="545"/>
      <c r="L179" s="545"/>
      <c r="M179" s="545"/>
      <c r="N179" s="545"/>
      <c r="O179" s="545"/>
    </row>
    <row r="180" spans="1:15" ht="15">
      <c r="A180" s="723">
        <v>24</v>
      </c>
      <c r="B180" s="544"/>
      <c r="C180" s="560" t="str">
        <f>+C172</f>
        <v>  Production</v>
      </c>
      <c r="D180" s="1053" t="s">
        <v>150</v>
      </c>
      <c r="E180" s="550">
        <f aca="true" t="shared" si="13" ref="E180:G184">E164-E172</f>
        <v>1151054187</v>
      </c>
      <c r="F180" s="550">
        <f t="shared" si="13"/>
        <v>1141991661</v>
      </c>
      <c r="G180" s="550">
        <f t="shared" si="13"/>
        <v>2293045848</v>
      </c>
      <c r="H180" s="547"/>
      <c r="I180" s="547"/>
      <c r="J180" s="690"/>
      <c r="K180" s="547"/>
      <c r="L180" s="547" t="s">
        <v>1100</v>
      </c>
      <c r="M180" s="545"/>
      <c r="N180" s="545"/>
      <c r="O180" s="545"/>
    </row>
    <row r="181" spans="1:15" ht="15">
      <c r="A181" s="723">
        <v>25</v>
      </c>
      <c r="B181" s="544"/>
      <c r="C181" s="560" t="str">
        <f>+C173</f>
        <v>  Transmission</v>
      </c>
      <c r="D181" s="1053" t="s">
        <v>151</v>
      </c>
      <c r="E181" s="689">
        <f t="shared" si="13"/>
        <v>305031518</v>
      </c>
      <c r="F181" s="689">
        <f t="shared" si="13"/>
        <v>246428107</v>
      </c>
      <c r="G181" s="689">
        <f t="shared" si="13"/>
        <v>551459625</v>
      </c>
      <c r="H181" s="547"/>
      <c r="I181" s="547"/>
      <c r="J181" s="559"/>
      <c r="K181" s="547"/>
      <c r="L181" s="547">
        <f>L165-L173</f>
        <v>549986917.8597895</v>
      </c>
      <c r="M181" s="545"/>
      <c r="N181" s="545"/>
      <c r="O181" s="545"/>
    </row>
    <row r="182" spans="1:15" ht="15">
      <c r="A182" s="723">
        <v>26</v>
      </c>
      <c r="B182" s="544"/>
      <c r="C182" s="560" t="str">
        <f>+C174</f>
        <v>  Distribution</v>
      </c>
      <c r="D182" s="1053" t="s">
        <v>152</v>
      </c>
      <c r="E182" s="689">
        <f t="shared" si="13"/>
        <v>556708145</v>
      </c>
      <c r="F182" s="689">
        <f t="shared" si="13"/>
        <v>475464174</v>
      </c>
      <c r="G182" s="689">
        <f t="shared" si="13"/>
        <v>1032172319</v>
      </c>
      <c r="H182" s="547"/>
      <c r="I182" s="547"/>
      <c r="J182" s="690"/>
      <c r="K182" s="547"/>
      <c r="L182" s="547" t="s">
        <v>1100</v>
      </c>
      <c r="M182" s="545"/>
      <c r="N182" s="545"/>
      <c r="O182" s="545"/>
    </row>
    <row r="183" spans="1:15" ht="15">
      <c r="A183" s="723">
        <v>27</v>
      </c>
      <c r="B183" s="544"/>
      <c r="C183" s="560" t="str">
        <f>+C175</f>
        <v>  General &amp; Intangible</v>
      </c>
      <c r="D183" s="1053" t="s">
        <v>153</v>
      </c>
      <c r="E183" s="689">
        <f t="shared" si="13"/>
        <v>93814001.08</v>
      </c>
      <c r="F183" s="689">
        <f t="shared" si="13"/>
        <v>58261227.58</v>
      </c>
      <c r="G183" s="689">
        <f t="shared" si="13"/>
        <v>152075228.66</v>
      </c>
      <c r="H183" s="547"/>
      <c r="I183" s="547"/>
      <c r="J183" s="690"/>
      <c r="K183" s="547"/>
      <c r="L183" s="547">
        <f>L167-L175</f>
        <v>8151716.56570819</v>
      </c>
      <c r="M183" s="545"/>
      <c r="N183" s="545"/>
      <c r="O183" s="545"/>
    </row>
    <row r="184" spans="1:15" ht="15.75" thickBot="1">
      <c r="A184" s="723">
        <v>28</v>
      </c>
      <c r="B184" s="544"/>
      <c r="C184" s="560" t="str">
        <f>+C176</f>
        <v>  Common</v>
      </c>
      <c r="D184" s="1053" t="s">
        <v>154</v>
      </c>
      <c r="E184" s="558">
        <f t="shared" si="13"/>
        <v>0</v>
      </c>
      <c r="F184" s="558">
        <f t="shared" si="13"/>
        <v>0</v>
      </c>
      <c r="G184" s="558">
        <f t="shared" si="13"/>
        <v>0</v>
      </c>
      <c r="H184" s="547"/>
      <c r="I184" s="547"/>
      <c r="J184" s="690"/>
      <c r="K184" s="547"/>
      <c r="L184" s="980">
        <f>L168-L176</f>
        <v>0</v>
      </c>
      <c r="M184" s="545"/>
      <c r="N184" s="545"/>
      <c r="O184" s="545"/>
    </row>
    <row r="185" spans="1:15" ht="15">
      <c r="A185" s="723">
        <v>29</v>
      </c>
      <c r="B185" s="544"/>
      <c r="C185" s="560" t="s">
        <v>1402</v>
      </c>
      <c r="D185" s="547" t="s">
        <v>1012</v>
      </c>
      <c r="E185" s="550">
        <f>SUM(E180:E184)</f>
        <v>2106607851.08</v>
      </c>
      <c r="F185" s="550">
        <f>SUM(F180:F184)</f>
        <v>1922145169.58</v>
      </c>
      <c r="G185" s="550">
        <f>SUM(G180:G184)</f>
        <v>4028753020.66</v>
      </c>
      <c r="H185" s="547"/>
      <c r="I185" s="547" t="s">
        <v>1061</v>
      </c>
      <c r="J185" s="688">
        <f>IF(L185&gt;0,L185/G185,0)</f>
        <v>0.1385388063163182</v>
      </c>
      <c r="K185" s="547"/>
      <c r="L185" s="550">
        <f>SUM(L180:L184)</f>
        <v>558138634.4254977</v>
      </c>
      <c r="M185" s="545"/>
      <c r="N185" s="545"/>
      <c r="O185" s="545"/>
    </row>
    <row r="186" spans="1:15" ht="15">
      <c r="A186" s="723"/>
      <c r="C186" s="544"/>
      <c r="D186" s="544"/>
      <c r="E186" s="544"/>
      <c r="F186" s="544"/>
      <c r="G186" s="544"/>
      <c r="H186" s="828"/>
      <c r="I186" s="544"/>
      <c r="J186" s="544"/>
      <c r="K186" s="544"/>
      <c r="L186" s="544"/>
      <c r="M186" s="545"/>
      <c r="N186" s="545"/>
      <c r="O186" s="545"/>
    </row>
    <row r="187" spans="1:15" ht="15">
      <c r="A187" s="723"/>
      <c r="C187" s="548"/>
      <c r="D187" s="1403" t="str">
        <f>+D1</f>
        <v>     Rate Formula Template</v>
      </c>
      <c r="E187" s="1403"/>
      <c r="F187" s="1403"/>
      <c r="G187" s="1403"/>
      <c r="H187" s="1403"/>
      <c r="L187" s="697"/>
      <c r="M187" s="545"/>
      <c r="N187" s="697" t="str">
        <f>N1</f>
        <v>Actual Gross Rev</v>
      </c>
      <c r="O187" s="545"/>
    </row>
    <row r="188" spans="1:15" ht="15">
      <c r="A188" s="679"/>
      <c r="C188" s="548"/>
      <c r="D188" s="1403" t="str">
        <f>+D2</f>
        <v> Utilizing FERC Form 1 Data</v>
      </c>
      <c r="E188" s="1403"/>
      <c r="F188" s="1403"/>
      <c r="G188" s="1433"/>
      <c r="H188" s="1433"/>
      <c r="M188" s="545"/>
      <c r="N188" s="697" t="s">
        <v>26</v>
      </c>
      <c r="O188" s="545"/>
    </row>
    <row r="189" spans="1:15" ht="15">
      <c r="A189" s="679"/>
      <c r="C189" s="548"/>
      <c r="D189" s="1403" t="str">
        <f>+D3</f>
        <v>Actual Gross Revenue Requirements</v>
      </c>
      <c r="E189" s="1403"/>
      <c r="F189" s="1403"/>
      <c r="G189" s="1433"/>
      <c r="H189" s="1433"/>
      <c r="M189" s="545"/>
      <c r="N189" s="697"/>
      <c r="O189" s="545"/>
    </row>
    <row r="190" spans="1:15" ht="15">
      <c r="A190" s="679"/>
      <c r="D190" s="1403" t="str">
        <f>+D4</f>
        <v>For the 12 months ended - December 31, 2008</v>
      </c>
      <c r="E190" s="1403"/>
      <c r="F190" s="1403"/>
      <c r="G190" s="1433"/>
      <c r="H190" s="1433"/>
      <c r="M190" s="545"/>
      <c r="O190" s="545"/>
    </row>
    <row r="191" spans="1:15" ht="15">
      <c r="A191" s="679"/>
      <c r="G191" s="699"/>
      <c r="M191" s="545"/>
      <c r="N191" s="545"/>
      <c r="O191" s="545"/>
    </row>
    <row r="192" spans="1:15" ht="15">
      <c r="A192" s="679"/>
      <c r="D192" s="1404" t="str">
        <f>+D$6</f>
        <v>WESTAR ENERGY, INC. (Westar Energy and Kansas Gas and Electric)</v>
      </c>
      <c r="E192" s="1404"/>
      <c r="F192" s="1404"/>
      <c r="G192" s="1405"/>
      <c r="H192" s="1405"/>
      <c r="M192" s="545"/>
      <c r="N192" s="545"/>
      <c r="O192" s="545"/>
    </row>
    <row r="193" spans="1:15" ht="15">
      <c r="A193" s="679"/>
      <c r="D193" s="1404" t="str">
        <f>+D$7</f>
        <v>(WESTAR)</v>
      </c>
      <c r="E193" s="1404"/>
      <c r="F193" s="1404"/>
      <c r="G193" s="1405"/>
      <c r="H193" s="1405"/>
      <c r="I193" s="548"/>
      <c r="J193" s="548"/>
      <c r="K193" s="548"/>
      <c r="L193" s="548"/>
      <c r="M193" s="548"/>
      <c r="N193" s="548"/>
      <c r="O193" s="545"/>
    </row>
    <row r="194" spans="1:15" ht="15">
      <c r="A194" s="679"/>
      <c r="D194" s="676"/>
      <c r="E194" s="676"/>
      <c r="F194" s="676"/>
      <c r="G194" s="677"/>
      <c r="H194" s="677"/>
      <c r="I194" s="548"/>
      <c r="J194" s="548"/>
      <c r="K194" s="548"/>
      <c r="L194" s="548"/>
      <c r="M194" s="548"/>
      <c r="N194" s="548"/>
      <c r="O194" s="545"/>
    </row>
    <row r="195" spans="1:15" ht="15.75">
      <c r="A195" s="679"/>
      <c r="D195" s="1402" t="s">
        <v>1063</v>
      </c>
      <c r="E195" s="1402"/>
      <c r="F195" s="1402"/>
      <c r="G195" s="1403"/>
      <c r="H195" s="1403"/>
      <c r="I195" s="963"/>
      <c r="J195" s="553"/>
      <c r="K195" s="553"/>
      <c r="L195" s="553"/>
      <c r="M195" s="545"/>
      <c r="N195" s="545"/>
      <c r="O195" s="545"/>
    </row>
    <row r="196" spans="1:15" ht="15">
      <c r="A196" s="679"/>
      <c r="C196" s="680" t="s">
        <v>1121</v>
      </c>
      <c r="D196" s="680" t="s">
        <v>1122</v>
      </c>
      <c r="E196" s="680" t="s">
        <v>1147</v>
      </c>
      <c r="F196" s="700" t="s">
        <v>1148</v>
      </c>
      <c r="G196" s="700" t="s">
        <v>1149</v>
      </c>
      <c r="H196" s="545" t="s">
        <v>1100</v>
      </c>
      <c r="I196" s="545"/>
      <c r="J196" s="701" t="s">
        <v>1355</v>
      </c>
      <c r="K196" s="545"/>
      <c r="L196" s="701" t="s">
        <v>1357</v>
      </c>
      <c r="M196" s="545"/>
      <c r="N196" s="545"/>
      <c r="O196" s="545"/>
    </row>
    <row r="197" spans="1:15" ht="15.75">
      <c r="A197" s="679"/>
      <c r="C197" s="680"/>
      <c r="D197" s="589"/>
      <c r="F197" s="14" t="s">
        <v>1353</v>
      </c>
      <c r="G197" s="545"/>
      <c r="H197" s="545"/>
      <c r="I197" s="545"/>
      <c r="J197" s="679"/>
      <c r="K197" s="545"/>
      <c r="M197" s="589"/>
      <c r="N197" s="16"/>
      <c r="O197" s="545"/>
    </row>
    <row r="198" spans="1:15" ht="15.75">
      <c r="A198" s="679" t="s">
        <v>1101</v>
      </c>
      <c r="C198" s="548"/>
      <c r="D198" s="14" t="s">
        <v>1150</v>
      </c>
      <c r="E198" s="14" t="s">
        <v>1352</v>
      </c>
      <c r="F198" s="20" t="s">
        <v>1354</v>
      </c>
      <c r="H198" s="21"/>
      <c r="I198" s="16"/>
      <c r="K198" s="21"/>
      <c r="L198" s="16" t="s">
        <v>1151</v>
      </c>
      <c r="M198" s="545"/>
      <c r="N198" s="16"/>
      <c r="O198" s="545"/>
    </row>
    <row r="199" spans="1:15" ht="16.5" thickBot="1">
      <c r="A199" s="591" t="s">
        <v>1103</v>
      </c>
      <c r="B199" s="681"/>
      <c r="C199" s="952"/>
      <c r="D199" s="438" t="s">
        <v>252</v>
      </c>
      <c r="E199" s="223" t="s">
        <v>778</v>
      </c>
      <c r="F199" s="438" t="s">
        <v>780</v>
      </c>
      <c r="G199" s="441" t="s">
        <v>253</v>
      </c>
      <c r="H199" s="582"/>
      <c r="I199" s="441" t="s">
        <v>254</v>
      </c>
      <c r="J199" s="582"/>
      <c r="K199" s="582"/>
      <c r="L199" s="591" t="str">
        <f>L$13</f>
        <v>(Col 5 times Col 6)</v>
      </c>
      <c r="M199" s="582"/>
      <c r="N199" s="441"/>
      <c r="O199" s="545"/>
    </row>
    <row r="200" spans="1:15" ht="15">
      <c r="A200" s="679"/>
      <c r="O200" s="545"/>
    </row>
    <row r="201" spans="1:15" ht="15.75">
      <c r="A201" s="679" t="s">
        <v>1100</v>
      </c>
      <c r="C201" s="11" t="s">
        <v>1307</v>
      </c>
      <c r="D201" s="545"/>
      <c r="E201" s="545"/>
      <c r="F201" s="545"/>
      <c r="G201" s="37"/>
      <c r="H201" s="545"/>
      <c r="I201" s="545"/>
      <c r="J201" s="545"/>
      <c r="K201" s="545"/>
      <c r="L201" s="545"/>
      <c r="M201" s="545"/>
      <c r="N201" s="545"/>
      <c r="O201" s="545"/>
    </row>
    <row r="202" spans="1:15" ht="15.75" thickBot="1">
      <c r="A202" s="679" t="s">
        <v>1100</v>
      </c>
      <c r="C202" s="548"/>
      <c r="D202" s="957"/>
      <c r="E202" s="574" t="s">
        <v>1308</v>
      </c>
      <c r="F202" s="574" t="s">
        <v>1308</v>
      </c>
      <c r="G202" s="574" t="s">
        <v>1308</v>
      </c>
      <c r="H202" s="574" t="s">
        <v>1108</v>
      </c>
      <c r="I202" s="545"/>
      <c r="J202" s="574" t="s">
        <v>1309</v>
      </c>
      <c r="K202" s="545"/>
      <c r="L202" s="545"/>
      <c r="M202" s="545"/>
      <c r="N202" s="545"/>
      <c r="O202" s="545"/>
    </row>
    <row r="203" spans="1:15" ht="15">
      <c r="A203" s="679">
        <v>1</v>
      </c>
      <c r="C203" s="548" t="s">
        <v>256</v>
      </c>
      <c r="D203" s="547" t="s">
        <v>1804</v>
      </c>
      <c r="E203" s="962">
        <f>'A-10 (Wages &amp; Salaries)'!F11</f>
        <v>31056550</v>
      </c>
      <c r="F203" s="962">
        <f>'A-10 (Wages &amp; Salaries)'!L11</f>
        <v>33054831.77</v>
      </c>
      <c r="G203" s="552">
        <f>E203+F203</f>
        <v>64111381.769999996</v>
      </c>
      <c r="H203" s="716">
        <v>0</v>
      </c>
      <c r="I203" s="677"/>
      <c r="J203" s="545">
        <f>G203*H203</f>
        <v>0</v>
      </c>
      <c r="K203" s="545"/>
      <c r="L203" s="545"/>
      <c r="M203" s="545"/>
      <c r="N203" s="545"/>
      <c r="O203" s="545"/>
    </row>
    <row r="204" spans="1:15" ht="15">
      <c r="A204" s="679">
        <v>2</v>
      </c>
      <c r="C204" s="548" t="s">
        <v>258</v>
      </c>
      <c r="D204" s="547" t="s">
        <v>1804</v>
      </c>
      <c r="E204" s="962">
        <f>'A-10 (Wages &amp; Salaries)'!F12</f>
        <v>3058725</v>
      </c>
      <c r="F204" s="962">
        <f>'A-10 (Wages &amp; Salaries)'!L12</f>
        <v>2886775</v>
      </c>
      <c r="G204" s="557">
        <f>E204+F204</f>
        <v>5945500</v>
      </c>
      <c r="H204" s="716">
        <f>L149</f>
        <v>0.9973294379616451</v>
      </c>
      <c r="I204" s="677"/>
      <c r="J204" s="545">
        <f>G204*H204</f>
        <v>5929622.173400961</v>
      </c>
      <c r="K204" s="545"/>
      <c r="L204" s="545"/>
      <c r="M204" s="545"/>
      <c r="N204" s="545"/>
      <c r="O204" s="545"/>
    </row>
    <row r="205" spans="1:15" ht="15">
      <c r="A205" s="679">
        <v>3</v>
      </c>
      <c r="C205" s="548" t="s">
        <v>1280</v>
      </c>
      <c r="D205" s="547" t="s">
        <v>1804</v>
      </c>
      <c r="E205" s="962">
        <f>'A-10 (Wages &amp; Salaries)'!F13</f>
        <v>14460558</v>
      </c>
      <c r="F205" s="962">
        <f>'A-10 (Wages &amp; Salaries)'!L13</f>
        <v>11798801</v>
      </c>
      <c r="G205" s="557">
        <f>E205+F205</f>
        <v>26259359</v>
      </c>
      <c r="H205" s="716">
        <v>0</v>
      </c>
      <c r="I205" s="677"/>
      <c r="J205" s="545">
        <f>G205*H205</f>
        <v>0</v>
      </c>
      <c r="K205" s="545"/>
      <c r="L205" s="576" t="s">
        <v>1311</v>
      </c>
      <c r="M205" s="545"/>
      <c r="N205" s="545"/>
      <c r="O205" s="545" t="s">
        <v>1100</v>
      </c>
    </row>
    <row r="206" spans="1:15" ht="15.75" thickBot="1">
      <c r="A206" s="679">
        <v>4</v>
      </c>
      <c r="C206" s="548" t="s">
        <v>1312</v>
      </c>
      <c r="D206" s="547" t="s">
        <v>1804</v>
      </c>
      <c r="E206" s="981">
        <f>'A-10 (Wages &amp; Salaries)'!F14</f>
        <v>8208453</v>
      </c>
      <c r="F206" s="981">
        <f>'A-10 (Wages &amp; Salaries)'!L14</f>
        <v>6096013</v>
      </c>
      <c r="G206" s="982">
        <f>E206+F206</f>
        <v>14304466</v>
      </c>
      <c r="H206" s="716">
        <v>0</v>
      </c>
      <c r="I206" s="677"/>
      <c r="J206" s="582">
        <f>G206*H206</f>
        <v>0</v>
      </c>
      <c r="K206" s="545"/>
      <c r="L206" s="591" t="s">
        <v>708</v>
      </c>
      <c r="M206" s="545"/>
      <c r="N206" s="545"/>
      <c r="O206" s="545"/>
    </row>
    <row r="207" spans="1:15" ht="15">
      <c r="A207" s="679">
        <v>5</v>
      </c>
      <c r="C207" s="548" t="s">
        <v>494</v>
      </c>
      <c r="D207" s="545"/>
      <c r="E207" s="545">
        <f>SUM(E203:E206)</f>
        <v>56784286</v>
      </c>
      <c r="F207" s="545">
        <f>SUM(F203:F206)</f>
        <v>53836420.769999996</v>
      </c>
      <c r="G207" s="552">
        <f>SUM(G203:G206)</f>
        <v>110620706.77</v>
      </c>
      <c r="H207" s="545"/>
      <c r="I207" s="545"/>
      <c r="J207" s="545">
        <f>SUM(J203:J206)</f>
        <v>5929622.173400961</v>
      </c>
      <c r="K207" s="680" t="s">
        <v>709</v>
      </c>
      <c r="L207" s="556">
        <f>IF(J207&gt;0,J207/G207,0)</f>
        <v>0.053603184670747886</v>
      </c>
      <c r="M207" s="590" t="s">
        <v>709</v>
      </c>
      <c r="N207" s="590" t="s">
        <v>775</v>
      </c>
      <c r="O207" s="545"/>
    </row>
    <row r="208" spans="1:15" ht="15">
      <c r="A208" s="679" t="s">
        <v>1100</v>
      </c>
      <c r="C208" s="548" t="s">
        <v>1100</v>
      </c>
      <c r="D208" s="545" t="s">
        <v>1100</v>
      </c>
      <c r="E208" s="545"/>
      <c r="F208" s="545"/>
      <c r="H208" s="545"/>
      <c r="I208" s="545"/>
      <c r="N208" s="545"/>
      <c r="O208" s="545"/>
    </row>
    <row r="209" spans="1:15" ht="15">
      <c r="A209" s="679"/>
      <c r="C209" s="548"/>
      <c r="D209" s="545"/>
      <c r="E209" s="545"/>
      <c r="F209" s="545"/>
      <c r="G209" s="545"/>
      <c r="H209" s="545"/>
      <c r="I209" s="545"/>
      <c r="J209" s="545"/>
      <c r="K209" s="545"/>
      <c r="L209" s="545"/>
      <c r="M209" s="545"/>
      <c r="N209" s="545"/>
      <c r="O209" s="545"/>
    </row>
    <row r="210" spans="1:15" ht="15.75">
      <c r="A210" s="679"/>
      <c r="C210" s="11" t="s">
        <v>231</v>
      </c>
      <c r="D210" s="545"/>
      <c r="E210" s="545"/>
      <c r="F210" s="545"/>
      <c r="G210" s="37"/>
      <c r="H210" s="545"/>
      <c r="I210" s="545"/>
      <c r="J210" s="545"/>
      <c r="K210" s="545"/>
      <c r="L210" s="545"/>
      <c r="M210" s="545"/>
      <c r="N210" s="545"/>
      <c r="O210" s="545"/>
    </row>
    <row r="211" spans="1:15" ht="15.75">
      <c r="A211" s="679"/>
      <c r="C211" s="548"/>
      <c r="D211" s="545"/>
      <c r="E211" s="545"/>
      <c r="F211" s="545"/>
      <c r="G211" s="14" t="s">
        <v>1308</v>
      </c>
      <c r="H211" s="545"/>
      <c r="I211" s="545"/>
      <c r="J211" s="590" t="s">
        <v>710</v>
      </c>
      <c r="K211" s="720" t="s">
        <v>1100</v>
      </c>
      <c r="L211" s="551" t="str">
        <f>+L205</f>
        <v>W&amp;S Allocator</v>
      </c>
      <c r="O211" s="545"/>
    </row>
    <row r="212" spans="1:15" ht="15">
      <c r="A212" s="679">
        <v>6</v>
      </c>
      <c r="C212" s="548" t="s">
        <v>711</v>
      </c>
      <c r="D212" s="545" t="s">
        <v>712</v>
      </c>
      <c r="E212" s="586">
        <v>3166651235</v>
      </c>
      <c r="F212" s="575">
        <v>3154705080</v>
      </c>
      <c r="G212" s="550">
        <f>E212+F212</f>
        <v>6321356315</v>
      </c>
      <c r="H212" s="545"/>
      <c r="J212" s="679" t="s">
        <v>713</v>
      </c>
      <c r="K212" s="984"/>
      <c r="L212" s="679" t="s">
        <v>714</v>
      </c>
      <c r="M212" s="545"/>
      <c r="N212" s="680" t="s">
        <v>715</v>
      </c>
      <c r="O212" s="545"/>
    </row>
    <row r="213" spans="1:15" ht="15">
      <c r="A213" s="679">
        <v>7</v>
      </c>
      <c r="C213" s="548" t="s">
        <v>716</v>
      </c>
      <c r="D213" s="545" t="s">
        <v>717</v>
      </c>
      <c r="E213" s="579">
        <v>0</v>
      </c>
      <c r="F213" s="579">
        <v>0</v>
      </c>
      <c r="G213" s="689">
        <f>E213+F213</f>
        <v>0</v>
      </c>
      <c r="H213" s="547"/>
      <c r="J213" s="985">
        <f>IF(G215&gt;0,G212/G215,0)</f>
        <v>1</v>
      </c>
      <c r="K213" s="590" t="s">
        <v>718</v>
      </c>
      <c r="L213" s="985">
        <f>L207</f>
        <v>0.053603184670747886</v>
      </c>
      <c r="M213" s="720" t="s">
        <v>709</v>
      </c>
      <c r="N213" s="1054">
        <f>L213*J213</f>
        <v>0.053603184670747886</v>
      </c>
      <c r="O213" s="545"/>
    </row>
    <row r="214" spans="1:15" ht="15.75" thickBot="1">
      <c r="A214" s="679">
        <v>8</v>
      </c>
      <c r="C214" s="952" t="s">
        <v>719</v>
      </c>
      <c r="D214" s="582" t="s">
        <v>720</v>
      </c>
      <c r="E214" s="580">
        <v>0</v>
      </c>
      <c r="F214" s="580">
        <v>0</v>
      </c>
      <c r="G214" s="558">
        <f>E214+F214</f>
        <v>0</v>
      </c>
      <c r="H214" s="547"/>
      <c r="I214" s="545"/>
      <c r="J214" s="545" t="s">
        <v>1100</v>
      </c>
      <c r="K214" s="545"/>
      <c r="L214" s="545"/>
      <c r="M214" s="545"/>
      <c r="N214" s="545"/>
      <c r="O214" s="545"/>
    </row>
    <row r="215" spans="1:15" ht="15">
      <c r="A215" s="679">
        <v>9</v>
      </c>
      <c r="C215" s="548" t="s">
        <v>1036</v>
      </c>
      <c r="D215" s="545"/>
      <c r="E215" s="552">
        <f>E212+E213+E214</f>
        <v>3166651235</v>
      </c>
      <c r="F215" s="552">
        <f>F212+F213+F214</f>
        <v>3154705080</v>
      </c>
      <c r="G215" s="552">
        <f>G212+G213+G214</f>
        <v>6321356315</v>
      </c>
      <c r="H215" s="545"/>
      <c r="I215" s="545"/>
      <c r="J215" s="545"/>
      <c r="K215" s="545"/>
      <c r="L215" s="545"/>
      <c r="M215" s="545"/>
      <c r="N215" s="545"/>
      <c r="O215" s="545"/>
    </row>
    <row r="216" spans="1:15" ht="15">
      <c r="A216" s="679"/>
      <c r="C216" s="548" t="s">
        <v>1100</v>
      </c>
      <c r="D216" s="545"/>
      <c r="E216" s="545"/>
      <c r="F216" s="545"/>
      <c r="H216" s="545"/>
      <c r="I216" s="545"/>
      <c r="J216" s="545"/>
      <c r="K216" s="545"/>
      <c r="L216" s="545" t="s">
        <v>1100</v>
      </c>
      <c r="M216" s="545" t="s">
        <v>1100</v>
      </c>
      <c r="N216" s="545"/>
      <c r="O216" s="545"/>
    </row>
    <row r="217" spans="1:15" ht="16.5" thickBot="1">
      <c r="A217" s="679"/>
      <c r="B217" s="589"/>
      <c r="C217" s="228" t="s">
        <v>721</v>
      </c>
      <c r="D217" s="545"/>
      <c r="E217" s="545"/>
      <c r="F217" s="545"/>
      <c r="G217" s="37"/>
      <c r="H217" s="545"/>
      <c r="I217" s="545"/>
      <c r="J217" s="545"/>
      <c r="K217" s="545"/>
      <c r="L217" s="574" t="s">
        <v>1308</v>
      </c>
      <c r="M217" s="545"/>
      <c r="N217" s="545"/>
      <c r="O217" s="545"/>
    </row>
    <row r="218" spans="1:15" ht="15">
      <c r="A218" s="679">
        <v>10</v>
      </c>
      <c r="B218" s="589"/>
      <c r="C218" s="546" t="s">
        <v>1364</v>
      </c>
      <c r="D218" s="545" t="s">
        <v>876</v>
      </c>
      <c r="E218" s="575">
        <v>78381093</v>
      </c>
      <c r="F218" s="575">
        <v>37833887</v>
      </c>
      <c r="G218" s="552">
        <f>F218+E218</f>
        <v>116214980</v>
      </c>
      <c r="H218" s="545"/>
      <c r="I218" s="545"/>
      <c r="J218" s="545"/>
      <c r="K218" s="545"/>
      <c r="L218" s="576"/>
      <c r="M218" s="545"/>
      <c r="N218" s="545"/>
      <c r="O218" s="545"/>
    </row>
    <row r="219" spans="1:15" ht="15">
      <c r="A219" s="679">
        <v>11</v>
      </c>
      <c r="B219" s="589"/>
      <c r="C219" s="546" t="s">
        <v>874</v>
      </c>
      <c r="D219" s="545" t="s">
        <v>877</v>
      </c>
      <c r="E219" s="577">
        <v>1913543</v>
      </c>
      <c r="F219" s="577">
        <v>571560</v>
      </c>
      <c r="G219" s="578">
        <f>F219+E219</f>
        <v>2485103</v>
      </c>
      <c r="H219" s="545"/>
      <c r="I219" s="545"/>
      <c r="J219" s="545"/>
      <c r="K219" s="545"/>
      <c r="L219" s="576"/>
      <c r="M219" s="545"/>
      <c r="N219" s="545"/>
      <c r="O219" s="545"/>
    </row>
    <row r="220" spans="1:15" ht="15">
      <c r="A220" s="679">
        <v>12</v>
      </c>
      <c r="B220" s="589"/>
      <c r="C220" s="546" t="s">
        <v>655</v>
      </c>
      <c r="D220" s="545" t="s">
        <v>878</v>
      </c>
      <c r="E220" s="577">
        <v>5008589</v>
      </c>
      <c r="F220" s="577">
        <v>503610</v>
      </c>
      <c r="G220" s="578">
        <f>F220+E220</f>
        <v>5512199</v>
      </c>
      <c r="H220" s="545"/>
      <c r="I220" s="545"/>
      <c r="J220" s="545"/>
      <c r="K220" s="545"/>
      <c r="L220" s="576"/>
      <c r="M220" s="545"/>
      <c r="N220" s="545"/>
      <c r="O220" s="545"/>
    </row>
    <row r="221" spans="1:15" ht="15">
      <c r="A221" s="679">
        <v>13</v>
      </c>
      <c r="B221" s="589"/>
      <c r="C221" s="546" t="s">
        <v>875</v>
      </c>
      <c r="D221" s="545" t="s">
        <v>879</v>
      </c>
      <c r="E221" s="579">
        <v>0</v>
      </c>
      <c r="F221" s="579">
        <v>0</v>
      </c>
      <c r="G221" s="578">
        <f>F221+E221</f>
        <v>0</v>
      </c>
      <c r="H221" s="547"/>
      <c r="I221" s="545"/>
      <c r="J221" s="545"/>
      <c r="K221" s="545"/>
      <c r="L221" s="576"/>
      <c r="M221" s="545"/>
      <c r="N221" s="545"/>
      <c r="O221" s="545"/>
    </row>
    <row r="222" spans="1:15" ht="15.75" thickBot="1">
      <c r="A222" s="679">
        <v>14</v>
      </c>
      <c r="B222" s="589"/>
      <c r="C222" s="546" t="s">
        <v>656</v>
      </c>
      <c r="D222" s="582" t="s">
        <v>880</v>
      </c>
      <c r="E222" s="580">
        <v>0</v>
      </c>
      <c r="F222" s="580">
        <v>0</v>
      </c>
      <c r="G222" s="581">
        <f>F222+E222</f>
        <v>0</v>
      </c>
      <c r="H222" s="547"/>
      <c r="I222" s="545"/>
      <c r="J222" s="545"/>
      <c r="K222" s="545"/>
      <c r="L222" s="576"/>
      <c r="M222" s="545"/>
      <c r="N222" s="545"/>
      <c r="O222" s="545"/>
    </row>
    <row r="223" spans="1:15" ht="15">
      <c r="A223" s="723">
        <v>15</v>
      </c>
      <c r="B223" s="589"/>
      <c r="C223" s="726" t="s">
        <v>1037</v>
      </c>
      <c r="D223" s="698"/>
      <c r="E223" s="583">
        <f>SUM(E218:E220)-E221-E222</f>
        <v>85303225</v>
      </c>
      <c r="F223" s="583">
        <f>SUM(F218:F220)-F221-F222</f>
        <v>38909057</v>
      </c>
      <c r="G223" s="583">
        <f>SUM(G218:G220)-G221-G222</f>
        <v>124212282</v>
      </c>
      <c r="H223" s="545"/>
      <c r="I223" s="545"/>
      <c r="J223" s="584"/>
      <c r="K223" s="545"/>
      <c r="L223" s="585">
        <f>G223</f>
        <v>124212282</v>
      </c>
      <c r="M223" s="545"/>
      <c r="N223" s="545"/>
      <c r="O223" s="545"/>
    </row>
    <row r="224" spans="1:15" ht="15">
      <c r="A224" s="679"/>
      <c r="C224" s="548"/>
      <c r="D224" s="545"/>
      <c r="E224" s="545"/>
      <c r="F224" s="545"/>
      <c r="G224" s="545"/>
      <c r="H224" s="545"/>
      <c r="I224" s="545"/>
      <c r="J224" s="545"/>
      <c r="K224" s="545"/>
      <c r="L224" s="545"/>
      <c r="M224" s="545"/>
      <c r="N224" s="545"/>
      <c r="O224" s="545"/>
    </row>
    <row r="225" spans="1:15" ht="15">
      <c r="A225" s="679">
        <v>16</v>
      </c>
      <c r="B225" s="589"/>
      <c r="C225" s="987"/>
      <c r="D225" s="726" t="s">
        <v>844</v>
      </c>
      <c r="E225" s="575">
        <v>969793</v>
      </c>
      <c r="F225" s="575">
        <v>0</v>
      </c>
      <c r="G225" s="552">
        <f>F225+E225</f>
        <v>969793</v>
      </c>
      <c r="H225" s="547"/>
      <c r="I225" s="545"/>
      <c r="J225" s="545"/>
      <c r="K225" s="547"/>
      <c r="L225" s="552">
        <f>G225</f>
        <v>969793</v>
      </c>
      <c r="M225" s="545"/>
      <c r="N225" s="545"/>
      <c r="O225" s="545"/>
    </row>
    <row r="226" spans="1:15" ht="15">
      <c r="A226" s="679"/>
      <c r="B226" s="589"/>
      <c r="C226" s="546"/>
      <c r="D226" s="545"/>
      <c r="E226" s="545"/>
      <c r="F226" s="545"/>
      <c r="G226" s="545"/>
      <c r="H226" s="545"/>
      <c r="I226" s="545"/>
      <c r="J226" s="545"/>
      <c r="K226" s="545"/>
      <c r="L226" s="545"/>
      <c r="M226" s="545"/>
      <c r="N226" s="545"/>
      <c r="O226" s="545"/>
    </row>
    <row r="227" spans="1:15" ht="15">
      <c r="A227" s="679"/>
      <c r="B227" s="589"/>
      <c r="C227" s="546" t="s">
        <v>1717</v>
      </c>
      <c r="D227" s="545"/>
      <c r="E227" s="545"/>
      <c r="F227" s="545"/>
      <c r="G227" s="545"/>
      <c r="H227" s="545"/>
      <c r="I227" s="545"/>
      <c r="J227" s="545"/>
      <c r="K227" s="545"/>
      <c r="L227" s="545"/>
      <c r="M227" s="545"/>
      <c r="N227" s="545"/>
      <c r="O227" s="545"/>
    </row>
    <row r="228" spans="1:15" ht="15">
      <c r="A228" s="679">
        <v>17</v>
      </c>
      <c r="B228" s="589"/>
      <c r="C228" s="546"/>
      <c r="D228" s="547" t="s">
        <v>597</v>
      </c>
      <c r="E228" s="1186">
        <v>2211002873</v>
      </c>
      <c r="F228" s="550"/>
      <c r="G228" s="552">
        <f>F228+E228</f>
        <v>2211002873</v>
      </c>
      <c r="H228" s="545"/>
      <c r="I228" s="545"/>
      <c r="J228" s="545"/>
      <c r="K228" s="545"/>
      <c r="L228" s="550">
        <f>G228</f>
        <v>2211002873</v>
      </c>
      <c r="M228" s="545"/>
      <c r="N228" s="545"/>
      <c r="O228" s="545"/>
    </row>
    <row r="229" spans="1:15" ht="15">
      <c r="A229" s="679">
        <v>18</v>
      </c>
      <c r="B229" s="589"/>
      <c r="C229" s="546"/>
      <c r="D229" s="545" t="s">
        <v>598</v>
      </c>
      <c r="E229" s="545"/>
      <c r="F229" s="545"/>
      <c r="G229" s="545"/>
      <c r="H229" s="545"/>
      <c r="I229" s="545"/>
      <c r="J229" s="545"/>
      <c r="K229" s="545"/>
      <c r="L229" s="587">
        <f>-G235</f>
        <v>-21436300</v>
      </c>
      <c r="M229" s="545"/>
      <c r="N229" s="545"/>
      <c r="O229" s="545"/>
    </row>
    <row r="230" spans="1:15" ht="15.75" thickBot="1">
      <c r="A230" s="679">
        <v>19</v>
      </c>
      <c r="B230" s="589"/>
      <c r="C230" s="987"/>
      <c r="D230" s="547" t="s">
        <v>659</v>
      </c>
      <c r="F230" s="547"/>
      <c r="G230" s="547"/>
      <c r="H230" s="547"/>
      <c r="I230" s="547"/>
      <c r="J230" s="547"/>
      <c r="K230" s="545"/>
      <c r="L230" s="588">
        <v>0</v>
      </c>
      <c r="M230" s="1314" t="s">
        <v>1531</v>
      </c>
      <c r="N230" s="545"/>
      <c r="O230" s="545"/>
    </row>
    <row r="231" spans="1:15" ht="15">
      <c r="A231" s="679">
        <v>20</v>
      </c>
      <c r="B231" s="589"/>
      <c r="C231" s="589"/>
      <c r="D231" s="545" t="s">
        <v>1718</v>
      </c>
      <c r="E231" s="589" t="s">
        <v>1038</v>
      </c>
      <c r="F231" s="545"/>
      <c r="H231" s="589"/>
      <c r="I231" s="589"/>
      <c r="J231" s="589"/>
      <c r="K231" s="589"/>
      <c r="L231" s="552">
        <f>+L228+L229+L230</f>
        <v>2189566573</v>
      </c>
      <c r="M231" s="545"/>
      <c r="N231" s="545"/>
      <c r="O231" s="545"/>
    </row>
    <row r="232" spans="1:15" ht="15">
      <c r="A232" s="723"/>
      <c r="C232" s="548"/>
      <c r="D232" s="545"/>
      <c r="E232" s="545"/>
      <c r="F232" s="545"/>
      <c r="G232" s="545"/>
      <c r="H232" s="545"/>
      <c r="I232" s="545"/>
      <c r="J232" s="590" t="s">
        <v>1719</v>
      </c>
      <c r="K232" s="545"/>
      <c r="L232" s="545"/>
      <c r="M232" s="545"/>
      <c r="N232" s="545"/>
      <c r="O232" s="545"/>
    </row>
    <row r="233" spans="1:15" ht="16.5" thickBot="1">
      <c r="A233" s="723"/>
      <c r="C233" s="548"/>
      <c r="D233" s="37"/>
      <c r="E233" s="223" t="s">
        <v>28</v>
      </c>
      <c r="F233" s="223" t="s">
        <v>29</v>
      </c>
      <c r="G233" s="591" t="s">
        <v>1308</v>
      </c>
      <c r="H233" s="591" t="s">
        <v>1720</v>
      </c>
      <c r="I233" s="545"/>
      <c r="J233" s="591" t="s">
        <v>232</v>
      </c>
      <c r="K233" s="545"/>
      <c r="L233" s="591" t="s">
        <v>1721</v>
      </c>
      <c r="M233" s="545"/>
      <c r="N233" s="545"/>
      <c r="O233" s="545"/>
    </row>
    <row r="234" spans="1:15" ht="15">
      <c r="A234" s="723">
        <v>21</v>
      </c>
      <c r="B234" s="589"/>
      <c r="C234" s="687" t="s">
        <v>53</v>
      </c>
      <c r="E234" s="1302">
        <f>1483715000+0+147772377</f>
        <v>1631487377</v>
      </c>
      <c r="F234" s="1302">
        <v>712402500</v>
      </c>
      <c r="G234" s="604">
        <f>E234+F234</f>
        <v>2343889877</v>
      </c>
      <c r="H234" s="592">
        <f>IF($G$237&gt;0,G234/$G$237,0)</f>
        <v>0.5145872813360973</v>
      </c>
      <c r="I234" s="593"/>
      <c r="J234" s="594">
        <f>IF(G234&gt;0,L223/G234,0)</f>
        <v>0.05299407758822792</v>
      </c>
      <c r="L234" s="595">
        <f>J234*H234</f>
        <v>0.02727007831304041</v>
      </c>
      <c r="M234" s="596" t="s">
        <v>1722</v>
      </c>
      <c r="O234" s="545"/>
    </row>
    <row r="235" spans="1:15" ht="15">
      <c r="A235" s="723">
        <v>22</v>
      </c>
      <c r="B235" s="589"/>
      <c r="C235" s="687" t="s">
        <v>882</v>
      </c>
      <c r="E235" s="1039">
        <v>21436300</v>
      </c>
      <c r="F235" s="597">
        <v>0</v>
      </c>
      <c r="G235" s="605">
        <f>E235+F235</f>
        <v>21436300</v>
      </c>
      <c r="H235" s="598">
        <f>IF($G$237&gt;0,G235/$G$237,0)</f>
        <v>0.0047062139937323446</v>
      </c>
      <c r="I235" s="593"/>
      <c r="J235" s="594">
        <f>IF(G235&gt;0,L225/G235,0)</f>
        <v>0.04524068985785793</v>
      </c>
      <c r="L235" s="595">
        <f>J235*H235</f>
        <v>0.00021291236769515595</v>
      </c>
      <c r="M235" s="545"/>
      <c r="O235" s="545"/>
    </row>
    <row r="236" spans="1:15" ht="15.75" thickBot="1">
      <c r="A236" s="723">
        <v>23</v>
      </c>
      <c r="B236" s="589"/>
      <c r="C236" s="687" t="s">
        <v>883</v>
      </c>
      <c r="D236" s="547"/>
      <c r="E236" s="599">
        <f>+L231</f>
        <v>2189566573</v>
      </c>
      <c r="F236" s="600">
        <v>0</v>
      </c>
      <c r="G236" s="606">
        <f>E236+F236</f>
        <v>2189566573</v>
      </c>
      <c r="H236" s="601">
        <f>IF($G$237&gt;0,G236/$G$237,0)</f>
        <v>0.48070650467017034</v>
      </c>
      <c r="I236" s="593"/>
      <c r="J236" s="594">
        <v>0.113</v>
      </c>
      <c r="L236" s="602">
        <f>J236*H236</f>
        <v>0.05431983502772925</v>
      </c>
      <c r="M236" s="545"/>
      <c r="O236" s="545"/>
    </row>
    <row r="237" spans="1:15" ht="15">
      <c r="A237" s="723">
        <v>24</v>
      </c>
      <c r="B237" s="589"/>
      <c r="C237" s="1055" t="s">
        <v>93</v>
      </c>
      <c r="G237" s="552">
        <f>G236+G235+G234</f>
        <v>4554892750</v>
      </c>
      <c r="H237" s="603">
        <f>SUM(H234:H236)</f>
        <v>1</v>
      </c>
      <c r="I237" s="545"/>
      <c r="J237" s="545"/>
      <c r="K237" s="545"/>
      <c r="L237" s="595">
        <f>SUM(L234:L236)</f>
        <v>0.08180282570846481</v>
      </c>
      <c r="M237" s="596" t="s">
        <v>1723</v>
      </c>
      <c r="O237" s="545"/>
    </row>
    <row r="238" spans="1:15" ht="15">
      <c r="A238" s="723"/>
      <c r="C238" s="548"/>
      <c r="G238" s="545"/>
      <c r="H238" s="545"/>
      <c r="I238" s="545"/>
      <c r="J238" s="545"/>
      <c r="K238" s="545"/>
      <c r="L238" s="595"/>
      <c r="M238" s="596"/>
      <c r="O238" s="545"/>
    </row>
    <row r="239" spans="1:15" ht="15.75">
      <c r="A239" s="723"/>
      <c r="B239" s="544"/>
      <c r="C239" s="30" t="s">
        <v>1169</v>
      </c>
      <c r="D239" s="544"/>
      <c r="E239" s="544"/>
      <c r="F239" s="544"/>
      <c r="G239" s="547"/>
      <c r="H239" s="547"/>
      <c r="I239" s="547"/>
      <c r="J239" s="547"/>
      <c r="K239" s="545"/>
      <c r="L239" s="595"/>
      <c r="M239" s="596"/>
      <c r="O239" s="545"/>
    </row>
    <row r="240" spans="1:15" ht="15">
      <c r="A240" s="702">
        <v>25</v>
      </c>
      <c r="B240" s="702"/>
      <c r="C240" s="560" t="s">
        <v>1397</v>
      </c>
      <c r="D240" s="544" t="s">
        <v>635</v>
      </c>
      <c r="E240" s="1056"/>
      <c r="F240" s="1056"/>
      <c r="G240" s="550">
        <f>+'A-11 (Incentive Plant)'!C19</f>
        <v>88584002</v>
      </c>
      <c r="H240" s="547"/>
      <c r="I240" s="547"/>
      <c r="J240" s="547"/>
      <c r="K240" s="545"/>
      <c r="L240" s="595"/>
      <c r="M240" s="596"/>
      <c r="O240" s="545"/>
    </row>
    <row r="241" spans="1:15" ht="15.75" thickBot="1">
      <c r="A241" s="702">
        <v>26</v>
      </c>
      <c r="B241" s="702"/>
      <c r="C241" s="560" t="s">
        <v>1398</v>
      </c>
      <c r="D241" s="544" t="s">
        <v>635</v>
      </c>
      <c r="E241" s="599"/>
      <c r="F241" s="599"/>
      <c r="G241" s="549">
        <f>+'A-11 (Incentive Plant)'!D19</f>
        <v>86882</v>
      </c>
      <c r="H241" s="547"/>
      <c r="I241" s="547"/>
      <c r="J241" s="547"/>
      <c r="K241" s="545"/>
      <c r="L241" s="595"/>
      <c r="M241" s="596"/>
      <c r="O241" s="545"/>
    </row>
    <row r="242" spans="1:15" ht="15">
      <c r="A242" s="702">
        <v>27</v>
      </c>
      <c r="B242" s="702"/>
      <c r="C242" s="560" t="s">
        <v>1098</v>
      </c>
      <c r="D242" s="1057" t="s">
        <v>155</v>
      </c>
      <c r="E242" s="656"/>
      <c r="F242" s="656"/>
      <c r="G242" s="550">
        <f>G240-G241</f>
        <v>88497120</v>
      </c>
      <c r="H242" s="547"/>
      <c r="I242" s="547"/>
      <c r="J242" s="547"/>
      <c r="K242" s="545"/>
      <c r="L242" s="595"/>
      <c r="M242" s="596"/>
      <c r="O242" s="545"/>
    </row>
    <row r="243" spans="1:15" ht="15">
      <c r="A243" s="702"/>
      <c r="B243" s="702"/>
      <c r="C243" s="560"/>
      <c r="D243" s="544"/>
      <c r="E243" s="544"/>
      <c r="F243" s="544"/>
      <c r="G243" s="547"/>
      <c r="H243" s="547"/>
      <c r="I243" s="547"/>
      <c r="J243" s="547"/>
      <c r="K243" s="545"/>
      <c r="L243" s="595"/>
      <c r="M243" s="596"/>
      <c r="O243" s="589"/>
    </row>
    <row r="244" spans="1:15" ht="15">
      <c r="A244" s="702">
        <v>28</v>
      </c>
      <c r="B244" s="702"/>
      <c r="C244" s="560" t="s">
        <v>1169</v>
      </c>
      <c r="D244" s="544" t="s">
        <v>635</v>
      </c>
      <c r="E244" s="544"/>
      <c r="F244" s="544"/>
      <c r="G244" s="544"/>
      <c r="H244" s="547"/>
      <c r="I244" s="547"/>
      <c r="J244" s="550">
        <f>+'A-11 (Incentive Plant)'!F19</f>
        <v>425411.41</v>
      </c>
      <c r="K244" s="545"/>
      <c r="L244" s="595"/>
      <c r="M244" s="596"/>
      <c r="O244" s="589"/>
    </row>
    <row r="245" spans="1:15" ht="15">
      <c r="A245" s="679"/>
      <c r="B245" s="589"/>
      <c r="C245" s="989"/>
      <c r="D245" s="1432" t="str">
        <f>+D1</f>
        <v>     Rate Formula Template</v>
      </c>
      <c r="E245" s="1432"/>
      <c r="F245" s="1432"/>
      <c r="G245" s="1433"/>
      <c r="H245" s="1433"/>
      <c r="I245" s="545"/>
      <c r="M245" s="990"/>
      <c r="N245" s="697" t="str">
        <f>+N1</f>
        <v>Actual Gross Rev</v>
      </c>
      <c r="O245" s="589"/>
    </row>
    <row r="246" spans="1:15" ht="15">
      <c r="A246" s="679"/>
      <c r="B246" s="589"/>
      <c r="C246" s="989"/>
      <c r="D246" s="1432" t="str">
        <f>+D2</f>
        <v> Utilizing FERC Form 1 Data</v>
      </c>
      <c r="E246" s="1432"/>
      <c r="F246" s="1432"/>
      <c r="G246" s="1433"/>
      <c r="H246" s="1433"/>
      <c r="I246" s="545"/>
      <c r="J246" s="545"/>
      <c r="M246" s="990"/>
      <c r="N246" s="991" t="s">
        <v>27</v>
      </c>
      <c r="O246" s="589"/>
    </row>
    <row r="247" spans="1:15" ht="15">
      <c r="A247" s="679"/>
      <c r="B247" s="589"/>
      <c r="C247" s="989"/>
      <c r="D247" s="1432" t="str">
        <f>+D3</f>
        <v>Actual Gross Revenue Requirements</v>
      </c>
      <c r="E247" s="1432"/>
      <c r="F247" s="1432"/>
      <c r="G247" s="1433"/>
      <c r="H247" s="1433"/>
      <c r="I247" s="545"/>
      <c r="J247" s="545"/>
      <c r="M247" s="990"/>
      <c r="N247" s="991"/>
      <c r="O247" s="589"/>
    </row>
    <row r="248" spans="1:15" ht="15">
      <c r="A248" s="679"/>
      <c r="B248" s="589"/>
      <c r="C248" s="989"/>
      <c r="D248" s="1432" t="str">
        <f>+D4</f>
        <v>For the 12 months ended - December 31, 2008</v>
      </c>
      <c r="E248" s="1432"/>
      <c r="F248" s="1432"/>
      <c r="G248" s="1433"/>
      <c r="H248" s="1433"/>
      <c r="I248" s="545"/>
      <c r="J248" s="545"/>
      <c r="K248" s="992"/>
      <c r="M248" s="990"/>
      <c r="O248" s="589"/>
    </row>
    <row r="249" spans="1:15" ht="6" customHeight="1">
      <c r="A249" s="679"/>
      <c r="B249" s="589"/>
      <c r="C249" s="989"/>
      <c r="D249" s="679"/>
      <c r="E249" s="679"/>
      <c r="F249" s="679"/>
      <c r="G249" s="545"/>
      <c r="H249" s="545"/>
      <c r="I249" s="545"/>
      <c r="J249" s="545"/>
      <c r="K249" s="992"/>
      <c r="M249" s="990"/>
      <c r="N249" s="993"/>
      <c r="O249" s="589"/>
    </row>
    <row r="250" spans="1:15" ht="15">
      <c r="A250" s="679"/>
      <c r="B250" s="589"/>
      <c r="C250" s="989"/>
      <c r="D250" s="1404" t="str">
        <f>+D$6</f>
        <v>WESTAR ENERGY, INC. (Westar Energy and Kansas Gas and Electric)</v>
      </c>
      <c r="E250" s="1404"/>
      <c r="F250" s="1404"/>
      <c r="G250" s="1405"/>
      <c r="H250" s="1405"/>
      <c r="I250" s="545"/>
      <c r="J250" s="545"/>
      <c r="K250" s="589"/>
      <c r="M250" s="990"/>
      <c r="N250" s="993"/>
      <c r="O250" s="589"/>
    </row>
    <row r="251" spans="1:15" ht="15">
      <c r="A251" s="679"/>
      <c r="B251" s="589"/>
      <c r="C251" s="989"/>
      <c r="D251" s="1404" t="str">
        <f>+D$7</f>
        <v>(WESTAR)</v>
      </c>
      <c r="E251" s="1404"/>
      <c r="F251" s="1404"/>
      <c r="G251" s="1405"/>
      <c r="H251" s="1405"/>
      <c r="I251" s="545"/>
      <c r="J251" s="545"/>
      <c r="K251" s="589"/>
      <c r="L251" s="992"/>
      <c r="M251" s="990"/>
      <c r="N251" s="993"/>
      <c r="O251" s="589"/>
    </row>
    <row r="252" spans="1:15" ht="6" customHeight="1">
      <c r="A252" s="679"/>
      <c r="B252" s="589"/>
      <c r="C252" s="989"/>
      <c r="D252" s="679"/>
      <c r="E252" s="679"/>
      <c r="F252" s="679"/>
      <c r="G252" s="590"/>
      <c r="H252" s="545"/>
      <c r="I252" s="545"/>
      <c r="J252" s="545"/>
      <c r="K252" s="589"/>
      <c r="L252" s="992"/>
      <c r="M252" s="990"/>
      <c r="N252" s="993"/>
      <c r="O252" s="589"/>
    </row>
    <row r="253" spans="2:15" ht="15.75">
      <c r="B253" s="589"/>
      <c r="C253" s="989"/>
      <c r="D253" s="1406" t="s">
        <v>16</v>
      </c>
      <c r="E253" s="1406"/>
      <c r="F253" s="1406"/>
      <c r="G253" s="1433"/>
      <c r="H253" s="1433"/>
      <c r="I253" s="545"/>
      <c r="J253" s="545"/>
      <c r="K253" s="589"/>
      <c r="L253" s="992"/>
      <c r="M253" s="990"/>
      <c r="N253" s="993"/>
      <c r="O253" s="589"/>
    </row>
    <row r="254" spans="1:15" ht="15.75">
      <c r="A254" s="546" t="s">
        <v>427</v>
      </c>
      <c r="B254" s="589"/>
      <c r="C254" s="989"/>
      <c r="D254" s="679"/>
      <c r="E254" s="679"/>
      <c r="F254" s="679"/>
      <c r="G254" s="14"/>
      <c r="H254" s="545"/>
      <c r="I254" s="545"/>
      <c r="J254" s="545"/>
      <c r="K254" s="589"/>
      <c r="L254" s="992"/>
      <c r="M254" s="990"/>
      <c r="N254" s="993"/>
      <c r="O254" s="589"/>
    </row>
    <row r="255" spans="1:15" ht="15">
      <c r="A255" s="546" t="s">
        <v>42</v>
      </c>
      <c r="B255" s="589"/>
      <c r="C255" s="546"/>
      <c r="D255" s="679"/>
      <c r="E255" s="679"/>
      <c r="F255" s="679"/>
      <c r="G255" s="545"/>
      <c r="H255" s="545"/>
      <c r="I255" s="545"/>
      <c r="J255" s="545"/>
      <c r="K255" s="589"/>
      <c r="L255" s="545"/>
      <c r="M255" s="589"/>
      <c r="N255" s="545"/>
      <c r="O255" s="944"/>
    </row>
    <row r="256" spans="1:15" ht="15">
      <c r="A256" s="679" t="s">
        <v>1725</v>
      </c>
      <c r="B256" s="589"/>
      <c r="D256" s="679"/>
      <c r="E256" s="679"/>
      <c r="F256" s="679"/>
      <c r="G256" s="545"/>
      <c r="H256" s="545"/>
      <c r="I256" s="545"/>
      <c r="J256" s="545"/>
      <c r="K256" s="589"/>
      <c r="L256" s="545"/>
      <c r="M256" s="589"/>
      <c r="N256" s="545"/>
      <c r="O256" s="944"/>
    </row>
    <row r="257" spans="1:15" ht="15.75" thickBot="1">
      <c r="A257" s="591" t="s">
        <v>1726</v>
      </c>
      <c r="B257" s="589"/>
      <c r="C257" s="546"/>
      <c r="D257" s="589"/>
      <c r="E257" s="589"/>
      <c r="F257" s="589"/>
      <c r="G257" s="545"/>
      <c r="H257" s="545"/>
      <c r="I257" s="545"/>
      <c r="J257" s="545"/>
      <c r="K257" s="589"/>
      <c r="L257" s="545"/>
      <c r="M257" s="589"/>
      <c r="N257" s="545"/>
      <c r="O257" s="944"/>
    </row>
    <row r="258" spans="1:15" ht="15">
      <c r="A258" s="702" t="s">
        <v>1616</v>
      </c>
      <c r="B258" s="944"/>
      <c r="C258" s="944" t="s">
        <v>250</v>
      </c>
      <c r="D258" s="944"/>
      <c r="E258" s="944"/>
      <c r="F258" s="944"/>
      <c r="G258" s="944"/>
      <c r="H258" s="944"/>
      <c r="I258" s="944"/>
      <c r="J258" s="944"/>
      <c r="K258" s="944"/>
      <c r="L258" s="944"/>
      <c r="M258" s="944"/>
      <c r="N258" s="944"/>
      <c r="O258" s="944"/>
    </row>
    <row r="259" spans="1:15" ht="15">
      <c r="A259" s="679" t="s">
        <v>1596</v>
      </c>
      <c r="B259" s="589"/>
      <c r="C259" s="944" t="s">
        <v>1728</v>
      </c>
      <c r="D259" s="944"/>
      <c r="E259" s="944"/>
      <c r="F259" s="944"/>
      <c r="G259" s="944"/>
      <c r="H259" s="944"/>
      <c r="I259" s="944"/>
      <c r="J259" s="944"/>
      <c r="K259" s="944"/>
      <c r="L259" s="944"/>
      <c r="M259" s="944"/>
      <c r="N259" s="944"/>
      <c r="O259" s="944"/>
    </row>
    <row r="260" spans="1:15" ht="15">
      <c r="A260" s="679" t="s">
        <v>191</v>
      </c>
      <c r="B260" s="589"/>
      <c r="C260" s="944" t="s">
        <v>273</v>
      </c>
      <c r="D260" s="944"/>
      <c r="E260" s="944"/>
      <c r="F260" s="944"/>
      <c r="G260" s="944"/>
      <c r="H260" s="944"/>
      <c r="I260" s="944"/>
      <c r="J260" s="944"/>
      <c r="K260" s="944"/>
      <c r="L260" s="944"/>
      <c r="M260" s="944"/>
      <c r="N260" s="944"/>
      <c r="O260" s="944"/>
    </row>
    <row r="261" spans="1:15" ht="15">
      <c r="A261" s="679"/>
      <c r="B261" s="589"/>
      <c r="C261" s="944" t="s">
        <v>400</v>
      </c>
      <c r="D261" s="944"/>
      <c r="E261" s="944"/>
      <c r="F261" s="944"/>
      <c r="G261" s="944"/>
      <c r="H261" s="944"/>
      <c r="I261" s="944"/>
      <c r="J261" s="944"/>
      <c r="K261" s="944"/>
      <c r="L261" s="944"/>
      <c r="M261" s="944"/>
      <c r="N261" s="944"/>
      <c r="O261" s="944"/>
    </row>
    <row r="262" spans="1:15" ht="15">
      <c r="A262" s="699" t="s">
        <v>194</v>
      </c>
      <c r="C262" s="917" t="s">
        <v>251</v>
      </c>
      <c r="D262" s="917"/>
      <c r="E262" s="917"/>
      <c r="F262" s="917"/>
      <c r="G262" s="917"/>
      <c r="H262" s="944"/>
      <c r="I262" s="944"/>
      <c r="J262" s="944"/>
      <c r="K262" s="944"/>
      <c r="L262" s="944"/>
      <c r="M262" s="944"/>
      <c r="N262" s="944"/>
      <c r="O262" s="944"/>
    </row>
    <row r="263" spans="1:15" ht="15">
      <c r="A263" s="699" t="s">
        <v>192</v>
      </c>
      <c r="C263" s="917" t="s">
        <v>1087</v>
      </c>
      <c r="D263" s="917"/>
      <c r="E263" s="917"/>
      <c r="F263" s="917"/>
      <c r="G263" s="917"/>
      <c r="H263" s="917"/>
      <c r="I263" s="917"/>
      <c r="J263" s="917"/>
      <c r="K263" s="917"/>
      <c r="L263" s="917"/>
      <c r="M263" s="917"/>
      <c r="N263" s="944"/>
      <c r="O263" s="944"/>
    </row>
    <row r="264" spans="1:15" ht="15">
      <c r="A264" s="679" t="s">
        <v>193</v>
      </c>
      <c r="B264" s="589"/>
      <c r="C264" s="944" t="s">
        <v>492</v>
      </c>
      <c r="D264" s="944"/>
      <c r="E264" s="944"/>
      <c r="F264" s="944"/>
      <c r="G264" s="944"/>
      <c r="H264" s="944"/>
      <c r="I264" s="944"/>
      <c r="J264" s="944"/>
      <c r="K264" s="944"/>
      <c r="L264" s="944"/>
      <c r="M264" s="944"/>
      <c r="N264" s="944"/>
      <c r="O264" s="944"/>
    </row>
    <row r="265" spans="1:15" ht="15">
      <c r="A265" s="679"/>
      <c r="B265" s="589"/>
      <c r="C265" s="944" t="s">
        <v>1773</v>
      </c>
      <c r="D265" s="944"/>
      <c r="E265" s="944"/>
      <c r="F265" s="944"/>
      <c r="G265" s="944"/>
      <c r="H265" s="944"/>
      <c r="I265" s="944"/>
      <c r="J265" s="944"/>
      <c r="K265" s="944"/>
      <c r="L265" s="944"/>
      <c r="M265" s="944"/>
      <c r="N265" s="944"/>
      <c r="O265" s="944"/>
    </row>
    <row r="266" spans="1:15" ht="15">
      <c r="A266" s="679" t="s">
        <v>1100</v>
      </c>
      <c r="B266" s="589"/>
      <c r="C266" s="544" t="s">
        <v>1772</v>
      </c>
      <c r="D266" s="944"/>
      <c r="E266" s="944"/>
      <c r="F266" s="944"/>
      <c r="G266" s="944"/>
      <c r="H266" s="944"/>
      <c r="I266" s="944"/>
      <c r="J266" s="944"/>
      <c r="K266" s="944"/>
      <c r="L266" s="944"/>
      <c r="M266" s="944"/>
      <c r="N266" s="944"/>
      <c r="O266" s="944"/>
    </row>
    <row r="267" spans="1:15" ht="15">
      <c r="A267" s="679"/>
      <c r="B267" s="589"/>
      <c r="C267" s="944" t="s">
        <v>1405</v>
      </c>
      <c r="D267" s="944"/>
      <c r="E267" s="944"/>
      <c r="F267" s="944"/>
      <c r="G267" s="944"/>
      <c r="H267" s="944"/>
      <c r="I267" s="944"/>
      <c r="J267" s="944"/>
      <c r="K267" s="944"/>
      <c r="L267" s="944"/>
      <c r="M267" s="944"/>
      <c r="N267" s="944"/>
      <c r="O267" s="944"/>
    </row>
    <row r="268" spans="1:15" ht="15">
      <c r="A268" s="679"/>
      <c r="B268" s="589"/>
      <c r="C268" s="944" t="s">
        <v>1774</v>
      </c>
      <c r="D268" s="944"/>
      <c r="E268" s="944"/>
      <c r="F268" s="944"/>
      <c r="G268" s="944"/>
      <c r="H268" s="944"/>
      <c r="I268" s="944"/>
      <c r="J268" s="944"/>
      <c r="K268" s="944"/>
      <c r="L268" s="944"/>
      <c r="M268" s="944"/>
      <c r="N268" s="944"/>
      <c r="O268" s="944"/>
    </row>
    <row r="269" spans="1:15" ht="15">
      <c r="A269" s="679" t="s">
        <v>1727</v>
      </c>
      <c r="B269" s="589"/>
      <c r="C269" s="944" t="s">
        <v>566</v>
      </c>
      <c r="D269" s="944"/>
      <c r="E269" s="944"/>
      <c r="F269" s="944"/>
      <c r="G269" s="944"/>
      <c r="H269" s="944"/>
      <c r="I269" s="944"/>
      <c r="J269" s="944"/>
      <c r="K269" s="944"/>
      <c r="L269" s="944"/>
      <c r="M269" s="944"/>
      <c r="N269" s="944"/>
      <c r="O269" s="944"/>
    </row>
    <row r="270" spans="1:15" ht="15">
      <c r="A270" s="679"/>
      <c r="B270" s="589"/>
      <c r="C270" s="944" t="s">
        <v>1505</v>
      </c>
      <c r="D270" s="944"/>
      <c r="E270" s="944"/>
      <c r="F270" s="944"/>
      <c r="G270" s="944"/>
      <c r="H270" s="944"/>
      <c r="I270" s="944"/>
      <c r="J270" s="944"/>
      <c r="K270" s="944"/>
      <c r="L270" s="944"/>
      <c r="M270" s="944"/>
      <c r="N270" s="944"/>
      <c r="O270" s="944"/>
    </row>
    <row r="271" spans="1:15" ht="15">
      <c r="A271" s="679" t="s">
        <v>1729</v>
      </c>
      <c r="B271" s="589"/>
      <c r="C271" s="944" t="s">
        <v>1506</v>
      </c>
      <c r="D271" s="944"/>
      <c r="E271" s="944"/>
      <c r="F271" s="944"/>
      <c r="G271" s="944"/>
      <c r="H271" s="944"/>
      <c r="I271" s="944"/>
      <c r="J271" s="944"/>
      <c r="K271" s="944"/>
      <c r="L271" s="944"/>
      <c r="M271" s="944"/>
      <c r="N271" s="944"/>
      <c r="O271" s="944"/>
    </row>
    <row r="272" spans="1:15" ht="15">
      <c r="A272" s="679"/>
      <c r="B272" s="589"/>
      <c r="C272" s="944" t="s">
        <v>1507</v>
      </c>
      <c r="D272" s="944"/>
      <c r="E272" s="944"/>
      <c r="F272" s="944"/>
      <c r="G272" s="944"/>
      <c r="H272" s="944"/>
      <c r="I272" s="944"/>
      <c r="J272" s="944"/>
      <c r="K272" s="944"/>
      <c r="L272" s="944"/>
      <c r="M272" s="944"/>
      <c r="N272" s="944"/>
      <c r="O272" s="944"/>
    </row>
    <row r="273" spans="1:15" ht="15">
      <c r="A273" s="679"/>
      <c r="B273" s="589"/>
      <c r="C273" s="944" t="s">
        <v>140</v>
      </c>
      <c r="D273" s="944"/>
      <c r="E273" s="944"/>
      <c r="F273" s="944"/>
      <c r="G273" s="944"/>
      <c r="H273" s="944"/>
      <c r="I273" s="944"/>
      <c r="J273" s="944"/>
      <c r="K273" s="944"/>
      <c r="L273" s="944"/>
      <c r="M273" s="944"/>
      <c r="N273" s="944"/>
      <c r="O273" s="944"/>
    </row>
    <row r="274" spans="1:15" ht="15">
      <c r="A274" s="679"/>
      <c r="B274" s="589"/>
      <c r="C274" s="23" t="s">
        <v>141</v>
      </c>
      <c r="D274" s="944"/>
      <c r="E274" s="944"/>
      <c r="F274" s="944"/>
      <c r="G274" s="944"/>
      <c r="H274" s="944"/>
      <c r="I274" s="944"/>
      <c r="J274" s="944"/>
      <c r="K274" s="944"/>
      <c r="L274" s="944"/>
      <c r="M274" s="944"/>
      <c r="N274" s="944"/>
      <c r="O274" s="944"/>
    </row>
    <row r="275" spans="1:15" s="10" customFormat="1" ht="15">
      <c r="A275" s="15" t="s">
        <v>1100</v>
      </c>
      <c r="B275" s="1241"/>
      <c r="C275" s="23" t="s">
        <v>774</v>
      </c>
      <c r="D275" s="1242" t="s">
        <v>1478</v>
      </c>
      <c r="E275" s="1243">
        <v>0.35</v>
      </c>
      <c r="F275" s="23"/>
      <c r="G275" s="23"/>
      <c r="H275" s="23"/>
      <c r="K275" s="23"/>
      <c r="L275" s="23"/>
      <c r="M275" s="23"/>
      <c r="N275" s="23"/>
      <c r="O275" s="23"/>
    </row>
    <row r="276" spans="1:15" s="10" customFormat="1" ht="15">
      <c r="A276" s="15"/>
      <c r="B276" s="1241"/>
      <c r="C276" s="23"/>
      <c r="D276" s="1242" t="s">
        <v>1479</v>
      </c>
      <c r="E276" s="1243">
        <v>0.071</v>
      </c>
      <c r="F276" s="23" t="s">
        <v>768</v>
      </c>
      <c r="G276" s="23"/>
      <c r="H276" s="23"/>
      <c r="K276" s="23"/>
      <c r="L276" s="23"/>
      <c r="M276" s="23"/>
      <c r="N276" s="23"/>
      <c r="O276" s="23"/>
    </row>
    <row r="277" spans="1:15" s="10" customFormat="1" ht="15">
      <c r="A277" s="15"/>
      <c r="B277" s="1241"/>
      <c r="C277" s="23"/>
      <c r="D277" s="1242" t="s">
        <v>769</v>
      </c>
      <c r="E277" s="1243">
        <v>0</v>
      </c>
      <c r="F277" s="23" t="s">
        <v>770</v>
      </c>
      <c r="G277" s="23"/>
      <c r="H277" s="23"/>
      <c r="K277" s="23"/>
      <c r="L277" s="23"/>
      <c r="M277" s="23"/>
      <c r="N277" s="23"/>
      <c r="O277" s="23"/>
    </row>
    <row r="278" spans="1:15" s="10" customFormat="1" ht="15">
      <c r="A278" s="15" t="s">
        <v>1730</v>
      </c>
      <c r="B278" s="1241"/>
      <c r="C278" s="23" t="s">
        <v>1508</v>
      </c>
      <c r="D278" s="23"/>
      <c r="E278" s="23"/>
      <c r="F278" s="23"/>
      <c r="G278" s="23"/>
      <c r="H278" s="23"/>
      <c r="I278" s="23"/>
      <c r="J278" s="23"/>
      <c r="K278" s="23"/>
      <c r="L278" s="23"/>
      <c r="M278" s="23"/>
      <c r="N278" s="23"/>
      <c r="O278" s="23"/>
    </row>
    <row r="279" spans="1:15" s="10" customFormat="1" ht="15">
      <c r="A279" s="203" t="s">
        <v>1731</v>
      </c>
      <c r="B279" s="1241"/>
      <c r="C279" s="1244" t="s">
        <v>1064</v>
      </c>
      <c r="D279" s="1241"/>
      <c r="E279" s="1241"/>
      <c r="F279" s="1241"/>
      <c r="G279" s="23"/>
      <c r="H279" s="23"/>
      <c r="I279" s="23"/>
      <c r="J279" s="23"/>
      <c r="K279" s="23"/>
      <c r="L279" s="23"/>
      <c r="M279" s="23"/>
      <c r="N279" s="23"/>
      <c r="O279" s="23"/>
    </row>
    <row r="280" spans="1:15" s="10" customFormat="1" ht="15">
      <c r="A280" s="15" t="s">
        <v>567</v>
      </c>
      <c r="B280" s="1241"/>
      <c r="C280" s="23" t="s">
        <v>1080</v>
      </c>
      <c r="D280" s="23"/>
      <c r="E280" s="23"/>
      <c r="F280" s="23"/>
      <c r="G280" s="23"/>
      <c r="H280" s="23"/>
      <c r="I280" s="23"/>
      <c r="J280" s="23"/>
      <c r="K280" s="23"/>
      <c r="L280" s="23"/>
      <c r="M280" s="23"/>
      <c r="N280" s="23"/>
      <c r="O280" s="23"/>
    </row>
    <row r="281" spans="1:15" s="10" customFormat="1" ht="15">
      <c r="A281" s="15"/>
      <c r="B281" s="1241"/>
      <c r="C281" s="23" t="s">
        <v>1161</v>
      </c>
      <c r="D281" s="23"/>
      <c r="E281" s="23"/>
      <c r="F281" s="23"/>
      <c r="G281" s="23"/>
      <c r="H281" s="23"/>
      <c r="I281" s="23"/>
      <c r="J281" s="23"/>
      <c r="K281" s="23"/>
      <c r="L281" s="23"/>
      <c r="M281" s="23"/>
      <c r="N281" s="23"/>
      <c r="O281" s="23"/>
    </row>
    <row r="282" spans="1:15" s="10" customFormat="1" ht="15">
      <c r="A282" s="15" t="s">
        <v>568</v>
      </c>
      <c r="B282" s="1241"/>
      <c r="C282" s="23" t="s">
        <v>1742</v>
      </c>
      <c r="D282" s="23"/>
      <c r="E282" s="23"/>
      <c r="F282" s="23"/>
      <c r="G282" s="23"/>
      <c r="H282" s="23"/>
      <c r="I282" s="23"/>
      <c r="J282" s="23"/>
      <c r="K282" s="23"/>
      <c r="L282" s="23"/>
      <c r="M282" s="23"/>
      <c r="N282" s="23"/>
      <c r="O282" s="23"/>
    </row>
    <row r="283" spans="1:15" s="10" customFormat="1" ht="15">
      <c r="A283" s="15" t="s">
        <v>569</v>
      </c>
      <c r="B283" s="1241"/>
      <c r="C283" s="23" t="s">
        <v>777</v>
      </c>
      <c r="D283" s="23"/>
      <c r="E283" s="23"/>
      <c r="F283" s="23"/>
      <c r="G283" s="23"/>
      <c r="H283" s="23"/>
      <c r="I283" s="23"/>
      <c r="J283" s="23"/>
      <c r="K283" s="23"/>
      <c r="L283" s="23"/>
      <c r="M283" s="23"/>
      <c r="N283" s="23"/>
      <c r="O283" s="23"/>
    </row>
    <row r="284" spans="1:15" s="10" customFormat="1" ht="15">
      <c r="A284" s="12" t="s">
        <v>570</v>
      </c>
      <c r="C284" s="28" t="s">
        <v>1155</v>
      </c>
      <c r="D284" s="28"/>
      <c r="E284" s="28"/>
      <c r="F284" s="28"/>
      <c r="G284" s="23"/>
      <c r="H284" s="23"/>
      <c r="I284" s="23"/>
      <c r="J284" s="23"/>
      <c r="K284" s="23"/>
      <c r="L284" s="23"/>
      <c r="M284" s="23"/>
      <c r="N284" s="23"/>
      <c r="O284" s="1"/>
    </row>
    <row r="285" spans="1:15" s="10" customFormat="1" ht="15">
      <c r="A285" s="15" t="s">
        <v>190</v>
      </c>
      <c r="B285" s="1241"/>
      <c r="C285" s="23" t="s">
        <v>668</v>
      </c>
      <c r="D285" s="23"/>
      <c r="E285" s="23"/>
      <c r="F285" s="23"/>
      <c r="G285" s="23"/>
      <c r="H285" s="23"/>
      <c r="I285" s="23"/>
      <c r="J285" s="29"/>
      <c r="K285" s="23"/>
      <c r="L285" s="23"/>
      <c r="M285" s="23"/>
      <c r="N285" s="23"/>
      <c r="O285" s="1"/>
    </row>
    <row r="286" spans="1:15" s="10" customFormat="1" ht="15">
      <c r="A286" s="15"/>
      <c r="B286" s="1241"/>
      <c r="C286" s="23" t="s">
        <v>156</v>
      </c>
      <c r="D286" s="23"/>
      <c r="E286" s="23"/>
      <c r="F286" s="23"/>
      <c r="G286" s="23"/>
      <c r="H286" s="23"/>
      <c r="I286" s="23"/>
      <c r="J286" s="29"/>
      <c r="K286" s="23"/>
      <c r="L286" s="23"/>
      <c r="M286" s="23"/>
      <c r="N286" s="23"/>
      <c r="O286" s="1"/>
    </row>
    <row r="287" spans="1:14" s="10" customFormat="1" ht="15">
      <c r="A287" s="15" t="s">
        <v>1682</v>
      </c>
      <c r="B287" s="1241"/>
      <c r="C287" s="23" t="s">
        <v>1190</v>
      </c>
      <c r="D287" s="23"/>
      <c r="E287" s="23"/>
      <c r="F287" s="23"/>
      <c r="G287" s="23"/>
      <c r="H287" s="23"/>
      <c r="I287" s="23"/>
      <c r="J287" s="23"/>
      <c r="K287" s="23"/>
      <c r="L287" s="23"/>
      <c r="M287" s="23"/>
      <c r="N287" s="23"/>
    </row>
    <row r="288" spans="1:14" s="10" customFormat="1" ht="15">
      <c r="A288" s="1245" t="s">
        <v>1471</v>
      </c>
      <c r="C288" s="74" t="s">
        <v>1191</v>
      </c>
      <c r="D288" s="74"/>
      <c r="E288" s="74"/>
      <c r="F288" s="74"/>
      <c r="G288" s="74"/>
      <c r="H288" s="74"/>
      <c r="J288" s="29"/>
      <c r="K288" s="29"/>
      <c r="L288" s="29"/>
      <c r="M288" s="29"/>
      <c r="N288" s="28"/>
    </row>
    <row r="289" spans="1:14" s="10" customFormat="1" ht="15">
      <c r="A289" s="998"/>
      <c r="C289" s="998"/>
      <c r="D289" s="998"/>
      <c r="E289" s="998"/>
      <c r="F289" s="1435" t="s">
        <v>135</v>
      </c>
      <c r="G289" s="1435"/>
      <c r="H289" s="74"/>
      <c r="J289" s="29"/>
      <c r="K289" s="29"/>
      <c r="L289" s="29"/>
      <c r="M289" s="29"/>
      <c r="N289" s="28"/>
    </row>
    <row r="290" spans="1:14" s="10" customFormat="1" ht="30">
      <c r="A290" s="998"/>
      <c r="C290" s="1246"/>
      <c r="D290" s="1247"/>
      <c r="F290" s="1248" t="s">
        <v>442</v>
      </c>
      <c r="G290" s="1249" t="s">
        <v>443</v>
      </c>
      <c r="H290" s="1249" t="s">
        <v>1776</v>
      </c>
      <c r="J290" s="29"/>
      <c r="K290" s="29"/>
      <c r="L290" s="29"/>
      <c r="M290" s="29"/>
      <c r="N290" s="28"/>
    </row>
    <row r="291" spans="1:14" s="10" customFormat="1" ht="15">
      <c r="A291" s="998"/>
      <c r="C291" s="998" t="s">
        <v>134</v>
      </c>
      <c r="G291" s="218"/>
      <c r="H291" s="74"/>
      <c r="J291" s="29"/>
      <c r="K291" s="29"/>
      <c r="L291" s="29"/>
      <c r="M291" s="29"/>
      <c r="N291" s="29"/>
    </row>
    <row r="292" spans="1:8" ht="15.75">
      <c r="A292" s="998"/>
      <c r="B292" s="10"/>
      <c r="C292" s="999" t="s">
        <v>136</v>
      </c>
      <c r="D292" s="10"/>
      <c r="E292" s="10"/>
      <c r="F292" s="219"/>
      <c r="G292" s="247"/>
      <c r="H292" s="193"/>
    </row>
    <row r="293" spans="1:8" ht="15.75">
      <c r="A293" s="995"/>
      <c r="C293" s="995" t="s">
        <v>137</v>
      </c>
      <c r="F293" s="1000"/>
      <c r="G293" s="1001"/>
      <c r="H293" s="193"/>
    </row>
    <row r="294" spans="1:8" ht="15">
      <c r="A294" s="995"/>
      <c r="C294" s="1002" t="s">
        <v>138</v>
      </c>
      <c r="F294" s="995">
        <v>2.68</v>
      </c>
      <c r="G294" s="1001">
        <v>6.67</v>
      </c>
      <c r="H294" s="1081">
        <v>0</v>
      </c>
    </row>
    <row r="295" spans="1:8" ht="15">
      <c r="A295" s="995"/>
      <c r="C295" s="1002" t="s">
        <v>139</v>
      </c>
      <c r="F295" s="995">
        <v>1.54</v>
      </c>
      <c r="G295" s="1001">
        <v>6.67</v>
      </c>
      <c r="H295" s="1081">
        <v>0</v>
      </c>
    </row>
    <row r="296" spans="1:8" ht="15">
      <c r="A296" s="995"/>
      <c r="C296" s="1002" t="s">
        <v>1192</v>
      </c>
      <c r="F296" s="995">
        <v>3.51</v>
      </c>
      <c r="G296" s="1001">
        <v>6.67</v>
      </c>
      <c r="H296" s="1081">
        <v>0</v>
      </c>
    </row>
    <row r="297" spans="1:12" ht="15">
      <c r="A297" s="995"/>
      <c r="C297" s="1002" t="s">
        <v>1193</v>
      </c>
      <c r="F297" s="995">
        <v>3.19</v>
      </c>
      <c r="G297" s="1001">
        <v>6.67</v>
      </c>
      <c r="H297" s="1082">
        <v>0</v>
      </c>
      <c r="L297" s="699"/>
    </row>
    <row r="298" spans="1:8" ht="15">
      <c r="A298" s="733"/>
      <c r="C298" s="1005" t="s">
        <v>1194</v>
      </c>
      <c r="F298" s="997">
        <v>2.05</v>
      </c>
      <c r="G298" s="1001">
        <v>6.67</v>
      </c>
      <c r="H298" s="1082">
        <v>0</v>
      </c>
    </row>
    <row r="299" spans="1:8" ht="15">
      <c r="A299" s="733"/>
      <c r="C299" s="1005" t="s">
        <v>1195</v>
      </c>
      <c r="F299" s="997">
        <v>1.5</v>
      </c>
      <c r="G299" s="1001">
        <v>6.67</v>
      </c>
      <c r="H299" s="1082">
        <v>0</v>
      </c>
    </row>
    <row r="300" spans="1:8" ht="15">
      <c r="A300" s="733"/>
      <c r="C300" s="1005" t="s">
        <v>1196</v>
      </c>
      <c r="F300" s="997">
        <v>2.1</v>
      </c>
      <c r="G300" s="1001">
        <v>6.67</v>
      </c>
      <c r="H300" s="1082">
        <v>0</v>
      </c>
    </row>
    <row r="301" spans="1:8" ht="15">
      <c r="A301" s="733"/>
      <c r="C301" s="1005" t="s">
        <v>1197</v>
      </c>
      <c r="F301" s="997">
        <v>1.56</v>
      </c>
      <c r="G301" s="1001">
        <v>6.67</v>
      </c>
      <c r="H301" s="1082">
        <v>0</v>
      </c>
    </row>
    <row r="302" spans="1:8" s="10" customFormat="1" ht="15">
      <c r="A302" s="733"/>
      <c r="B302" s="543"/>
      <c r="C302" s="1436" t="s">
        <v>1210</v>
      </c>
      <c r="D302" s="1437"/>
      <c r="E302" s="1437"/>
      <c r="F302" s="1437"/>
      <c r="G302" s="247"/>
      <c r="H302" s="202"/>
    </row>
    <row r="303" spans="1:14" s="10" customFormat="1" ht="15">
      <c r="A303" s="12" t="s">
        <v>1198</v>
      </c>
      <c r="C303" s="1006" t="s">
        <v>615</v>
      </c>
      <c r="D303" s="74"/>
      <c r="E303" s="74"/>
      <c r="F303" s="74"/>
      <c r="G303" s="154"/>
      <c r="H303" s="74"/>
      <c r="J303" s="29"/>
      <c r="K303" s="29"/>
      <c r="L303" s="29"/>
      <c r="M303" s="29"/>
      <c r="N303" s="29"/>
    </row>
    <row r="304" spans="1:14" ht="15.75">
      <c r="A304" s="74"/>
      <c r="B304" s="10"/>
      <c r="C304" s="1006" t="s">
        <v>186</v>
      </c>
      <c r="D304" s="74"/>
      <c r="E304" s="146" t="s">
        <v>28</v>
      </c>
      <c r="F304" s="146" t="s">
        <v>29</v>
      </c>
      <c r="G304" s="1067" t="s">
        <v>783</v>
      </c>
      <c r="H304" s="733"/>
      <c r="J304" s="544"/>
      <c r="K304" s="544"/>
      <c r="L304" s="544"/>
      <c r="M304" s="544"/>
      <c r="N304" s="544"/>
    </row>
    <row r="305" spans="1:14" ht="15.75">
      <c r="A305" s="733"/>
      <c r="C305" s="733" t="s">
        <v>1199</v>
      </c>
      <c r="E305" s="585">
        <v>9697558</v>
      </c>
      <c r="F305" s="585">
        <v>6642051</v>
      </c>
      <c r="G305" s="1007">
        <f>E305+F305</f>
        <v>16339609</v>
      </c>
      <c r="H305" s="193"/>
      <c r="J305" s="544"/>
      <c r="K305" s="544"/>
      <c r="L305" s="544"/>
      <c r="M305" s="544"/>
      <c r="N305" s="544"/>
    </row>
    <row r="306" spans="1:8" ht="7.5" customHeight="1">
      <c r="A306" s="699"/>
      <c r="C306" s="733"/>
      <c r="D306" s="733"/>
      <c r="E306" s="733"/>
      <c r="F306" s="733"/>
      <c r="G306" s="733"/>
      <c r="H306" s="733"/>
    </row>
    <row r="307" spans="1:8" ht="15">
      <c r="A307" s="699" t="s">
        <v>870</v>
      </c>
      <c r="C307" s="1000" t="s">
        <v>1564</v>
      </c>
      <c r="D307" s="1000"/>
      <c r="E307" s="1000"/>
      <c r="F307" s="1000"/>
      <c r="G307" s="1000"/>
      <c r="H307" s="1000"/>
    </row>
    <row r="308" spans="3:8" ht="15">
      <c r="C308" s="544" t="s">
        <v>1565</v>
      </c>
      <c r="D308" s="544"/>
      <c r="E308" s="544"/>
      <c r="F308" s="544"/>
      <c r="G308" s="544"/>
      <c r="H308" s="544"/>
    </row>
    <row r="309" spans="3:8" ht="15">
      <c r="C309" s="544" t="s">
        <v>1566</v>
      </c>
      <c r="D309" s="544"/>
      <c r="E309" s="544"/>
      <c r="F309" s="544"/>
      <c r="G309" s="544"/>
      <c r="H309" s="544"/>
    </row>
    <row r="310" spans="5:7" ht="15">
      <c r="E310" s="1250" t="s">
        <v>28</v>
      </c>
      <c r="F310" s="1250" t="s">
        <v>29</v>
      </c>
      <c r="G310" s="1250" t="s">
        <v>1106</v>
      </c>
    </row>
    <row r="311" spans="3:7" ht="15">
      <c r="C311" s="544" t="s">
        <v>1538</v>
      </c>
      <c r="D311" s="544"/>
      <c r="E311" s="544">
        <v>6758037.33</v>
      </c>
      <c r="F311" s="544">
        <v>0</v>
      </c>
      <c r="G311" s="544">
        <f>E311+F311</f>
        <v>6758037.33</v>
      </c>
    </row>
    <row r="312" spans="3:7" ht="15">
      <c r="C312" s="544" t="s">
        <v>1539</v>
      </c>
      <c r="D312" s="544"/>
      <c r="E312" s="865">
        <v>110358</v>
      </c>
      <c r="F312" s="865">
        <v>147615</v>
      </c>
      <c r="G312" s="865">
        <f>E312+F312</f>
        <v>257973</v>
      </c>
    </row>
    <row r="313" spans="3:7" ht="15">
      <c r="C313" s="543" t="s">
        <v>1540</v>
      </c>
      <c r="E313" s="543">
        <f>E311-E312</f>
        <v>6647679.33</v>
      </c>
      <c r="F313" s="543">
        <f>F311-F312</f>
        <v>-147615</v>
      </c>
      <c r="G313" s="543">
        <f>G311-G312</f>
        <v>6500064.33</v>
      </c>
    </row>
    <row r="314" ht="15">
      <c r="C314" s="543" t="s">
        <v>62</v>
      </c>
    </row>
  </sheetData>
  <sheetProtection/>
  <mergeCells count="35">
    <mergeCell ref="D193:H193"/>
    <mergeCell ref="D195:H195"/>
    <mergeCell ref="D187:H187"/>
    <mergeCell ref="D188:H188"/>
    <mergeCell ref="D190:H190"/>
    <mergeCell ref="D192:H192"/>
    <mergeCell ref="D129:H129"/>
    <mergeCell ref="D189:H189"/>
    <mergeCell ref="D7:H7"/>
    <mergeCell ref="D130:H130"/>
    <mergeCell ref="D132:H132"/>
    <mergeCell ref="D133:H133"/>
    <mergeCell ref="D65:H65"/>
    <mergeCell ref="D66:H66"/>
    <mergeCell ref="D127:H127"/>
    <mergeCell ref="D128:H128"/>
    <mergeCell ref="F289:G289"/>
    <mergeCell ref="C302:F302"/>
    <mergeCell ref="D135:H135"/>
    <mergeCell ref="D250:H250"/>
    <mergeCell ref="D251:H251"/>
    <mergeCell ref="D253:H253"/>
    <mergeCell ref="D245:H245"/>
    <mergeCell ref="D246:H246"/>
    <mergeCell ref="D248:H248"/>
    <mergeCell ref="D247:H247"/>
    <mergeCell ref="D1:H1"/>
    <mergeCell ref="D2:H2"/>
    <mergeCell ref="D4:H4"/>
    <mergeCell ref="D63:H63"/>
    <mergeCell ref="D6:H6"/>
    <mergeCell ref="D60:H60"/>
    <mergeCell ref="D61:H61"/>
    <mergeCell ref="D3:H3"/>
    <mergeCell ref="D62:H62"/>
  </mergeCells>
  <printOptions/>
  <pageMargins left="0.57" right="0.46" top="0.59" bottom="0.28" header="0.36" footer="0.31"/>
  <pageSetup fitToHeight="26" horizontalDpi="600" verticalDpi="600" orientation="landscape" scale="42" r:id="rId1"/>
  <headerFooter alignWithMargins="0">
    <oddFooter>&amp;L&amp;D&amp;R&amp;F</oddFooter>
  </headerFooter>
  <rowBreaks count="4" manualBreakCount="4">
    <brk id="59" max="255" man="1"/>
    <brk id="126" max="255" man="1"/>
    <brk id="186" max="255" man="1"/>
    <brk id="244" max="255" man="1"/>
  </rowBreaks>
</worksheet>
</file>

<file path=xl/worksheets/sheet4.xml><?xml version="1.0" encoding="utf-8"?>
<worksheet xmlns="http://schemas.openxmlformats.org/spreadsheetml/2006/main" xmlns:r="http://schemas.openxmlformats.org/officeDocument/2006/relationships">
  <sheetPr>
    <tabColor indexed="22"/>
  </sheetPr>
  <dimension ref="A1:AP163"/>
  <sheetViews>
    <sheetView zoomScalePageLayoutView="0" workbookViewId="0" topLeftCell="A1">
      <selection activeCell="A1" sqref="A1"/>
    </sheetView>
  </sheetViews>
  <sheetFormatPr defaultColWidth="8.88671875" defaultRowHeight="15"/>
  <cols>
    <col min="1" max="1" width="3.6640625" style="36" customWidth="1"/>
    <col min="2" max="2" width="6.5546875" style="36" customWidth="1"/>
    <col min="3" max="3" width="21.88671875" style="36" customWidth="1"/>
    <col min="4" max="4" width="2.10546875" style="36" customWidth="1"/>
    <col min="5" max="5" width="15.77734375" style="36" customWidth="1"/>
    <col min="6" max="6" width="14.77734375" style="36" customWidth="1"/>
    <col min="7" max="7" width="12.77734375" style="36" customWidth="1"/>
    <col min="8" max="8" width="12.88671875" style="36" customWidth="1"/>
    <col min="9" max="9" width="11.4453125" style="36" customWidth="1"/>
    <col min="10" max="10" width="12.4453125" style="36" customWidth="1"/>
    <col min="11" max="11" width="13.21484375" style="36" customWidth="1"/>
    <col min="12" max="12" width="11.77734375" style="36" customWidth="1"/>
    <col min="13" max="13" width="11.6640625" style="36" customWidth="1"/>
    <col min="14" max="14" width="12.77734375" style="36" customWidth="1"/>
    <col min="15" max="15" width="12.88671875" style="36" customWidth="1"/>
    <col min="16" max="17" width="11.4453125" style="36" customWidth="1"/>
    <col min="18" max="18" width="14.10546875" style="36" customWidth="1"/>
    <col min="19" max="20" width="11.4453125" style="36" customWidth="1"/>
    <col min="21" max="22" width="12.6640625" style="36" customWidth="1"/>
    <col min="23" max="16384" width="8.88671875" style="36" customWidth="1"/>
  </cols>
  <sheetData>
    <row r="1" spans="1:23" ht="20.25">
      <c r="A1" s="48" t="s">
        <v>1632</v>
      </c>
      <c r="C1" s="47"/>
      <c r="D1" s="32"/>
      <c r="E1" s="32"/>
      <c r="F1" s="32"/>
      <c r="G1" s="32"/>
      <c r="H1" s="32"/>
      <c r="I1" s="32"/>
      <c r="J1" s="32"/>
      <c r="K1" s="32"/>
      <c r="L1" s="77"/>
      <c r="M1" s="636"/>
      <c r="N1" s="636"/>
      <c r="O1" s="636"/>
      <c r="P1" s="636"/>
      <c r="Q1" s="636"/>
      <c r="R1" s="636"/>
      <c r="S1" s="636"/>
      <c r="T1" s="636"/>
      <c r="U1" s="75"/>
      <c r="V1" s="75" t="s">
        <v>237</v>
      </c>
      <c r="W1" s="32"/>
    </row>
    <row r="2" spans="1:23" ht="20.25">
      <c r="A2" s="248"/>
      <c r="B2" s="48"/>
      <c r="C2" s="47"/>
      <c r="D2" s="32"/>
      <c r="E2" s="32"/>
      <c r="F2" s="32"/>
      <c r="G2" s="32"/>
      <c r="H2" s="32"/>
      <c r="I2" s="32"/>
      <c r="J2" s="32"/>
      <c r="K2" s="32"/>
      <c r="L2" s="77"/>
      <c r="M2" s="636"/>
      <c r="N2" s="636"/>
      <c r="O2" s="636"/>
      <c r="P2" s="636"/>
      <c r="Q2" s="636"/>
      <c r="R2" s="636"/>
      <c r="S2" s="636"/>
      <c r="T2" s="636"/>
      <c r="U2" s="75"/>
      <c r="V2" s="32"/>
      <c r="W2" s="32"/>
    </row>
    <row r="3" spans="1:23" ht="20.25">
      <c r="A3" s="248"/>
      <c r="B3" s="48"/>
      <c r="C3" s="47"/>
      <c r="D3" s="32"/>
      <c r="E3" s="32"/>
      <c r="F3" s="32"/>
      <c r="G3" s="32"/>
      <c r="H3" s="32"/>
      <c r="I3" s="32"/>
      <c r="J3" s="32"/>
      <c r="K3" s="32"/>
      <c r="L3" s="77"/>
      <c r="M3" s="636"/>
      <c r="N3" s="636"/>
      <c r="O3" s="636"/>
      <c r="P3" s="636"/>
      <c r="Q3" s="636"/>
      <c r="R3" s="636"/>
      <c r="S3" s="636"/>
      <c r="T3" s="636"/>
      <c r="U3" s="75"/>
      <c r="V3" s="32"/>
      <c r="W3" s="32"/>
    </row>
    <row r="4" spans="1:23" s="250" customFormat="1" ht="18">
      <c r="A4" s="1409" t="s">
        <v>1603</v>
      </c>
      <c r="B4" s="1423"/>
      <c r="C4" s="1423"/>
      <c r="D4" s="1423"/>
      <c r="E4" s="1423"/>
      <c r="F4" s="1423"/>
      <c r="G4" s="1423"/>
      <c r="H4" s="1423"/>
      <c r="I4" s="1423"/>
      <c r="J4" s="1423"/>
      <c r="K4" s="1423"/>
      <c r="L4" s="1423"/>
      <c r="M4" s="1423"/>
      <c r="N4" s="1423"/>
      <c r="O4" s="1423"/>
      <c r="P4" s="1423"/>
      <c r="Q4" s="1423"/>
      <c r="R4" s="1423"/>
      <c r="S4" s="1423"/>
      <c r="T4" s="1423"/>
      <c r="U4" s="1423"/>
      <c r="V4" s="249"/>
      <c r="W4" s="249"/>
    </row>
    <row r="5" spans="1:23" s="250" customFormat="1" ht="18">
      <c r="A5" s="1409" t="s">
        <v>1059</v>
      </c>
      <c r="B5" s="1423"/>
      <c r="C5" s="1423"/>
      <c r="D5" s="1423"/>
      <c r="E5" s="1423"/>
      <c r="F5" s="1423"/>
      <c r="G5" s="1423"/>
      <c r="H5" s="1423"/>
      <c r="I5" s="1423"/>
      <c r="J5" s="1423"/>
      <c r="K5" s="1423"/>
      <c r="L5" s="1423"/>
      <c r="M5" s="1423"/>
      <c r="N5" s="1423"/>
      <c r="O5" s="1423"/>
      <c r="P5" s="1423"/>
      <c r="Q5" s="1423"/>
      <c r="R5" s="1423"/>
      <c r="S5" s="1423"/>
      <c r="T5" s="1423"/>
      <c r="U5" s="1423"/>
      <c r="V5" s="249"/>
      <c r="W5" s="249"/>
    </row>
    <row r="6" spans="1:23" ht="20.25">
      <c r="A6" s="32"/>
      <c r="B6" s="48"/>
      <c r="C6" s="47"/>
      <c r="D6" s="32"/>
      <c r="E6" s="32"/>
      <c r="F6" s="32"/>
      <c r="G6" s="32"/>
      <c r="H6" s="32"/>
      <c r="I6" s="32"/>
      <c r="J6" s="32"/>
      <c r="K6" s="386" t="str">
        <f>+'Actual Net Rev Req'!C4</f>
        <v>For the 12 months ended - December 31, 2008</v>
      </c>
      <c r="L6" s="1192"/>
      <c r="M6" s="386"/>
      <c r="N6" s="1193"/>
      <c r="O6" s="1193"/>
      <c r="P6" s="1193"/>
      <c r="Q6" s="1193"/>
      <c r="R6" s="1193"/>
      <c r="S6" s="1193"/>
      <c r="T6" s="1193"/>
      <c r="U6" s="194"/>
      <c r="V6" s="47"/>
      <c r="W6" s="32"/>
    </row>
    <row r="7" spans="1:23" ht="20.25">
      <c r="A7" s="32"/>
      <c r="B7" s="99" t="s">
        <v>1681</v>
      </c>
      <c r="C7" s="48" t="s">
        <v>197</v>
      </c>
      <c r="D7" s="733"/>
      <c r="E7" s="32" t="s">
        <v>1504</v>
      </c>
      <c r="F7" s="32"/>
      <c r="G7" s="32"/>
      <c r="H7" s="32"/>
      <c r="I7" s="32"/>
      <c r="J7" s="32"/>
      <c r="K7" s="52"/>
      <c r="L7" s="47"/>
      <c r="M7" s="47"/>
      <c r="N7" s="47"/>
      <c r="O7" s="47"/>
      <c r="P7" s="47"/>
      <c r="Q7" s="47"/>
      <c r="R7" s="47"/>
      <c r="S7" s="47"/>
      <c r="T7" s="47"/>
      <c r="U7" s="1193"/>
      <c r="V7" s="47"/>
      <c r="W7" s="32"/>
    </row>
    <row r="8" spans="1:23" ht="12.75" customHeight="1">
      <c r="A8" s="32"/>
      <c r="B8" s="32"/>
      <c r="C8" s="32"/>
      <c r="D8" s="32"/>
      <c r="E8" s="32"/>
      <c r="F8" s="32"/>
      <c r="G8" s="32"/>
      <c r="H8" s="32"/>
      <c r="I8" s="32"/>
      <c r="J8" s="32"/>
      <c r="K8" s="32"/>
      <c r="L8" s="563"/>
      <c r="M8" s="47"/>
      <c r="N8" s="47"/>
      <c r="O8" s="32"/>
      <c r="P8" s="32"/>
      <c r="Q8" s="32"/>
      <c r="R8" s="32"/>
      <c r="S8" s="32"/>
      <c r="T8" s="32"/>
      <c r="U8" s="382"/>
      <c r="V8" s="32"/>
      <c r="W8" s="32"/>
    </row>
    <row r="9" spans="1:23" ht="12.75">
      <c r="A9" s="32"/>
      <c r="B9" s="251" t="s">
        <v>1597</v>
      </c>
      <c r="C9" s="32"/>
      <c r="D9" s="32"/>
      <c r="E9" s="32"/>
      <c r="F9" s="32"/>
      <c r="G9" s="33" t="s">
        <v>781</v>
      </c>
      <c r="H9" s="33"/>
      <c r="I9" s="33"/>
      <c r="J9" s="33"/>
      <c r="K9" s="33"/>
      <c r="L9" s="33"/>
      <c r="M9" s="33"/>
      <c r="N9" s="33"/>
      <c r="O9" s="33"/>
      <c r="P9" s="33"/>
      <c r="Q9" s="33"/>
      <c r="R9" s="33"/>
      <c r="S9" s="33"/>
      <c r="T9" s="33"/>
      <c r="U9" s="33"/>
      <c r="V9" s="33"/>
      <c r="W9" s="32"/>
    </row>
    <row r="10" spans="1:24" ht="12.75">
      <c r="A10" s="32"/>
      <c r="B10" s="32"/>
      <c r="C10" s="45" t="s">
        <v>782</v>
      </c>
      <c r="D10" s="32"/>
      <c r="E10" s="32"/>
      <c r="F10" s="34" t="s">
        <v>783</v>
      </c>
      <c r="G10" s="34" t="s">
        <v>784</v>
      </c>
      <c r="H10" s="34" t="s">
        <v>785</v>
      </c>
      <c r="I10" s="34" t="s">
        <v>786</v>
      </c>
      <c r="J10" s="34" t="s">
        <v>787</v>
      </c>
      <c r="K10" s="34" t="s">
        <v>788</v>
      </c>
      <c r="L10" s="34" t="s">
        <v>789</v>
      </c>
      <c r="M10" s="34" t="s">
        <v>790</v>
      </c>
      <c r="N10" s="50" t="s">
        <v>1212</v>
      </c>
      <c r="O10" s="34" t="s">
        <v>791</v>
      </c>
      <c r="P10" s="34" t="s">
        <v>792</v>
      </c>
      <c r="Q10" s="50" t="s">
        <v>1001</v>
      </c>
      <c r="R10" s="34" t="s">
        <v>793</v>
      </c>
      <c r="S10" s="34" t="s">
        <v>1002</v>
      </c>
      <c r="T10" s="50" t="s">
        <v>1610</v>
      </c>
      <c r="U10" s="34" t="s">
        <v>794</v>
      </c>
      <c r="V10" s="34" t="s">
        <v>795</v>
      </c>
      <c r="W10" s="783"/>
      <c r="X10" s="783"/>
    </row>
    <row r="11" spans="1:24" s="256" customFormat="1" ht="12.75">
      <c r="A11" s="252"/>
      <c r="B11" s="253">
        <v>1</v>
      </c>
      <c r="C11" s="252" t="s">
        <v>1313</v>
      </c>
      <c r="D11" s="252" t="s">
        <v>796</v>
      </c>
      <c r="E11" s="252"/>
      <c r="F11" s="254">
        <f>SUM(G11:V11)</f>
        <v>27389929</v>
      </c>
      <c r="G11" s="1326">
        <f aca="true" t="shared" si="0" ref="G11:V11">+G40+G59</f>
        <v>3098977</v>
      </c>
      <c r="H11" s="1326">
        <f t="shared" si="0"/>
        <v>0</v>
      </c>
      <c r="I11" s="1326">
        <f t="shared" si="0"/>
        <v>3019144</v>
      </c>
      <c r="J11" s="1326">
        <f t="shared" si="0"/>
        <v>0</v>
      </c>
      <c r="K11" s="1326">
        <f t="shared" si="0"/>
        <v>1085242</v>
      </c>
      <c r="L11" s="1326">
        <f t="shared" si="0"/>
        <v>19988021</v>
      </c>
      <c r="M11" s="1326">
        <f t="shared" si="0"/>
        <v>0</v>
      </c>
      <c r="N11" s="1327">
        <f t="shared" si="0"/>
        <v>4372</v>
      </c>
      <c r="O11" s="1326">
        <f t="shared" si="0"/>
        <v>46504</v>
      </c>
      <c r="P11" s="1326">
        <f t="shared" si="0"/>
        <v>26016</v>
      </c>
      <c r="Q11" s="1327">
        <f t="shared" si="0"/>
        <v>0</v>
      </c>
      <c r="R11" s="1326">
        <f t="shared" si="0"/>
        <v>23657</v>
      </c>
      <c r="S11" s="1326">
        <f t="shared" si="0"/>
        <v>0</v>
      </c>
      <c r="T11" s="1327">
        <f t="shared" si="0"/>
        <v>0</v>
      </c>
      <c r="U11" s="1326">
        <f t="shared" si="0"/>
        <v>87108</v>
      </c>
      <c r="V11" s="1326">
        <f t="shared" si="0"/>
        <v>10888</v>
      </c>
      <c r="W11" s="252" t="s">
        <v>1100</v>
      </c>
      <c r="X11" s="252"/>
    </row>
    <row r="12" spans="1:24" s="256" customFormat="1" ht="12.75">
      <c r="A12" s="252"/>
      <c r="B12" s="253">
        <v>2</v>
      </c>
      <c r="C12" s="252" t="s">
        <v>1314</v>
      </c>
      <c r="D12" s="256" t="s">
        <v>704</v>
      </c>
      <c r="E12" s="252"/>
      <c r="F12" s="257">
        <f aca="true" t="shared" si="1" ref="F12:F23">+F41+F60</f>
        <v>71159206</v>
      </c>
      <c r="G12" s="46">
        <f aca="true" t="shared" si="2" ref="G12:V12">+G41+G60</f>
        <v>0</v>
      </c>
      <c r="H12" s="46">
        <f t="shared" si="2"/>
        <v>0</v>
      </c>
      <c r="I12" s="46">
        <f t="shared" si="2"/>
        <v>0</v>
      </c>
      <c r="J12" s="46">
        <f t="shared" si="2"/>
        <v>0</v>
      </c>
      <c r="K12" s="46">
        <f t="shared" si="2"/>
        <v>0</v>
      </c>
      <c r="L12" s="46">
        <f t="shared" si="2"/>
        <v>71159206</v>
      </c>
      <c r="M12" s="46">
        <f t="shared" si="2"/>
        <v>0</v>
      </c>
      <c r="N12" s="1328">
        <f t="shared" si="2"/>
        <v>0</v>
      </c>
      <c r="O12" s="46">
        <f t="shared" si="2"/>
        <v>0</v>
      </c>
      <c r="P12" s="46">
        <f t="shared" si="2"/>
        <v>0</v>
      </c>
      <c r="Q12" s="1328">
        <f t="shared" si="2"/>
        <v>0</v>
      </c>
      <c r="R12" s="46">
        <f t="shared" si="2"/>
        <v>0</v>
      </c>
      <c r="S12" s="46">
        <f t="shared" si="2"/>
        <v>0</v>
      </c>
      <c r="T12" s="1328">
        <f t="shared" si="2"/>
        <v>0</v>
      </c>
      <c r="U12" s="46">
        <f t="shared" si="2"/>
        <v>0</v>
      </c>
      <c r="V12" s="46">
        <f t="shared" si="2"/>
        <v>0</v>
      </c>
      <c r="W12" s="252"/>
      <c r="X12" s="252"/>
    </row>
    <row r="13" spans="1:24" s="256" customFormat="1" ht="12.75">
      <c r="A13" s="252"/>
      <c r="B13" s="253">
        <v>3</v>
      </c>
      <c r="C13" s="252" t="s">
        <v>1315</v>
      </c>
      <c r="D13" s="252" t="s">
        <v>797</v>
      </c>
      <c r="E13" s="252"/>
      <c r="F13" s="257">
        <f t="shared" si="1"/>
        <v>1795822</v>
      </c>
      <c r="G13" s="46">
        <f aca="true" t="shared" si="3" ref="G13:V13">+G42+G61</f>
        <v>107019</v>
      </c>
      <c r="H13" s="46">
        <f t="shared" si="3"/>
        <v>0</v>
      </c>
      <c r="I13" s="46">
        <f t="shared" si="3"/>
        <v>483840</v>
      </c>
      <c r="J13" s="46">
        <f t="shared" si="3"/>
        <v>262474</v>
      </c>
      <c r="K13" s="46">
        <f t="shared" si="3"/>
        <v>0</v>
      </c>
      <c r="L13" s="46">
        <f t="shared" si="3"/>
        <v>938788</v>
      </c>
      <c r="M13" s="46">
        <f t="shared" si="3"/>
        <v>0</v>
      </c>
      <c r="N13" s="1328">
        <f t="shared" si="3"/>
        <v>0</v>
      </c>
      <c r="O13" s="46">
        <f t="shared" si="3"/>
        <v>0</v>
      </c>
      <c r="P13" s="46">
        <f t="shared" si="3"/>
        <v>0</v>
      </c>
      <c r="Q13" s="1328">
        <f t="shared" si="3"/>
        <v>12</v>
      </c>
      <c r="R13" s="46">
        <f t="shared" si="3"/>
        <v>-277</v>
      </c>
      <c r="S13" s="46">
        <f t="shared" si="3"/>
        <v>582</v>
      </c>
      <c r="T13" s="1328">
        <f t="shared" si="3"/>
        <v>0</v>
      </c>
      <c r="U13" s="46">
        <f t="shared" si="3"/>
        <v>3008</v>
      </c>
      <c r="V13" s="46">
        <f t="shared" si="3"/>
        <v>376</v>
      </c>
      <c r="W13" s="252"/>
      <c r="X13" s="252"/>
    </row>
    <row r="14" spans="1:24" s="256" customFormat="1" ht="12.75">
      <c r="A14" s="252"/>
      <c r="B14" s="253">
        <v>4</v>
      </c>
      <c r="C14" s="252" t="s">
        <v>1316</v>
      </c>
      <c r="D14" s="252" t="s">
        <v>703</v>
      </c>
      <c r="E14" s="252"/>
      <c r="F14" s="257">
        <f t="shared" si="1"/>
        <v>2556408</v>
      </c>
      <c r="G14" s="46">
        <f aca="true" t="shared" si="4" ref="G14:V14">+G43+G62</f>
        <v>0</v>
      </c>
      <c r="H14" s="46">
        <f t="shared" si="4"/>
        <v>0</v>
      </c>
      <c r="I14" s="46">
        <f t="shared" si="4"/>
        <v>0</v>
      </c>
      <c r="J14" s="46">
        <f t="shared" si="4"/>
        <v>0</v>
      </c>
      <c r="K14" s="46">
        <f t="shared" si="4"/>
        <v>0</v>
      </c>
      <c r="L14" s="46">
        <f t="shared" si="4"/>
        <v>2555938</v>
      </c>
      <c r="M14" s="46">
        <f t="shared" si="4"/>
        <v>0</v>
      </c>
      <c r="N14" s="1328">
        <f t="shared" si="4"/>
        <v>0</v>
      </c>
      <c r="O14" s="46">
        <f t="shared" si="4"/>
        <v>0</v>
      </c>
      <c r="P14" s="46">
        <f t="shared" si="4"/>
        <v>0</v>
      </c>
      <c r="Q14" s="1328">
        <f t="shared" si="4"/>
        <v>0</v>
      </c>
      <c r="R14" s="46">
        <f t="shared" si="4"/>
        <v>470</v>
      </c>
      <c r="S14" s="46">
        <f t="shared" si="4"/>
        <v>0</v>
      </c>
      <c r="T14" s="1328">
        <f t="shared" si="4"/>
        <v>0</v>
      </c>
      <c r="U14" s="46">
        <f t="shared" si="4"/>
        <v>0</v>
      </c>
      <c r="V14" s="46">
        <f t="shared" si="4"/>
        <v>0</v>
      </c>
      <c r="W14" s="252"/>
      <c r="X14" s="252"/>
    </row>
    <row r="15" spans="1:24" s="256" customFormat="1" ht="12.75">
      <c r="A15" s="252"/>
      <c r="B15" s="253">
        <v>5</v>
      </c>
      <c r="C15" s="252" t="s">
        <v>1317</v>
      </c>
      <c r="D15" s="252" t="s">
        <v>1213</v>
      </c>
      <c r="E15" s="252"/>
      <c r="F15" s="257">
        <f t="shared" si="1"/>
        <v>821361</v>
      </c>
      <c r="G15" s="46">
        <f aca="true" t="shared" si="5" ref="G15:V15">+G44+G63</f>
        <v>174506</v>
      </c>
      <c r="H15" s="46">
        <f t="shared" si="5"/>
        <v>0</v>
      </c>
      <c r="I15" s="46">
        <f t="shared" si="5"/>
        <v>0</v>
      </c>
      <c r="J15" s="46">
        <f t="shared" si="5"/>
        <v>0</v>
      </c>
      <c r="K15" s="46">
        <f t="shared" si="5"/>
        <v>0</v>
      </c>
      <c r="L15" s="46">
        <f t="shared" si="5"/>
        <v>641028</v>
      </c>
      <c r="M15" s="46">
        <f t="shared" si="5"/>
        <v>0</v>
      </c>
      <c r="N15" s="1328">
        <f t="shared" si="5"/>
        <v>0</v>
      </c>
      <c r="O15" s="46">
        <f t="shared" si="5"/>
        <v>0</v>
      </c>
      <c r="P15" s="46">
        <f t="shared" si="5"/>
        <v>0</v>
      </c>
      <c r="Q15" s="1328">
        <f t="shared" si="5"/>
        <v>0</v>
      </c>
      <c r="R15" s="46">
        <f t="shared" si="5"/>
        <v>307</v>
      </c>
      <c r="S15" s="46">
        <f t="shared" si="5"/>
        <v>0</v>
      </c>
      <c r="T15" s="1328">
        <f t="shared" si="5"/>
        <v>0</v>
      </c>
      <c r="U15" s="46">
        <f t="shared" si="5"/>
        <v>4906</v>
      </c>
      <c r="V15" s="46">
        <f t="shared" si="5"/>
        <v>614</v>
      </c>
      <c r="W15" s="252"/>
      <c r="X15" s="252"/>
    </row>
    <row r="16" spans="1:24" s="256" customFormat="1" ht="12.75">
      <c r="A16" s="252"/>
      <c r="B16" s="253">
        <v>6</v>
      </c>
      <c r="C16" s="252" t="s">
        <v>1318</v>
      </c>
      <c r="D16" s="252" t="s">
        <v>1610</v>
      </c>
      <c r="E16" s="252"/>
      <c r="F16" s="257">
        <f t="shared" si="1"/>
        <v>0</v>
      </c>
      <c r="G16" s="46">
        <f aca="true" t="shared" si="6" ref="G16:V16">+G45+G64</f>
        <v>0</v>
      </c>
      <c r="H16" s="46">
        <f t="shared" si="6"/>
        <v>0</v>
      </c>
      <c r="I16" s="46">
        <f t="shared" si="6"/>
        <v>0</v>
      </c>
      <c r="J16" s="46">
        <f t="shared" si="6"/>
        <v>0</v>
      </c>
      <c r="K16" s="46">
        <f t="shared" si="6"/>
        <v>0</v>
      </c>
      <c r="L16" s="46">
        <f t="shared" si="6"/>
        <v>0</v>
      </c>
      <c r="M16" s="46">
        <f t="shared" si="6"/>
        <v>0</v>
      </c>
      <c r="N16" s="1328">
        <f t="shared" si="6"/>
        <v>0</v>
      </c>
      <c r="O16" s="46">
        <f t="shared" si="6"/>
        <v>0</v>
      </c>
      <c r="P16" s="46">
        <f t="shared" si="6"/>
        <v>0</v>
      </c>
      <c r="Q16" s="1328">
        <f t="shared" si="6"/>
        <v>0</v>
      </c>
      <c r="R16" s="46">
        <f t="shared" si="6"/>
        <v>0</v>
      </c>
      <c r="S16" s="46">
        <f t="shared" si="6"/>
        <v>0</v>
      </c>
      <c r="T16" s="1328">
        <f t="shared" si="6"/>
        <v>0</v>
      </c>
      <c r="U16" s="46">
        <f t="shared" si="6"/>
        <v>0</v>
      </c>
      <c r="V16" s="46">
        <f t="shared" si="6"/>
        <v>0</v>
      </c>
      <c r="W16" s="252"/>
      <c r="X16" s="252"/>
    </row>
    <row r="17" spans="1:24" s="256" customFormat="1" ht="12.75">
      <c r="A17" s="252"/>
      <c r="B17" s="253">
        <v>7</v>
      </c>
      <c r="C17" s="252" t="s">
        <v>1320</v>
      </c>
      <c r="D17" s="252" t="s">
        <v>705</v>
      </c>
      <c r="E17" s="252"/>
      <c r="F17" s="257">
        <f t="shared" si="1"/>
        <v>1249564</v>
      </c>
      <c r="G17" s="46">
        <f aca="true" t="shared" si="7" ref="G17:V17">+G46+G65</f>
        <v>0</v>
      </c>
      <c r="H17" s="46">
        <f t="shared" si="7"/>
        <v>0</v>
      </c>
      <c r="I17" s="46">
        <f t="shared" si="7"/>
        <v>0</v>
      </c>
      <c r="J17" s="46">
        <f t="shared" si="7"/>
        <v>0</v>
      </c>
      <c r="K17" s="46">
        <f t="shared" si="7"/>
        <v>0</v>
      </c>
      <c r="L17" s="46">
        <f t="shared" si="7"/>
        <v>1249564</v>
      </c>
      <c r="M17" s="46">
        <f t="shared" si="7"/>
        <v>0</v>
      </c>
      <c r="N17" s="1328">
        <f t="shared" si="7"/>
        <v>0</v>
      </c>
      <c r="O17" s="46">
        <f t="shared" si="7"/>
        <v>0</v>
      </c>
      <c r="P17" s="46">
        <f t="shared" si="7"/>
        <v>0</v>
      </c>
      <c r="Q17" s="1328">
        <f t="shared" si="7"/>
        <v>0</v>
      </c>
      <c r="R17" s="46">
        <f t="shared" si="7"/>
        <v>0</v>
      </c>
      <c r="S17" s="46">
        <f t="shared" si="7"/>
        <v>0</v>
      </c>
      <c r="T17" s="1328">
        <f t="shared" si="7"/>
        <v>0</v>
      </c>
      <c r="U17" s="46">
        <f t="shared" si="7"/>
        <v>0</v>
      </c>
      <c r="V17" s="46">
        <f t="shared" si="7"/>
        <v>0</v>
      </c>
      <c r="W17" s="252"/>
      <c r="X17" s="252"/>
    </row>
    <row r="18" spans="1:24" s="256" customFormat="1" ht="12.75">
      <c r="A18" s="252"/>
      <c r="B18" s="253">
        <v>8</v>
      </c>
      <c r="C18" s="252" t="s">
        <v>1321</v>
      </c>
      <c r="D18" s="252" t="s">
        <v>798</v>
      </c>
      <c r="E18" s="252"/>
      <c r="F18" s="257">
        <f t="shared" si="1"/>
        <v>244730</v>
      </c>
      <c r="G18" s="46">
        <f aca="true" t="shared" si="8" ref="G18:V18">+G47+G66</f>
        <v>102508</v>
      </c>
      <c r="H18" s="46">
        <f t="shared" si="8"/>
        <v>0</v>
      </c>
      <c r="I18" s="46">
        <f t="shared" si="8"/>
        <v>0</v>
      </c>
      <c r="J18" s="46">
        <f t="shared" si="8"/>
        <v>0</v>
      </c>
      <c r="K18" s="46">
        <f t="shared" si="8"/>
        <v>0</v>
      </c>
      <c r="L18" s="46">
        <f t="shared" si="8"/>
        <v>138980</v>
      </c>
      <c r="M18" s="46">
        <f t="shared" si="8"/>
        <v>0</v>
      </c>
      <c r="N18" s="1328">
        <f t="shared" si="8"/>
        <v>0</v>
      </c>
      <c r="O18" s="46">
        <f t="shared" si="8"/>
        <v>0</v>
      </c>
      <c r="P18" s="46">
        <f t="shared" si="8"/>
        <v>0</v>
      </c>
      <c r="Q18" s="1328">
        <f t="shared" si="8"/>
        <v>0</v>
      </c>
      <c r="R18" s="46">
        <f t="shared" si="8"/>
        <v>0</v>
      </c>
      <c r="S18" s="46">
        <f t="shared" si="8"/>
        <v>0</v>
      </c>
      <c r="T18" s="1328">
        <f t="shared" si="8"/>
        <v>0</v>
      </c>
      <c r="U18" s="46">
        <f t="shared" si="8"/>
        <v>2882</v>
      </c>
      <c r="V18" s="46">
        <f t="shared" si="8"/>
        <v>360</v>
      </c>
      <c r="W18" s="252"/>
      <c r="X18" s="252"/>
    </row>
    <row r="19" spans="1:24" s="256" customFormat="1" ht="12.75">
      <c r="A19" s="252"/>
      <c r="B19" s="253">
        <v>9</v>
      </c>
      <c r="C19" s="252" t="s">
        <v>702</v>
      </c>
      <c r="D19" s="252" t="s">
        <v>706</v>
      </c>
      <c r="E19" s="252"/>
      <c r="F19" s="257">
        <f t="shared" si="1"/>
        <v>223</v>
      </c>
      <c r="G19" s="46">
        <f aca="true" t="shared" si="9" ref="G19:V19">+G48+G67</f>
        <v>0</v>
      </c>
      <c r="H19" s="46">
        <f t="shared" si="9"/>
        <v>0</v>
      </c>
      <c r="I19" s="46">
        <f t="shared" si="9"/>
        <v>0</v>
      </c>
      <c r="J19" s="46">
        <f t="shared" si="9"/>
        <v>0</v>
      </c>
      <c r="K19" s="46">
        <f t="shared" si="9"/>
        <v>0</v>
      </c>
      <c r="L19" s="46">
        <f t="shared" si="9"/>
        <v>0</v>
      </c>
      <c r="M19" s="46">
        <f t="shared" si="9"/>
        <v>0</v>
      </c>
      <c r="N19" s="1328">
        <f t="shared" si="9"/>
        <v>0</v>
      </c>
      <c r="O19" s="46">
        <f t="shared" si="9"/>
        <v>0</v>
      </c>
      <c r="P19" s="46">
        <f t="shared" si="9"/>
        <v>0</v>
      </c>
      <c r="Q19" s="1328">
        <f t="shared" si="9"/>
        <v>0</v>
      </c>
      <c r="R19" s="46">
        <f t="shared" si="9"/>
        <v>0</v>
      </c>
      <c r="S19" s="46">
        <f t="shared" si="9"/>
        <v>0</v>
      </c>
      <c r="T19" s="1328">
        <f t="shared" si="9"/>
        <v>0</v>
      </c>
      <c r="U19" s="46">
        <f t="shared" si="9"/>
        <v>0</v>
      </c>
      <c r="V19" s="46">
        <f t="shared" si="9"/>
        <v>223</v>
      </c>
      <c r="W19" s="252"/>
      <c r="X19" s="252"/>
    </row>
    <row r="20" spans="1:24" s="256" customFormat="1" ht="12.75">
      <c r="A20" s="252"/>
      <c r="B20" s="253">
        <v>10</v>
      </c>
      <c r="C20" s="252" t="s">
        <v>699</v>
      </c>
      <c r="D20" s="252" t="s">
        <v>799</v>
      </c>
      <c r="E20" s="252"/>
      <c r="F20" s="257">
        <f t="shared" si="1"/>
        <v>284770</v>
      </c>
      <c r="G20" s="46">
        <f aca="true" t="shared" si="10" ref="G20:V20">+G49+G68</f>
        <v>126807</v>
      </c>
      <c r="H20" s="46">
        <f t="shared" si="10"/>
        <v>0</v>
      </c>
      <c r="I20" s="46">
        <f t="shared" si="10"/>
        <v>0</v>
      </c>
      <c r="J20" s="46">
        <f t="shared" si="10"/>
        <v>0</v>
      </c>
      <c r="K20" s="46">
        <f t="shared" si="10"/>
        <v>0</v>
      </c>
      <c r="L20" s="46">
        <f t="shared" si="10"/>
        <v>154176</v>
      </c>
      <c r="M20" s="46">
        <f t="shared" si="10"/>
        <v>0</v>
      </c>
      <c r="N20" s="1328">
        <f t="shared" si="10"/>
        <v>0</v>
      </c>
      <c r="O20" s="46">
        <f t="shared" si="10"/>
        <v>0</v>
      </c>
      <c r="P20" s="46">
        <f t="shared" si="10"/>
        <v>0</v>
      </c>
      <c r="Q20" s="1328">
        <f t="shared" si="10"/>
        <v>0</v>
      </c>
      <c r="R20" s="46">
        <f t="shared" si="10"/>
        <v>0</v>
      </c>
      <c r="S20" s="46">
        <f t="shared" si="10"/>
        <v>0</v>
      </c>
      <c r="T20" s="1328">
        <f t="shared" si="10"/>
        <v>0</v>
      </c>
      <c r="U20" s="46">
        <f t="shared" si="10"/>
        <v>3564</v>
      </c>
      <c r="V20" s="46">
        <f t="shared" si="10"/>
        <v>223</v>
      </c>
      <c r="W20" s="252"/>
      <c r="X20" s="252"/>
    </row>
    <row r="21" spans="1:24" s="256" customFormat="1" ht="12.75">
      <c r="A21" s="252"/>
      <c r="B21" s="253">
        <v>11</v>
      </c>
      <c r="C21" s="252" t="s">
        <v>700</v>
      </c>
      <c r="D21" s="252" t="s">
        <v>800</v>
      </c>
      <c r="E21" s="252"/>
      <c r="F21" s="257">
        <f t="shared" si="1"/>
        <v>0</v>
      </c>
      <c r="G21" s="46">
        <f aca="true" t="shared" si="11" ref="G21:V21">+G50+G69</f>
        <v>0</v>
      </c>
      <c r="H21" s="46">
        <f t="shared" si="11"/>
        <v>0</v>
      </c>
      <c r="I21" s="46">
        <f t="shared" si="11"/>
        <v>0</v>
      </c>
      <c r="J21" s="46">
        <f t="shared" si="11"/>
        <v>0</v>
      </c>
      <c r="K21" s="46">
        <f t="shared" si="11"/>
        <v>0</v>
      </c>
      <c r="L21" s="46">
        <f t="shared" si="11"/>
        <v>0</v>
      </c>
      <c r="M21" s="46">
        <f t="shared" si="11"/>
        <v>0</v>
      </c>
      <c r="N21" s="1328">
        <f t="shared" si="11"/>
        <v>0</v>
      </c>
      <c r="O21" s="46">
        <f t="shared" si="11"/>
        <v>0</v>
      </c>
      <c r="P21" s="46">
        <f t="shared" si="11"/>
        <v>0</v>
      </c>
      <c r="Q21" s="1328">
        <f t="shared" si="11"/>
        <v>0</v>
      </c>
      <c r="R21" s="46">
        <f t="shared" si="11"/>
        <v>0</v>
      </c>
      <c r="S21" s="46">
        <f t="shared" si="11"/>
        <v>0</v>
      </c>
      <c r="T21" s="1328">
        <f t="shared" si="11"/>
        <v>0</v>
      </c>
      <c r="U21" s="46">
        <f t="shared" si="11"/>
        <v>0</v>
      </c>
      <c r="V21" s="46">
        <f t="shared" si="11"/>
        <v>0</v>
      </c>
      <c r="W21" s="252"/>
      <c r="X21" s="252"/>
    </row>
    <row r="22" spans="1:24" s="256" customFormat="1" ht="12.75">
      <c r="A22" s="252"/>
      <c r="B22" s="253">
        <v>12</v>
      </c>
      <c r="C22" s="252" t="s">
        <v>1319</v>
      </c>
      <c r="D22" s="252" t="s">
        <v>802</v>
      </c>
      <c r="E22" s="252"/>
      <c r="F22" s="257">
        <f t="shared" si="1"/>
        <v>3157978</v>
      </c>
      <c r="G22" s="46">
        <f aca="true" t="shared" si="12" ref="G22:V22">+G51+G70</f>
        <v>0</v>
      </c>
      <c r="H22" s="46">
        <f t="shared" si="12"/>
        <v>0</v>
      </c>
      <c r="I22" s="46">
        <f t="shared" si="12"/>
        <v>0</v>
      </c>
      <c r="J22" s="46">
        <f t="shared" si="12"/>
        <v>0</v>
      </c>
      <c r="K22" s="46">
        <f t="shared" si="12"/>
        <v>0</v>
      </c>
      <c r="L22" s="46">
        <f t="shared" si="12"/>
        <v>3157978</v>
      </c>
      <c r="M22" s="46">
        <f t="shared" si="12"/>
        <v>0</v>
      </c>
      <c r="N22" s="1328">
        <f t="shared" si="12"/>
        <v>0</v>
      </c>
      <c r="O22" s="46">
        <f t="shared" si="12"/>
        <v>0</v>
      </c>
      <c r="P22" s="46">
        <f t="shared" si="12"/>
        <v>0</v>
      </c>
      <c r="Q22" s="1328">
        <f t="shared" si="12"/>
        <v>0</v>
      </c>
      <c r="R22" s="46">
        <f t="shared" si="12"/>
        <v>0</v>
      </c>
      <c r="S22" s="46">
        <f t="shared" si="12"/>
        <v>0</v>
      </c>
      <c r="T22" s="1328">
        <f t="shared" si="12"/>
        <v>0</v>
      </c>
      <c r="U22" s="46">
        <f t="shared" si="12"/>
        <v>0</v>
      </c>
      <c r="V22" s="46">
        <f t="shared" si="12"/>
        <v>0</v>
      </c>
      <c r="W22" s="252"/>
      <c r="X22" s="252"/>
    </row>
    <row r="23" spans="1:24" s="256" customFormat="1" ht="12.75">
      <c r="A23" s="252"/>
      <c r="B23" s="253">
        <v>13</v>
      </c>
      <c r="C23" s="252" t="s">
        <v>701</v>
      </c>
      <c r="D23" s="252" t="s">
        <v>1745</v>
      </c>
      <c r="E23" s="252"/>
      <c r="F23" s="257">
        <f t="shared" si="1"/>
        <v>1354490</v>
      </c>
      <c r="G23" s="46">
        <f>+G52+G71</f>
        <v>0</v>
      </c>
      <c r="H23" s="46">
        <f aca="true" t="shared" si="13" ref="H23:V23">+H52+H71</f>
        <v>24244</v>
      </c>
      <c r="I23" s="46">
        <f t="shared" si="13"/>
        <v>154611</v>
      </c>
      <c r="J23" s="46">
        <f t="shared" si="13"/>
        <v>0</v>
      </c>
      <c r="K23" s="46">
        <f t="shared" si="13"/>
        <v>0</v>
      </c>
      <c r="L23" s="46">
        <f t="shared" si="13"/>
        <v>1177933</v>
      </c>
      <c r="M23" s="46">
        <f t="shared" si="13"/>
        <v>0</v>
      </c>
      <c r="N23" s="1328">
        <f t="shared" si="13"/>
        <v>0</v>
      </c>
      <c r="O23" s="46">
        <f t="shared" si="13"/>
        <v>0</v>
      </c>
      <c r="P23" s="46">
        <f t="shared" si="13"/>
        <v>0</v>
      </c>
      <c r="Q23" s="1328">
        <f t="shared" si="13"/>
        <v>0</v>
      </c>
      <c r="R23" s="46">
        <f t="shared" si="13"/>
        <v>0</v>
      </c>
      <c r="S23" s="46">
        <f t="shared" si="13"/>
        <v>0</v>
      </c>
      <c r="T23" s="1328">
        <f t="shared" si="13"/>
        <v>0</v>
      </c>
      <c r="U23" s="46">
        <f t="shared" si="13"/>
        <v>0</v>
      </c>
      <c r="V23" s="46">
        <f t="shared" si="13"/>
        <v>-2298</v>
      </c>
      <c r="W23" s="252"/>
      <c r="X23" s="252"/>
    </row>
    <row r="24" spans="1:24" s="256" customFormat="1" ht="12.75">
      <c r="A24" s="252"/>
      <c r="B24" s="253" t="s">
        <v>690</v>
      </c>
      <c r="C24" s="252" t="s">
        <v>1657</v>
      </c>
      <c r="D24" s="252" t="s">
        <v>1744</v>
      </c>
      <c r="E24" s="252"/>
      <c r="F24" s="257">
        <f>+F53+F73</f>
        <v>0</v>
      </c>
      <c r="G24" s="46">
        <f aca="true" t="shared" si="14" ref="G24:V24">+G53+G72</f>
        <v>0</v>
      </c>
      <c r="H24" s="46">
        <f t="shared" si="14"/>
        <v>0</v>
      </c>
      <c r="I24" s="46">
        <f t="shared" si="14"/>
        <v>0</v>
      </c>
      <c r="J24" s="46">
        <f t="shared" si="14"/>
        <v>0</v>
      </c>
      <c r="K24" s="46">
        <f t="shared" si="14"/>
        <v>0</v>
      </c>
      <c r="L24" s="46">
        <f t="shared" si="14"/>
        <v>0</v>
      </c>
      <c r="M24" s="46">
        <f t="shared" si="14"/>
        <v>0</v>
      </c>
      <c r="N24" s="1328">
        <f t="shared" si="14"/>
        <v>0</v>
      </c>
      <c r="O24" s="46">
        <f t="shared" si="14"/>
        <v>0</v>
      </c>
      <c r="P24" s="46">
        <f t="shared" si="14"/>
        <v>0</v>
      </c>
      <c r="Q24" s="1328">
        <f t="shared" si="14"/>
        <v>0</v>
      </c>
      <c r="R24" s="46">
        <f t="shared" si="14"/>
        <v>0</v>
      </c>
      <c r="S24" s="46">
        <f t="shared" si="14"/>
        <v>0</v>
      </c>
      <c r="T24" s="1328">
        <f t="shared" si="14"/>
        <v>0</v>
      </c>
      <c r="U24" s="46">
        <f t="shared" si="14"/>
        <v>0</v>
      </c>
      <c r="V24" s="46">
        <f t="shared" si="14"/>
        <v>0</v>
      </c>
      <c r="W24" s="252"/>
      <c r="X24" s="252"/>
    </row>
    <row r="25" spans="1:24" s="256" customFormat="1" ht="12.75">
      <c r="A25" s="252"/>
      <c r="B25" s="253">
        <v>14</v>
      </c>
      <c r="C25" s="252" t="s">
        <v>707</v>
      </c>
      <c r="D25" s="252" t="s">
        <v>801</v>
      </c>
      <c r="E25" s="252"/>
      <c r="F25" s="257">
        <f>+F54+F73</f>
        <v>0</v>
      </c>
      <c r="G25" s="46">
        <f aca="true" t="shared" si="15" ref="G25:V25">+G54+G73</f>
        <v>0</v>
      </c>
      <c r="H25" s="46">
        <f t="shared" si="15"/>
        <v>0</v>
      </c>
      <c r="I25" s="46">
        <f t="shared" si="15"/>
        <v>0</v>
      </c>
      <c r="J25" s="46">
        <f t="shared" si="15"/>
        <v>0</v>
      </c>
      <c r="K25" s="46">
        <f t="shared" si="15"/>
        <v>0</v>
      </c>
      <c r="L25" s="46">
        <f t="shared" si="15"/>
        <v>0</v>
      </c>
      <c r="M25" s="46">
        <f>+M54+M73</f>
        <v>0</v>
      </c>
      <c r="N25" s="1328">
        <f t="shared" si="15"/>
        <v>0</v>
      </c>
      <c r="O25" s="46">
        <f t="shared" si="15"/>
        <v>0</v>
      </c>
      <c r="P25" s="46">
        <f t="shared" si="15"/>
        <v>0</v>
      </c>
      <c r="Q25" s="1328">
        <f t="shared" si="15"/>
        <v>0</v>
      </c>
      <c r="R25" s="46">
        <f t="shared" si="15"/>
        <v>0</v>
      </c>
      <c r="S25" s="46">
        <f t="shared" si="15"/>
        <v>0</v>
      </c>
      <c r="T25" s="1328">
        <f t="shared" si="15"/>
        <v>0</v>
      </c>
      <c r="U25" s="46">
        <f t="shared" si="15"/>
        <v>0</v>
      </c>
      <c r="V25" s="46">
        <f t="shared" si="15"/>
        <v>0</v>
      </c>
      <c r="W25" s="252"/>
      <c r="X25" s="252"/>
    </row>
    <row r="26" spans="1:24" s="256" customFormat="1" ht="12.75">
      <c r="A26" s="252"/>
      <c r="B26" s="253">
        <v>15</v>
      </c>
      <c r="C26" s="252" t="s">
        <v>1106</v>
      </c>
      <c r="D26" s="252"/>
      <c r="E26" s="252"/>
      <c r="F26" s="259">
        <f>+F55+F74</f>
        <v>110014481</v>
      </c>
      <c r="G26" s="259">
        <f aca="true" t="shared" si="16" ref="G26:V26">+G55+G74</f>
        <v>3609817</v>
      </c>
      <c r="H26" s="259">
        <f t="shared" si="16"/>
        <v>24244</v>
      </c>
      <c r="I26" s="259">
        <f t="shared" si="16"/>
        <v>3657595</v>
      </c>
      <c r="J26" s="259">
        <f t="shared" si="16"/>
        <v>262474</v>
      </c>
      <c r="K26" s="259">
        <f t="shared" si="16"/>
        <v>1085242</v>
      </c>
      <c r="L26" s="259">
        <f t="shared" si="16"/>
        <v>101161612</v>
      </c>
      <c r="M26" s="259">
        <f t="shared" si="16"/>
        <v>0</v>
      </c>
      <c r="N26" s="260">
        <f t="shared" si="16"/>
        <v>4372</v>
      </c>
      <c r="O26" s="259">
        <f t="shared" si="16"/>
        <v>46504</v>
      </c>
      <c r="P26" s="259">
        <f t="shared" si="16"/>
        <v>26016</v>
      </c>
      <c r="Q26" s="260">
        <f t="shared" si="16"/>
        <v>12</v>
      </c>
      <c r="R26" s="259">
        <f t="shared" si="16"/>
        <v>24157</v>
      </c>
      <c r="S26" s="259">
        <f t="shared" si="16"/>
        <v>582</v>
      </c>
      <c r="T26" s="260">
        <f t="shared" si="16"/>
        <v>0</v>
      </c>
      <c r="U26" s="259">
        <f t="shared" si="16"/>
        <v>101468</v>
      </c>
      <c r="V26" s="259">
        <f t="shared" si="16"/>
        <v>10386</v>
      </c>
      <c r="W26" s="252"/>
      <c r="X26" s="252"/>
    </row>
    <row r="27" spans="1:24" s="256" customFormat="1" ht="12.75">
      <c r="A27" s="252"/>
      <c r="B27" s="253">
        <v>16</v>
      </c>
      <c r="C27" s="252" t="s">
        <v>1214</v>
      </c>
      <c r="E27" s="252"/>
      <c r="F27" s="252"/>
      <c r="G27" s="252"/>
      <c r="H27" s="252"/>
      <c r="I27" s="252"/>
      <c r="J27" s="252"/>
      <c r="K27" s="252"/>
      <c r="L27" s="252"/>
      <c r="M27" s="252"/>
      <c r="N27" s="261"/>
      <c r="O27" s="252"/>
      <c r="P27" s="252"/>
      <c r="Q27" s="261"/>
      <c r="R27" s="252"/>
      <c r="S27" s="252"/>
      <c r="T27" s="261"/>
      <c r="U27" s="252"/>
      <c r="V27" s="252"/>
      <c r="W27" s="252"/>
      <c r="X27" s="252"/>
    </row>
    <row r="28" spans="1:24" s="256" customFormat="1" ht="12.75">
      <c r="A28" s="252"/>
      <c r="B28" s="253">
        <v>17</v>
      </c>
      <c r="C28" s="252" t="s">
        <v>1755</v>
      </c>
      <c r="E28" s="252"/>
      <c r="F28" s="254">
        <f>SUM(G28:V28)</f>
        <v>11465346</v>
      </c>
      <c r="G28" s="254">
        <f aca="true" t="shared" si="17" ref="G28:L28">SUM(G13:G25)-G24</f>
        <v>510840</v>
      </c>
      <c r="H28" s="254">
        <f t="shared" si="17"/>
        <v>24244</v>
      </c>
      <c r="I28" s="254">
        <f t="shared" si="17"/>
        <v>638451</v>
      </c>
      <c r="J28" s="254">
        <f t="shared" si="17"/>
        <v>262474</v>
      </c>
      <c r="K28" s="254">
        <f t="shared" si="17"/>
        <v>0</v>
      </c>
      <c r="L28" s="254">
        <f t="shared" si="17"/>
        <v>10014385</v>
      </c>
      <c r="M28" s="254">
        <f aca="true" t="shared" si="18" ref="M28:V28">SUM(M13:M25)-M24</f>
        <v>0</v>
      </c>
      <c r="N28" s="254">
        <f t="shared" si="18"/>
        <v>0</v>
      </c>
      <c r="O28" s="254">
        <f t="shared" si="18"/>
        <v>0</v>
      </c>
      <c r="P28" s="254">
        <f t="shared" si="18"/>
        <v>0</v>
      </c>
      <c r="Q28" s="254">
        <f t="shared" si="18"/>
        <v>12</v>
      </c>
      <c r="R28" s="254">
        <f t="shared" si="18"/>
        <v>500</v>
      </c>
      <c r="S28" s="254">
        <f t="shared" si="18"/>
        <v>582</v>
      </c>
      <c r="T28" s="254">
        <f t="shared" si="18"/>
        <v>0</v>
      </c>
      <c r="U28" s="254">
        <f t="shared" si="18"/>
        <v>14360</v>
      </c>
      <c r="V28" s="254">
        <f t="shared" si="18"/>
        <v>-502</v>
      </c>
      <c r="W28" s="252"/>
      <c r="X28" s="252"/>
    </row>
    <row r="29" spans="1:24" s="256" customFormat="1" ht="12.75">
      <c r="A29" s="252"/>
      <c r="B29" s="253">
        <v>18</v>
      </c>
      <c r="C29" s="252" t="s">
        <v>1215</v>
      </c>
      <c r="D29" s="252"/>
      <c r="E29" s="252"/>
      <c r="F29" s="257">
        <f>SUM(G29:V29)</f>
        <v>13081515</v>
      </c>
      <c r="G29" s="257">
        <f>+G11</f>
        <v>3098977</v>
      </c>
      <c r="H29" s="257">
        <f>+H11</f>
        <v>0</v>
      </c>
      <c r="I29" s="257">
        <f>+I11</f>
        <v>3019144</v>
      </c>
      <c r="J29" s="257">
        <f>+J11</f>
        <v>0</v>
      </c>
      <c r="K29" s="257">
        <f>+K11</f>
        <v>1085242</v>
      </c>
      <c r="L29" s="257">
        <f>H138</f>
        <v>5679607</v>
      </c>
      <c r="M29" s="257">
        <f aca="true" t="shared" si="19" ref="M29:V29">+M11</f>
        <v>0</v>
      </c>
      <c r="N29" s="257">
        <f t="shared" si="19"/>
        <v>4372</v>
      </c>
      <c r="O29" s="257">
        <f t="shared" si="19"/>
        <v>46504</v>
      </c>
      <c r="P29" s="257">
        <f t="shared" si="19"/>
        <v>26016</v>
      </c>
      <c r="Q29" s="257">
        <f t="shared" si="19"/>
        <v>0</v>
      </c>
      <c r="R29" s="257">
        <f t="shared" si="19"/>
        <v>23657</v>
      </c>
      <c r="S29" s="257">
        <f t="shared" si="19"/>
        <v>0</v>
      </c>
      <c r="T29" s="257">
        <f t="shared" si="19"/>
        <v>0</v>
      </c>
      <c r="U29" s="257">
        <f t="shared" si="19"/>
        <v>87108</v>
      </c>
      <c r="V29" s="257">
        <f t="shared" si="19"/>
        <v>10888</v>
      </c>
      <c r="W29" s="252"/>
      <c r="X29" s="252"/>
    </row>
    <row r="30" spans="1:24" s="263" customFormat="1" ht="12.75">
      <c r="A30" s="261"/>
      <c r="B30" s="262">
        <v>19</v>
      </c>
      <c r="C30" s="261" t="s">
        <v>1216</v>
      </c>
      <c r="D30" s="261"/>
      <c r="E30" s="261"/>
      <c r="F30" s="257">
        <f>SUM(G30:V30)</f>
        <v>71159206</v>
      </c>
      <c r="G30" s="258">
        <f aca="true" t="shared" si="20" ref="G30:V30">G12</f>
        <v>0</v>
      </c>
      <c r="H30" s="258">
        <f t="shared" si="20"/>
        <v>0</v>
      </c>
      <c r="I30" s="258">
        <f t="shared" si="20"/>
        <v>0</v>
      </c>
      <c r="J30" s="258">
        <f t="shared" si="20"/>
        <v>0</v>
      </c>
      <c r="K30" s="258">
        <f t="shared" si="20"/>
        <v>0</v>
      </c>
      <c r="L30" s="258">
        <f t="shared" si="20"/>
        <v>71159206</v>
      </c>
      <c r="M30" s="258">
        <f t="shared" si="20"/>
        <v>0</v>
      </c>
      <c r="N30" s="258">
        <f t="shared" si="20"/>
        <v>0</v>
      </c>
      <c r="O30" s="258">
        <f t="shared" si="20"/>
        <v>0</v>
      </c>
      <c r="P30" s="258">
        <f t="shared" si="20"/>
        <v>0</v>
      </c>
      <c r="Q30" s="258">
        <f t="shared" si="20"/>
        <v>0</v>
      </c>
      <c r="R30" s="258">
        <f t="shared" si="20"/>
        <v>0</v>
      </c>
      <c r="S30" s="258">
        <f t="shared" si="20"/>
        <v>0</v>
      </c>
      <c r="T30" s="258">
        <f t="shared" si="20"/>
        <v>0</v>
      </c>
      <c r="U30" s="258">
        <f t="shared" si="20"/>
        <v>0</v>
      </c>
      <c r="V30" s="258">
        <f t="shared" si="20"/>
        <v>0</v>
      </c>
      <c r="W30" s="261"/>
      <c r="X30" s="261"/>
    </row>
    <row r="31" spans="1:24" s="256" customFormat="1" ht="12.75">
      <c r="A31" s="252"/>
      <c r="B31" s="253">
        <v>20</v>
      </c>
      <c r="C31" s="264" t="s">
        <v>1217</v>
      </c>
      <c r="D31" s="252"/>
      <c r="E31" s="252"/>
      <c r="F31" s="259">
        <f aca="true" t="shared" si="21" ref="F31:V31">F26-F28-F29-F30</f>
        <v>14308414</v>
      </c>
      <c r="G31" s="259">
        <f t="shared" si="21"/>
        <v>0</v>
      </c>
      <c r="H31" s="259">
        <f t="shared" si="21"/>
        <v>0</v>
      </c>
      <c r="I31" s="259">
        <f t="shared" si="21"/>
        <v>0</v>
      </c>
      <c r="J31" s="259">
        <f t="shared" si="21"/>
        <v>0</v>
      </c>
      <c r="K31" s="259">
        <f t="shared" si="21"/>
        <v>0</v>
      </c>
      <c r="L31" s="259">
        <f t="shared" si="21"/>
        <v>14308414</v>
      </c>
      <c r="M31" s="259">
        <f t="shared" si="21"/>
        <v>0</v>
      </c>
      <c r="N31" s="259">
        <f t="shared" si="21"/>
        <v>0</v>
      </c>
      <c r="O31" s="259">
        <f t="shared" si="21"/>
        <v>0</v>
      </c>
      <c r="P31" s="259">
        <f t="shared" si="21"/>
        <v>0</v>
      </c>
      <c r="Q31" s="259">
        <f t="shared" si="21"/>
        <v>0</v>
      </c>
      <c r="R31" s="259">
        <f t="shared" si="21"/>
        <v>0</v>
      </c>
      <c r="S31" s="259">
        <f t="shared" si="21"/>
        <v>0</v>
      </c>
      <c r="T31" s="259">
        <f t="shared" si="21"/>
        <v>0</v>
      </c>
      <c r="U31" s="259">
        <f t="shared" si="21"/>
        <v>0</v>
      </c>
      <c r="V31" s="259">
        <f t="shared" si="21"/>
        <v>0</v>
      </c>
      <c r="W31" s="252"/>
      <c r="X31" s="252"/>
    </row>
    <row r="32" spans="1:24" s="256" customFormat="1" ht="12.75">
      <c r="A32" s="252"/>
      <c r="B32" s="253">
        <v>21</v>
      </c>
      <c r="C32" s="252" t="s">
        <v>1218</v>
      </c>
      <c r="D32" s="252"/>
      <c r="E32" s="252"/>
      <c r="F32" s="257">
        <f>+F163</f>
        <v>0</v>
      </c>
      <c r="G32" s="252"/>
      <c r="H32" s="252"/>
      <c r="I32" s="252"/>
      <c r="J32" s="252"/>
      <c r="K32" s="252"/>
      <c r="L32" s="252"/>
      <c r="M32" s="252"/>
      <c r="N32" s="261"/>
      <c r="O32" s="252"/>
      <c r="P32" s="252"/>
      <c r="Q32" s="261"/>
      <c r="R32" s="252"/>
      <c r="S32" s="252"/>
      <c r="T32" s="261"/>
      <c r="U32" s="252"/>
      <c r="V32" s="252"/>
      <c r="W32" s="252"/>
      <c r="X32" s="252"/>
    </row>
    <row r="33" spans="1:24" s="256" customFormat="1" ht="12.75">
      <c r="A33" s="252"/>
      <c r="B33" s="253" t="s">
        <v>357</v>
      </c>
      <c r="C33" s="252" t="s">
        <v>975</v>
      </c>
      <c r="D33" s="252"/>
      <c r="E33" s="252"/>
      <c r="F33" s="1194">
        <v>0</v>
      </c>
      <c r="G33" s="252"/>
      <c r="H33" s="252"/>
      <c r="I33" s="252"/>
      <c r="J33" s="252"/>
      <c r="K33" s="252"/>
      <c r="L33" s="252"/>
      <c r="M33" s="252"/>
      <c r="N33" s="261"/>
      <c r="O33" s="252"/>
      <c r="P33" s="252"/>
      <c r="Q33" s="261"/>
      <c r="R33" s="252"/>
      <c r="S33" s="252"/>
      <c r="T33" s="261"/>
      <c r="U33" s="252"/>
      <c r="V33" s="252"/>
      <c r="W33" s="252"/>
      <c r="X33" s="252"/>
    </row>
    <row r="34" spans="1:24" s="256" customFormat="1" ht="12.75">
      <c r="A34" s="252"/>
      <c r="B34" s="253" t="s">
        <v>358</v>
      </c>
      <c r="C34" s="252" t="s">
        <v>359</v>
      </c>
      <c r="D34" s="252"/>
      <c r="E34" s="252"/>
      <c r="F34" s="1195">
        <f>IF((F12+F11)=0,0,(F31/(F12+F11)))</f>
        <v>0.1451906604761168</v>
      </c>
      <c r="G34" s="252"/>
      <c r="H34" s="252"/>
      <c r="I34" s="252"/>
      <c r="J34" s="252"/>
      <c r="K34" s="252"/>
      <c r="L34" s="252"/>
      <c r="M34" s="252"/>
      <c r="N34" s="261"/>
      <c r="O34" s="252"/>
      <c r="P34" s="252"/>
      <c r="Q34" s="261"/>
      <c r="R34" s="252"/>
      <c r="S34" s="252"/>
      <c r="T34" s="261"/>
      <c r="U34" s="252"/>
      <c r="V34" s="252"/>
      <c r="W34" s="252"/>
      <c r="X34" s="252"/>
    </row>
    <row r="35" spans="1:24" s="256" customFormat="1" ht="12.75">
      <c r="A35" s="252"/>
      <c r="B35" s="253" t="s">
        <v>1749</v>
      </c>
      <c r="C35" s="252" t="s">
        <v>360</v>
      </c>
      <c r="D35" s="252"/>
      <c r="E35" s="252" t="s">
        <v>361</v>
      </c>
      <c r="F35" s="257">
        <f>ROUND(F33*F34,2)</f>
        <v>0</v>
      </c>
      <c r="G35" s="252"/>
      <c r="H35" s="252"/>
      <c r="I35" s="252"/>
      <c r="J35" s="252"/>
      <c r="K35" s="252"/>
      <c r="L35" s="252"/>
      <c r="M35" s="252"/>
      <c r="N35" s="261"/>
      <c r="O35" s="252"/>
      <c r="P35" s="252"/>
      <c r="Q35" s="261"/>
      <c r="R35" s="252"/>
      <c r="S35" s="252"/>
      <c r="T35" s="261"/>
      <c r="U35" s="252"/>
      <c r="V35" s="252"/>
      <c r="W35" s="252"/>
      <c r="X35" s="252"/>
    </row>
    <row r="36" spans="1:24" s="263" customFormat="1" ht="13.5" thickBot="1">
      <c r="A36" s="261"/>
      <c r="B36" s="262">
        <v>22</v>
      </c>
      <c r="C36" s="1196" t="s">
        <v>1655</v>
      </c>
      <c r="D36" s="261"/>
      <c r="E36" s="261" t="s">
        <v>1750</v>
      </c>
      <c r="F36" s="1197">
        <f>SUM(F31:F32)+F35</f>
        <v>14308414</v>
      </c>
      <c r="G36" s="261"/>
      <c r="H36" s="261"/>
      <c r="I36" s="261"/>
      <c r="J36" s="261"/>
      <c r="K36" s="261"/>
      <c r="L36" s="261"/>
      <c r="M36" s="261"/>
      <c r="N36" s="261"/>
      <c r="O36" s="261"/>
      <c r="P36" s="261"/>
      <c r="Q36" s="261"/>
      <c r="R36" s="261"/>
      <c r="S36" s="261"/>
      <c r="T36" s="261"/>
      <c r="U36" s="261"/>
      <c r="V36" s="261"/>
      <c r="W36" s="261"/>
      <c r="X36" s="261"/>
    </row>
    <row r="37" spans="1:24" s="256" customFormat="1" ht="13.5" thickTop="1">
      <c r="A37" s="252"/>
      <c r="B37" s="253"/>
      <c r="C37" s="252"/>
      <c r="D37" s="252"/>
      <c r="E37" s="252"/>
      <c r="F37" s="252"/>
      <c r="G37" s="252"/>
      <c r="H37" s="252"/>
      <c r="I37" s="252"/>
      <c r="J37" s="252"/>
      <c r="K37" s="252"/>
      <c r="L37" s="252"/>
      <c r="M37" s="252"/>
      <c r="N37" s="261"/>
      <c r="O37" s="252"/>
      <c r="P37" s="252"/>
      <c r="Q37" s="261"/>
      <c r="R37" s="252"/>
      <c r="S37" s="252"/>
      <c r="T37" s="261"/>
      <c r="U37" s="252"/>
      <c r="V37" s="252"/>
      <c r="W37" s="252"/>
      <c r="X37" s="252"/>
    </row>
    <row r="38" spans="1:24" s="256" customFormat="1" ht="12.75">
      <c r="A38" s="252"/>
      <c r="B38" s="253"/>
      <c r="C38" s="252"/>
      <c r="D38" s="252"/>
      <c r="E38" s="252"/>
      <c r="F38" s="32"/>
      <c r="G38" s="33" t="s">
        <v>781</v>
      </c>
      <c r="H38" s="265"/>
      <c r="I38" s="265"/>
      <c r="J38" s="265"/>
      <c r="K38" s="265"/>
      <c r="L38" s="265"/>
      <c r="M38" s="265"/>
      <c r="N38" s="266"/>
      <c r="O38" s="265"/>
      <c r="P38" s="265"/>
      <c r="Q38" s="266"/>
      <c r="R38" s="265"/>
      <c r="S38" s="265"/>
      <c r="T38" s="266"/>
      <c r="U38" s="265"/>
      <c r="V38" s="265"/>
      <c r="W38" s="252"/>
      <c r="X38" s="252"/>
    </row>
    <row r="39" spans="1:24" s="256" customFormat="1" ht="12.75">
      <c r="A39" s="252"/>
      <c r="B39" s="253"/>
      <c r="C39" s="264" t="s">
        <v>1219</v>
      </c>
      <c r="D39" s="252"/>
      <c r="E39" s="252"/>
      <c r="F39" s="267" t="str">
        <f aca="true" t="shared" si="22" ref="F39:V39">+F10</f>
        <v>TOTAL</v>
      </c>
      <c r="G39" s="267" t="str">
        <f t="shared" si="22"/>
        <v>CMCPH</v>
      </c>
      <c r="H39" s="267" t="str">
        <f t="shared" si="22"/>
        <v>KCPL</v>
      </c>
      <c r="I39" s="267" t="str">
        <f t="shared" si="22"/>
        <v>MIDW</v>
      </c>
      <c r="J39" s="267" t="str">
        <f t="shared" si="22"/>
        <v>MOPEP</v>
      </c>
      <c r="K39" s="267" t="str">
        <f t="shared" si="22"/>
        <v>OMPA</v>
      </c>
      <c r="L39" s="267" t="str">
        <f t="shared" si="22"/>
        <v>SWPP</v>
      </c>
      <c r="M39" s="267" t="str">
        <f t="shared" si="22"/>
        <v>SWPP Studies</v>
      </c>
      <c r="N39" s="267" t="str">
        <f t="shared" si="22"/>
        <v>DEC</v>
      </c>
      <c r="O39" s="267" t="str">
        <f t="shared" si="22"/>
        <v>KVE</v>
      </c>
      <c r="P39" s="267" t="str">
        <f t="shared" si="22"/>
        <v>NMEC</v>
      </c>
      <c r="Q39" s="267" t="str">
        <f t="shared" si="22"/>
        <v>OPSI</v>
      </c>
      <c r="R39" s="267" t="str">
        <f t="shared" si="22"/>
        <v>CCHAN</v>
      </c>
      <c r="S39" s="267" t="str">
        <f t="shared" si="22"/>
        <v>ENEL</v>
      </c>
      <c r="T39" s="267" t="str">
        <f t="shared" si="22"/>
        <v>n/a</v>
      </c>
      <c r="U39" s="267" t="str">
        <f t="shared" si="22"/>
        <v>CNEOD</v>
      </c>
      <c r="V39" s="267" t="str">
        <f t="shared" si="22"/>
        <v>CWINF</v>
      </c>
      <c r="W39" s="1198"/>
      <c r="X39" s="1198"/>
    </row>
    <row r="40" spans="1:24" s="256" customFormat="1" ht="12.75">
      <c r="A40" s="252"/>
      <c r="B40" s="253">
        <v>23</v>
      </c>
      <c r="C40" s="252" t="str">
        <f aca="true" t="shared" si="23" ref="C40:D51">+C11</f>
        <v>456.1000</v>
      </c>
      <c r="D40" s="252" t="str">
        <f t="shared" si="23"/>
        <v>Transmission Service</v>
      </c>
      <c r="E40" s="252"/>
      <c r="F40" s="254">
        <f aca="true" t="shared" si="24" ref="F40:F54">SUM(G40:V40)</f>
        <v>16287900</v>
      </c>
      <c r="G40" s="1339">
        <v>3098977</v>
      </c>
      <c r="H40" s="1339">
        <v>0</v>
      </c>
      <c r="I40" s="1339">
        <v>2514572</v>
      </c>
      <c r="J40" s="1339">
        <v>0</v>
      </c>
      <c r="K40" s="1339">
        <v>542624</v>
      </c>
      <c r="L40" s="1339">
        <v>9994394</v>
      </c>
      <c r="M40" s="1339">
        <v>0</v>
      </c>
      <c r="N40" s="1339">
        <v>4372</v>
      </c>
      <c r="O40" s="1339">
        <v>46504</v>
      </c>
      <c r="P40" s="1339">
        <v>26016</v>
      </c>
      <c r="Q40" s="1339">
        <v>0</v>
      </c>
      <c r="R40" s="1339">
        <v>11443</v>
      </c>
      <c r="S40" s="1339">
        <v>0</v>
      </c>
      <c r="T40" s="1339">
        <v>0</v>
      </c>
      <c r="U40" s="1339">
        <v>43554</v>
      </c>
      <c r="V40" s="1339">
        <v>5444</v>
      </c>
      <c r="W40" s="252"/>
      <c r="X40" s="252"/>
    </row>
    <row r="41" spans="1:24" s="256" customFormat="1" ht="12.75">
      <c r="A41" s="252"/>
      <c r="B41" s="253">
        <v>24</v>
      </c>
      <c r="C41" s="252" t="str">
        <f t="shared" si="23"/>
        <v>456.1001</v>
      </c>
      <c r="D41" s="252" t="str">
        <f t="shared" si="23"/>
        <v>Trans Service - Retail Only</v>
      </c>
      <c r="E41" s="252"/>
      <c r="F41" s="257">
        <f t="shared" si="24"/>
        <v>35579603</v>
      </c>
      <c r="G41" s="1339">
        <v>0</v>
      </c>
      <c r="H41" s="1340">
        <v>0</v>
      </c>
      <c r="I41" s="1340">
        <v>0</v>
      </c>
      <c r="J41" s="1340">
        <v>0</v>
      </c>
      <c r="K41" s="1340">
        <v>0</v>
      </c>
      <c r="L41" s="1339">
        <v>35579603</v>
      </c>
      <c r="M41" s="1340">
        <v>0</v>
      </c>
      <c r="N41" s="1340">
        <v>0</v>
      </c>
      <c r="O41" s="1340">
        <v>0</v>
      </c>
      <c r="P41" s="1340">
        <v>0</v>
      </c>
      <c r="Q41" s="1340">
        <v>0</v>
      </c>
      <c r="R41" s="1340">
        <v>0</v>
      </c>
      <c r="S41" s="1340">
        <v>0</v>
      </c>
      <c r="T41" s="1340">
        <v>0</v>
      </c>
      <c r="U41" s="1340">
        <v>0</v>
      </c>
      <c r="V41" s="1340">
        <v>0</v>
      </c>
      <c r="W41" s="252"/>
      <c r="X41" s="252"/>
    </row>
    <row r="42" spans="1:24" s="256" customFormat="1" ht="12.75">
      <c r="A42" s="252"/>
      <c r="B42" s="253">
        <v>25</v>
      </c>
      <c r="C42" s="252" t="str">
        <f t="shared" si="23"/>
        <v>456.1500</v>
      </c>
      <c r="D42" s="252" t="str">
        <f t="shared" si="23"/>
        <v>Anc 1</v>
      </c>
      <c r="E42" s="252"/>
      <c r="F42" s="257">
        <f t="shared" si="24"/>
        <v>1193327</v>
      </c>
      <c r="G42" s="1339">
        <v>107019</v>
      </c>
      <c r="H42" s="1340">
        <v>0</v>
      </c>
      <c r="I42" s="1340">
        <v>483840</v>
      </c>
      <c r="J42" s="1340">
        <v>131237</v>
      </c>
      <c r="K42" s="1340">
        <v>0</v>
      </c>
      <c r="L42" s="1339">
        <v>469394</v>
      </c>
      <c r="M42" s="1340">
        <v>0</v>
      </c>
      <c r="N42" s="1340">
        <v>0</v>
      </c>
      <c r="O42" s="1340">
        <v>0</v>
      </c>
      <c r="P42" s="1340">
        <v>0</v>
      </c>
      <c r="Q42" s="1340">
        <v>6</v>
      </c>
      <c r="R42" s="1340">
        <v>-152</v>
      </c>
      <c r="S42" s="1340">
        <v>291</v>
      </c>
      <c r="T42" s="1340">
        <v>0</v>
      </c>
      <c r="U42" s="1340">
        <v>1504</v>
      </c>
      <c r="V42" s="1340">
        <v>188</v>
      </c>
      <c r="W42" s="252"/>
      <c r="X42" s="252"/>
    </row>
    <row r="43" spans="1:24" s="256" customFormat="1" ht="12.75">
      <c r="A43" s="252"/>
      <c r="B43" s="253">
        <v>26</v>
      </c>
      <c r="C43" s="252" t="str">
        <f t="shared" si="23"/>
        <v>456.1501</v>
      </c>
      <c r="D43" s="252" t="str">
        <f t="shared" si="23"/>
        <v>Anc 1 - Retail Only</v>
      </c>
      <c r="E43" s="252"/>
      <c r="F43" s="257">
        <f t="shared" si="24"/>
        <v>1278439</v>
      </c>
      <c r="G43" s="1339">
        <v>0</v>
      </c>
      <c r="H43" s="1340">
        <v>0</v>
      </c>
      <c r="I43" s="1340">
        <v>0</v>
      </c>
      <c r="J43" s="1340">
        <v>0</v>
      </c>
      <c r="K43" s="1340">
        <v>0</v>
      </c>
      <c r="L43" s="1339">
        <v>1277969</v>
      </c>
      <c r="M43" s="1340">
        <v>0</v>
      </c>
      <c r="N43" s="1340">
        <v>0</v>
      </c>
      <c r="O43" s="1340">
        <v>0</v>
      </c>
      <c r="P43" s="1340">
        <v>0</v>
      </c>
      <c r="Q43" s="1340">
        <v>0</v>
      </c>
      <c r="R43" s="1340">
        <v>470</v>
      </c>
      <c r="S43" s="1340">
        <v>0</v>
      </c>
      <c r="T43" s="1340">
        <v>0</v>
      </c>
      <c r="U43" s="1340">
        <v>0</v>
      </c>
      <c r="V43" s="1340">
        <v>0</v>
      </c>
      <c r="W43" s="252"/>
      <c r="X43" s="252"/>
    </row>
    <row r="44" spans="1:24" s="256" customFormat="1" ht="12.75">
      <c r="A44" s="252"/>
      <c r="B44" s="253">
        <v>27</v>
      </c>
      <c r="C44" s="252" t="str">
        <f t="shared" si="23"/>
        <v>456.1100</v>
      </c>
      <c r="D44" s="252" t="str">
        <f t="shared" si="23"/>
        <v>Anc 2</v>
      </c>
      <c r="E44" s="252"/>
      <c r="F44" s="257">
        <f t="shared" si="24"/>
        <v>526318</v>
      </c>
      <c r="G44" s="1339">
        <v>174506</v>
      </c>
      <c r="H44" s="1340">
        <v>0</v>
      </c>
      <c r="I44" s="1340">
        <v>0</v>
      </c>
      <c r="J44" s="1340">
        <v>0</v>
      </c>
      <c r="K44" s="1340">
        <v>0</v>
      </c>
      <c r="L44" s="1339">
        <v>349052</v>
      </c>
      <c r="M44" s="1340">
        <v>0</v>
      </c>
      <c r="N44" s="1340">
        <v>0</v>
      </c>
      <c r="O44" s="1340">
        <v>0</v>
      </c>
      <c r="P44" s="1340">
        <v>0</v>
      </c>
      <c r="Q44" s="1340">
        <v>0</v>
      </c>
      <c r="R44" s="1340">
        <v>0</v>
      </c>
      <c r="S44" s="1340">
        <v>0</v>
      </c>
      <c r="T44" s="1340">
        <v>0</v>
      </c>
      <c r="U44" s="1340">
        <v>2453</v>
      </c>
      <c r="V44" s="1340">
        <v>307</v>
      </c>
      <c r="W44" s="252"/>
      <c r="X44" s="252"/>
    </row>
    <row r="45" spans="1:24" s="256" customFormat="1" ht="12.75">
      <c r="A45" s="252"/>
      <c r="B45" s="253">
        <v>28</v>
      </c>
      <c r="C45" s="252" t="str">
        <f t="shared" si="23"/>
        <v>456.1210</v>
      </c>
      <c r="D45" s="252" t="str">
        <f t="shared" si="23"/>
        <v>n/a</v>
      </c>
      <c r="E45" s="252"/>
      <c r="F45" s="257">
        <f t="shared" si="24"/>
        <v>0</v>
      </c>
      <c r="G45" s="1339">
        <v>0</v>
      </c>
      <c r="H45" s="1340">
        <v>0</v>
      </c>
      <c r="I45" s="1340">
        <v>0</v>
      </c>
      <c r="J45" s="1340">
        <v>0</v>
      </c>
      <c r="K45" s="1340">
        <v>0</v>
      </c>
      <c r="L45" s="1339">
        <v>0</v>
      </c>
      <c r="M45" s="1340">
        <v>0</v>
      </c>
      <c r="N45" s="1340">
        <v>0</v>
      </c>
      <c r="O45" s="1340">
        <v>0</v>
      </c>
      <c r="P45" s="1340">
        <v>0</v>
      </c>
      <c r="Q45" s="1340">
        <v>0</v>
      </c>
      <c r="R45" s="1340">
        <v>0</v>
      </c>
      <c r="S45" s="1340">
        <v>0</v>
      </c>
      <c r="T45" s="1340">
        <v>0</v>
      </c>
      <c r="U45" s="1340">
        <v>0</v>
      </c>
      <c r="V45" s="1340">
        <v>0</v>
      </c>
      <c r="W45" s="252"/>
      <c r="X45" s="252"/>
    </row>
    <row r="46" spans="1:24" s="256" customFormat="1" ht="12.75">
      <c r="A46" s="252"/>
      <c r="B46" s="253">
        <v>29</v>
      </c>
      <c r="C46" s="252" t="str">
        <f t="shared" si="23"/>
        <v>456.1101</v>
      </c>
      <c r="D46" s="252" t="str">
        <f t="shared" si="23"/>
        <v>Anc 2 - Retail Only</v>
      </c>
      <c r="E46" s="252"/>
      <c r="F46" s="257">
        <f t="shared" si="24"/>
        <v>624782</v>
      </c>
      <c r="G46" s="1339">
        <v>0</v>
      </c>
      <c r="H46" s="1340">
        <v>0</v>
      </c>
      <c r="I46" s="1340">
        <v>0</v>
      </c>
      <c r="J46" s="1340">
        <v>0</v>
      </c>
      <c r="K46" s="1340">
        <v>0</v>
      </c>
      <c r="L46" s="1339">
        <v>624782</v>
      </c>
      <c r="M46" s="1340">
        <v>0</v>
      </c>
      <c r="N46" s="1340">
        <v>0</v>
      </c>
      <c r="O46" s="1340">
        <v>0</v>
      </c>
      <c r="P46" s="1340">
        <v>0</v>
      </c>
      <c r="Q46" s="1340">
        <v>0</v>
      </c>
      <c r="R46" s="1340">
        <v>0</v>
      </c>
      <c r="S46" s="1340">
        <v>0</v>
      </c>
      <c r="T46" s="1340">
        <v>0</v>
      </c>
      <c r="U46" s="1340">
        <v>0</v>
      </c>
      <c r="V46" s="1340">
        <v>0</v>
      </c>
      <c r="W46" s="252"/>
      <c r="X46" s="252"/>
    </row>
    <row r="47" spans="1:24" s="256" customFormat="1" ht="12.75">
      <c r="A47" s="252"/>
      <c r="B47" s="253">
        <v>30</v>
      </c>
      <c r="C47" s="252" t="str">
        <f t="shared" si="23"/>
        <v>456.1020</v>
      </c>
      <c r="D47" s="252" t="str">
        <f t="shared" si="23"/>
        <v>Anc 3</v>
      </c>
      <c r="E47" s="252"/>
      <c r="F47" s="257">
        <f t="shared" si="24"/>
        <v>173619</v>
      </c>
      <c r="G47" s="1339">
        <v>102508</v>
      </c>
      <c r="H47" s="1340">
        <v>0</v>
      </c>
      <c r="I47" s="1340">
        <v>0</v>
      </c>
      <c r="J47" s="1340">
        <v>0</v>
      </c>
      <c r="K47" s="1340">
        <v>0</v>
      </c>
      <c r="L47" s="1339">
        <v>69490</v>
      </c>
      <c r="M47" s="1340">
        <v>0</v>
      </c>
      <c r="N47" s="1340">
        <v>0</v>
      </c>
      <c r="O47" s="1340">
        <v>0</v>
      </c>
      <c r="P47" s="1340">
        <v>0</v>
      </c>
      <c r="Q47" s="1340">
        <v>0</v>
      </c>
      <c r="R47" s="1340">
        <v>0</v>
      </c>
      <c r="S47" s="1340">
        <v>0</v>
      </c>
      <c r="T47" s="1340">
        <v>0</v>
      </c>
      <c r="U47" s="1340">
        <v>1441</v>
      </c>
      <c r="V47" s="1340">
        <v>180</v>
      </c>
      <c r="W47" s="252"/>
      <c r="X47" s="252"/>
    </row>
    <row r="48" spans="1:24" s="256" customFormat="1" ht="12.75">
      <c r="A48" s="252"/>
      <c r="B48" s="253">
        <v>31</v>
      </c>
      <c r="C48" s="252" t="str">
        <f t="shared" si="23"/>
        <v>456.1030</v>
      </c>
      <c r="D48" s="252" t="str">
        <f t="shared" si="23"/>
        <v>Anc 4</v>
      </c>
      <c r="E48" s="252"/>
      <c r="F48" s="257">
        <f t="shared" si="24"/>
        <v>223</v>
      </c>
      <c r="G48" s="1339">
        <v>0</v>
      </c>
      <c r="H48" s="1340">
        <v>0</v>
      </c>
      <c r="I48" s="1340">
        <v>0</v>
      </c>
      <c r="J48" s="1340">
        <v>0</v>
      </c>
      <c r="K48" s="1340">
        <v>0</v>
      </c>
      <c r="L48" s="1339"/>
      <c r="M48" s="1340">
        <v>0</v>
      </c>
      <c r="N48" s="1340">
        <v>0</v>
      </c>
      <c r="O48" s="1340">
        <v>0</v>
      </c>
      <c r="P48" s="1340">
        <v>0</v>
      </c>
      <c r="Q48" s="1340">
        <v>0</v>
      </c>
      <c r="R48" s="1340">
        <v>0</v>
      </c>
      <c r="S48" s="1340">
        <v>0</v>
      </c>
      <c r="T48" s="1340">
        <v>0</v>
      </c>
      <c r="U48" s="1340">
        <v>0</v>
      </c>
      <c r="V48" s="1340">
        <v>223</v>
      </c>
      <c r="W48" s="252"/>
      <c r="X48" s="252"/>
    </row>
    <row r="49" spans="1:24" s="256" customFormat="1" ht="12.75">
      <c r="A49" s="252"/>
      <c r="B49" s="253">
        <v>32</v>
      </c>
      <c r="C49" s="252" t="str">
        <f t="shared" si="23"/>
        <v>456.1040</v>
      </c>
      <c r="D49" s="252" t="str">
        <f t="shared" si="23"/>
        <v>Anc 5</v>
      </c>
      <c r="E49" s="252"/>
      <c r="F49" s="257">
        <f t="shared" si="24"/>
        <v>205677</v>
      </c>
      <c r="G49" s="1339">
        <v>126807</v>
      </c>
      <c r="H49" s="1340">
        <v>0</v>
      </c>
      <c r="I49" s="1340">
        <v>0</v>
      </c>
      <c r="J49" s="1340">
        <v>0</v>
      </c>
      <c r="K49" s="1340">
        <v>0</v>
      </c>
      <c r="L49" s="1339">
        <v>77088</v>
      </c>
      <c r="M49" s="1340">
        <v>0</v>
      </c>
      <c r="N49" s="1340">
        <v>0</v>
      </c>
      <c r="O49" s="1340">
        <v>0</v>
      </c>
      <c r="P49" s="1340">
        <v>0</v>
      </c>
      <c r="Q49" s="1340">
        <v>0</v>
      </c>
      <c r="R49" s="1340">
        <v>0</v>
      </c>
      <c r="S49" s="1340">
        <v>0</v>
      </c>
      <c r="T49" s="1340">
        <v>0</v>
      </c>
      <c r="U49" s="1340">
        <v>1782</v>
      </c>
      <c r="V49" s="1340">
        <v>0</v>
      </c>
      <c r="W49" s="252"/>
      <c r="X49" s="252"/>
    </row>
    <row r="50" spans="1:24" s="256" customFormat="1" ht="12.75">
      <c r="A50" s="252"/>
      <c r="B50" s="253">
        <v>33</v>
      </c>
      <c r="C50" s="252" t="str">
        <f t="shared" si="23"/>
        <v>456.1050</v>
      </c>
      <c r="D50" s="252" t="str">
        <f t="shared" si="23"/>
        <v>Anc 6</v>
      </c>
      <c r="E50" s="252"/>
      <c r="F50" s="257">
        <f t="shared" si="24"/>
        <v>0</v>
      </c>
      <c r="G50" s="1339">
        <v>0</v>
      </c>
      <c r="H50" s="1340">
        <v>0</v>
      </c>
      <c r="I50" s="1340">
        <v>0</v>
      </c>
      <c r="J50" s="1340">
        <v>0</v>
      </c>
      <c r="K50" s="1340">
        <v>0</v>
      </c>
      <c r="L50" s="1339">
        <v>0</v>
      </c>
      <c r="M50" s="1340">
        <v>0</v>
      </c>
      <c r="N50" s="1340">
        <v>0</v>
      </c>
      <c r="O50" s="1340">
        <v>0</v>
      </c>
      <c r="P50" s="1340">
        <v>0</v>
      </c>
      <c r="Q50" s="1340">
        <v>0</v>
      </c>
      <c r="R50" s="1340">
        <v>0</v>
      </c>
      <c r="S50" s="1340">
        <v>0</v>
      </c>
      <c r="T50" s="1340">
        <v>0</v>
      </c>
      <c r="U50" s="1340">
        <v>0</v>
      </c>
      <c r="V50" s="1340">
        <v>0</v>
      </c>
      <c r="W50" s="252"/>
      <c r="X50" s="252"/>
    </row>
    <row r="51" spans="1:24" s="256" customFormat="1" ht="12.75">
      <c r="A51" s="252"/>
      <c r="B51" s="253">
        <v>34</v>
      </c>
      <c r="C51" s="252" t="str">
        <f t="shared" si="23"/>
        <v>456.1060</v>
      </c>
      <c r="D51" s="252" t="str">
        <f t="shared" si="23"/>
        <v>SPP Losses/MIDW Cntrl</v>
      </c>
      <c r="E51" s="252"/>
      <c r="F51" s="257">
        <f t="shared" si="24"/>
        <v>1578989</v>
      </c>
      <c r="G51" s="1339">
        <v>0</v>
      </c>
      <c r="H51" s="1340">
        <v>0</v>
      </c>
      <c r="I51" s="1340">
        <v>0</v>
      </c>
      <c r="J51" s="1340">
        <v>0</v>
      </c>
      <c r="K51" s="1340">
        <v>0</v>
      </c>
      <c r="L51" s="1339">
        <v>1578989</v>
      </c>
      <c r="M51" s="1340">
        <v>0</v>
      </c>
      <c r="N51" s="1340">
        <v>0</v>
      </c>
      <c r="O51" s="1340">
        <v>0</v>
      </c>
      <c r="P51" s="1340">
        <v>0</v>
      </c>
      <c r="Q51" s="1340">
        <v>0</v>
      </c>
      <c r="R51" s="1340">
        <v>0</v>
      </c>
      <c r="S51" s="1340">
        <v>0</v>
      </c>
      <c r="T51" s="1340">
        <v>0</v>
      </c>
      <c r="U51" s="1340">
        <v>0</v>
      </c>
      <c r="V51" s="1340">
        <v>0</v>
      </c>
      <c r="W51" s="252"/>
      <c r="X51" s="252"/>
    </row>
    <row r="52" spans="1:24" s="256" customFormat="1" ht="12.75">
      <c r="A52" s="252"/>
      <c r="B52" s="253">
        <v>35</v>
      </c>
      <c r="C52" s="252" t="str">
        <f aca="true" t="shared" si="25" ref="C52:D54">+C23</f>
        <v>456.1200</v>
      </c>
      <c r="D52" s="252" t="str">
        <f t="shared" si="25"/>
        <v>Dist. Facilities Charge</v>
      </c>
      <c r="E52" s="252"/>
      <c r="F52" s="257">
        <f t="shared" si="24"/>
        <v>973480</v>
      </c>
      <c r="G52" s="1339">
        <v>0</v>
      </c>
      <c r="H52" s="1340">
        <v>24244</v>
      </c>
      <c r="I52" s="1340">
        <v>154611</v>
      </c>
      <c r="J52" s="1340">
        <v>0</v>
      </c>
      <c r="K52" s="1340">
        <v>0</v>
      </c>
      <c r="L52" s="1339">
        <v>794625</v>
      </c>
      <c r="M52" s="1340">
        <v>0</v>
      </c>
      <c r="N52" s="1340">
        <v>0</v>
      </c>
      <c r="O52" s="1340">
        <v>0</v>
      </c>
      <c r="P52" s="1340">
        <v>0</v>
      </c>
      <c r="Q52" s="1340">
        <v>0</v>
      </c>
      <c r="R52" s="1340">
        <v>0</v>
      </c>
      <c r="S52" s="1340">
        <v>0</v>
      </c>
      <c r="T52" s="1340">
        <v>0</v>
      </c>
      <c r="U52" s="1340">
        <v>0</v>
      </c>
      <c r="V52" s="1340">
        <v>0</v>
      </c>
      <c r="W52" s="252"/>
      <c r="X52" s="252"/>
    </row>
    <row r="53" spans="1:24" s="256" customFormat="1" ht="12.75">
      <c r="A53" s="252"/>
      <c r="B53" s="253" t="s">
        <v>1656</v>
      </c>
      <c r="C53" s="252" t="str">
        <f t="shared" si="25"/>
        <v>456.xxxx</v>
      </c>
      <c r="D53" s="252" t="str">
        <f t="shared" si="25"/>
        <v>Trans. Fac. Charge</v>
      </c>
      <c r="E53" s="252"/>
      <c r="F53" s="257">
        <f>SUM(G53:V53)</f>
        <v>0</v>
      </c>
      <c r="G53" s="1339">
        <v>0</v>
      </c>
      <c r="H53" s="1340">
        <v>0</v>
      </c>
      <c r="I53" s="1340">
        <v>0</v>
      </c>
      <c r="J53" s="1340">
        <v>0</v>
      </c>
      <c r="K53" s="1340">
        <v>0</v>
      </c>
      <c r="L53" s="1339">
        <v>0</v>
      </c>
      <c r="M53" s="1340">
        <v>0</v>
      </c>
      <c r="N53" s="1340">
        <v>0</v>
      </c>
      <c r="O53" s="1340">
        <v>0</v>
      </c>
      <c r="P53" s="1340">
        <v>0</v>
      </c>
      <c r="Q53" s="1340">
        <v>0</v>
      </c>
      <c r="R53" s="1340">
        <v>0</v>
      </c>
      <c r="S53" s="1340">
        <v>0</v>
      </c>
      <c r="T53" s="1340">
        <v>0</v>
      </c>
      <c r="U53" s="1340">
        <v>0</v>
      </c>
      <c r="V53" s="1340">
        <v>0</v>
      </c>
      <c r="W53" s="252"/>
      <c r="X53" s="252"/>
    </row>
    <row r="54" spans="1:24" s="256" customFormat="1" ht="12.75">
      <c r="A54" s="252"/>
      <c r="B54" s="253">
        <v>36</v>
      </c>
      <c r="C54" s="252" t="str">
        <f t="shared" si="25"/>
        <v>456.1003</v>
      </c>
      <c r="D54" s="252" t="str">
        <f t="shared" si="25"/>
        <v>Trans Studies</v>
      </c>
      <c r="E54" s="252"/>
      <c r="F54" s="257">
        <f t="shared" si="24"/>
        <v>0</v>
      </c>
      <c r="G54" s="1339">
        <v>0</v>
      </c>
      <c r="H54" s="1340">
        <v>0</v>
      </c>
      <c r="I54" s="1340">
        <v>0</v>
      </c>
      <c r="J54" s="1340">
        <v>0</v>
      </c>
      <c r="K54" s="1340">
        <v>0</v>
      </c>
      <c r="L54" s="1339">
        <v>0</v>
      </c>
      <c r="M54" s="1340">
        <v>0</v>
      </c>
      <c r="N54" s="1340">
        <v>0</v>
      </c>
      <c r="O54" s="1340">
        <v>0</v>
      </c>
      <c r="P54" s="1340">
        <v>0</v>
      </c>
      <c r="Q54" s="1340">
        <v>0</v>
      </c>
      <c r="R54" s="1340">
        <v>0</v>
      </c>
      <c r="S54" s="1340">
        <v>0</v>
      </c>
      <c r="T54" s="1340">
        <v>0</v>
      </c>
      <c r="U54" s="1340">
        <v>0</v>
      </c>
      <c r="V54" s="1340">
        <v>0</v>
      </c>
      <c r="W54" s="252"/>
      <c r="X54" s="252"/>
    </row>
    <row r="55" spans="1:24" s="256" customFormat="1" ht="12.75">
      <c r="A55" s="252"/>
      <c r="B55" s="253">
        <v>37</v>
      </c>
      <c r="C55" s="252" t="str">
        <f>+C26</f>
        <v>Total</v>
      </c>
      <c r="D55" s="252"/>
      <c r="E55" s="252"/>
      <c r="F55" s="259">
        <f aca="true" t="shared" si="26" ref="F55:V55">SUM(F40:F54)</f>
        <v>58422357</v>
      </c>
      <c r="G55" s="259">
        <f t="shared" si="26"/>
        <v>3609817</v>
      </c>
      <c r="H55" s="259">
        <f t="shared" si="26"/>
        <v>24244</v>
      </c>
      <c r="I55" s="259">
        <f t="shared" si="26"/>
        <v>3153023</v>
      </c>
      <c r="J55" s="259">
        <f t="shared" si="26"/>
        <v>131237</v>
      </c>
      <c r="K55" s="259">
        <f t="shared" si="26"/>
        <v>542624</v>
      </c>
      <c r="L55" s="259">
        <f t="shared" si="26"/>
        <v>50815386</v>
      </c>
      <c r="M55" s="259">
        <f t="shared" si="26"/>
        <v>0</v>
      </c>
      <c r="N55" s="259">
        <f t="shared" si="26"/>
        <v>4372</v>
      </c>
      <c r="O55" s="259">
        <f t="shared" si="26"/>
        <v>46504</v>
      </c>
      <c r="P55" s="259">
        <f t="shared" si="26"/>
        <v>26016</v>
      </c>
      <c r="Q55" s="259">
        <f t="shared" si="26"/>
        <v>6</v>
      </c>
      <c r="R55" s="259">
        <f t="shared" si="26"/>
        <v>11761</v>
      </c>
      <c r="S55" s="259">
        <f t="shared" si="26"/>
        <v>291</v>
      </c>
      <c r="T55" s="259">
        <f t="shared" si="26"/>
        <v>0</v>
      </c>
      <c r="U55" s="259">
        <f t="shared" si="26"/>
        <v>50734</v>
      </c>
      <c r="V55" s="259">
        <f t="shared" si="26"/>
        <v>6342</v>
      </c>
      <c r="W55" s="252"/>
      <c r="X55" s="252"/>
    </row>
    <row r="56" spans="1:24" s="256" customFormat="1" ht="12.75">
      <c r="A56" s="252"/>
      <c r="B56" s="253"/>
      <c r="C56" s="252"/>
      <c r="D56" s="252"/>
      <c r="E56" s="252"/>
      <c r="F56" s="252"/>
      <c r="G56" s="252"/>
      <c r="H56" s="252"/>
      <c r="I56" s="252"/>
      <c r="J56" s="252"/>
      <c r="K56" s="252"/>
      <c r="L56" s="252"/>
      <c r="M56" s="252"/>
      <c r="N56" s="261"/>
      <c r="O56" s="252"/>
      <c r="P56" s="252"/>
      <c r="Q56" s="261"/>
      <c r="R56" s="252"/>
      <c r="S56" s="252"/>
      <c r="T56" s="261"/>
      <c r="U56" s="252"/>
      <c r="V56" s="252"/>
      <c r="W56" s="252"/>
      <c r="X56" s="252"/>
    </row>
    <row r="57" spans="1:24" s="256" customFormat="1" ht="12.75">
      <c r="A57" s="252"/>
      <c r="B57" s="253"/>
      <c r="C57" s="252"/>
      <c r="D57" s="252"/>
      <c r="E57" s="252"/>
      <c r="F57" s="32"/>
      <c r="G57" s="33" t="s">
        <v>781</v>
      </c>
      <c r="H57" s="265"/>
      <c r="I57" s="265"/>
      <c r="J57" s="265"/>
      <c r="K57" s="265"/>
      <c r="L57" s="265"/>
      <c r="M57" s="265"/>
      <c r="N57" s="266"/>
      <c r="O57" s="265"/>
      <c r="P57" s="265"/>
      <c r="Q57" s="266"/>
      <c r="R57" s="265"/>
      <c r="S57" s="265"/>
      <c r="T57" s="266"/>
      <c r="U57" s="265"/>
      <c r="V57" s="265"/>
      <c r="W57" s="252"/>
      <c r="X57" s="252"/>
    </row>
    <row r="58" spans="1:24" s="256" customFormat="1" ht="12.75">
      <c r="A58" s="252"/>
      <c r="B58" s="253"/>
      <c r="C58" s="264" t="s">
        <v>1220</v>
      </c>
      <c r="D58" s="252"/>
      <c r="E58" s="252"/>
      <c r="F58" s="267" t="str">
        <f aca="true" t="shared" si="27" ref="F58:V58">+F10</f>
        <v>TOTAL</v>
      </c>
      <c r="G58" s="267" t="str">
        <f t="shared" si="27"/>
        <v>CMCPH</v>
      </c>
      <c r="H58" s="267" t="str">
        <f t="shared" si="27"/>
        <v>KCPL</v>
      </c>
      <c r="I58" s="267" t="str">
        <f t="shared" si="27"/>
        <v>MIDW</v>
      </c>
      <c r="J58" s="267" t="str">
        <f t="shared" si="27"/>
        <v>MOPEP</v>
      </c>
      <c r="K58" s="267" t="str">
        <f t="shared" si="27"/>
        <v>OMPA</v>
      </c>
      <c r="L58" s="267" t="str">
        <f t="shared" si="27"/>
        <v>SWPP</v>
      </c>
      <c r="M58" s="267" t="str">
        <f t="shared" si="27"/>
        <v>SWPP Studies</v>
      </c>
      <c r="N58" s="267" t="str">
        <f t="shared" si="27"/>
        <v>DEC</v>
      </c>
      <c r="O58" s="267" t="str">
        <f t="shared" si="27"/>
        <v>KVE</v>
      </c>
      <c r="P58" s="267" t="str">
        <f t="shared" si="27"/>
        <v>NMEC</v>
      </c>
      <c r="Q58" s="267" t="str">
        <f t="shared" si="27"/>
        <v>OPSI</v>
      </c>
      <c r="R58" s="267" t="str">
        <f t="shared" si="27"/>
        <v>CCHAN</v>
      </c>
      <c r="S58" s="267" t="str">
        <f t="shared" si="27"/>
        <v>ENEL</v>
      </c>
      <c r="T58" s="267" t="str">
        <f t="shared" si="27"/>
        <v>n/a</v>
      </c>
      <c r="U58" s="267" t="str">
        <f t="shared" si="27"/>
        <v>CNEOD</v>
      </c>
      <c r="V58" s="267" t="str">
        <f t="shared" si="27"/>
        <v>CWINF</v>
      </c>
      <c r="W58" s="1198"/>
      <c r="X58" s="1198"/>
    </row>
    <row r="59" spans="1:24" s="256" customFormat="1" ht="12.75">
      <c r="A59" s="252"/>
      <c r="B59" s="253">
        <v>38</v>
      </c>
      <c r="C59" s="252" t="str">
        <f aca="true" t="shared" si="28" ref="C59:D73">+C11</f>
        <v>456.1000</v>
      </c>
      <c r="D59" s="252" t="str">
        <f t="shared" si="28"/>
        <v>Transmission Service</v>
      </c>
      <c r="E59" s="252"/>
      <c r="F59" s="254">
        <f aca="true" t="shared" si="29" ref="F59:F73">SUM(G59:V59)</f>
        <v>11102029</v>
      </c>
      <c r="G59" s="1339">
        <v>0</v>
      </c>
      <c r="H59" s="1339">
        <v>0</v>
      </c>
      <c r="I59" s="1339">
        <v>504572</v>
      </c>
      <c r="J59" s="1339">
        <v>0</v>
      </c>
      <c r="K59" s="1339">
        <v>542618</v>
      </c>
      <c r="L59" s="1339">
        <v>9993627</v>
      </c>
      <c r="M59" s="1339">
        <v>0</v>
      </c>
      <c r="N59" s="1339">
        <v>0</v>
      </c>
      <c r="O59" s="1339">
        <v>0</v>
      </c>
      <c r="P59" s="1339">
        <v>0</v>
      </c>
      <c r="Q59" s="1339">
        <v>0</v>
      </c>
      <c r="R59" s="1339">
        <v>12214</v>
      </c>
      <c r="S59" s="1339">
        <v>0</v>
      </c>
      <c r="T59" s="1339">
        <v>0</v>
      </c>
      <c r="U59" s="1339">
        <v>43554</v>
      </c>
      <c r="V59" s="1339">
        <v>5444</v>
      </c>
      <c r="W59" s="252"/>
      <c r="X59" s="252"/>
    </row>
    <row r="60" spans="1:24" s="256" customFormat="1" ht="12.75">
      <c r="A60" s="252"/>
      <c r="B60" s="253">
        <v>39</v>
      </c>
      <c r="C60" s="252" t="str">
        <f t="shared" si="28"/>
        <v>456.1001</v>
      </c>
      <c r="D60" s="252" t="str">
        <f t="shared" si="28"/>
        <v>Trans Service - Retail Only</v>
      </c>
      <c r="E60" s="252"/>
      <c r="F60" s="257">
        <f t="shared" si="29"/>
        <v>35579603</v>
      </c>
      <c r="G60" s="1340">
        <v>0</v>
      </c>
      <c r="H60" s="1340">
        <v>0</v>
      </c>
      <c r="I60" s="1340">
        <v>0</v>
      </c>
      <c r="J60" s="1340">
        <v>0</v>
      </c>
      <c r="K60" s="1340">
        <v>0</v>
      </c>
      <c r="L60" s="1340">
        <v>35579603</v>
      </c>
      <c r="M60" s="1340">
        <v>0</v>
      </c>
      <c r="N60" s="1340">
        <v>0</v>
      </c>
      <c r="O60" s="1340">
        <v>0</v>
      </c>
      <c r="P60" s="1340">
        <v>0</v>
      </c>
      <c r="Q60" s="1340">
        <v>0</v>
      </c>
      <c r="R60" s="1340">
        <v>0</v>
      </c>
      <c r="S60" s="1340">
        <v>0</v>
      </c>
      <c r="T60" s="1340">
        <v>0</v>
      </c>
      <c r="U60" s="1340">
        <v>0</v>
      </c>
      <c r="V60" s="1340">
        <v>0</v>
      </c>
      <c r="W60" s="252"/>
      <c r="X60" s="252"/>
    </row>
    <row r="61" spans="1:24" s="256" customFormat="1" ht="12.75">
      <c r="A61" s="252"/>
      <c r="B61" s="253">
        <v>40</v>
      </c>
      <c r="C61" s="252" t="str">
        <f t="shared" si="28"/>
        <v>456.1500</v>
      </c>
      <c r="D61" s="252" t="str">
        <f t="shared" si="28"/>
        <v>Anc 1</v>
      </c>
      <c r="E61" s="252"/>
      <c r="F61" s="257">
        <f t="shared" si="29"/>
        <v>602495</v>
      </c>
      <c r="G61" s="1340">
        <v>0</v>
      </c>
      <c r="H61" s="1340">
        <v>0</v>
      </c>
      <c r="I61" s="1340">
        <v>0</v>
      </c>
      <c r="J61" s="1340">
        <v>131237</v>
      </c>
      <c r="K61" s="1340">
        <v>0</v>
      </c>
      <c r="L61" s="1340">
        <v>469394</v>
      </c>
      <c r="M61" s="1340">
        <v>0</v>
      </c>
      <c r="N61" s="1340">
        <v>0</v>
      </c>
      <c r="O61" s="1340">
        <v>0</v>
      </c>
      <c r="P61" s="1340">
        <v>0</v>
      </c>
      <c r="Q61" s="1340">
        <v>6</v>
      </c>
      <c r="R61" s="1340">
        <v>-125</v>
      </c>
      <c r="S61" s="1340">
        <v>291</v>
      </c>
      <c r="T61" s="1340">
        <v>0</v>
      </c>
      <c r="U61" s="1340">
        <v>1504</v>
      </c>
      <c r="V61" s="1340">
        <v>188</v>
      </c>
      <c r="W61" s="252"/>
      <c r="X61" s="252"/>
    </row>
    <row r="62" spans="1:24" s="256" customFormat="1" ht="12.75">
      <c r="A62" s="252"/>
      <c r="B62" s="253">
        <v>41</v>
      </c>
      <c r="C62" s="252" t="str">
        <f t="shared" si="28"/>
        <v>456.1501</v>
      </c>
      <c r="D62" s="252" t="str">
        <f t="shared" si="28"/>
        <v>Anc 1 - Retail Only</v>
      </c>
      <c r="E62" s="252"/>
      <c r="F62" s="257">
        <f t="shared" si="29"/>
        <v>1277969</v>
      </c>
      <c r="G62" s="1340">
        <v>0</v>
      </c>
      <c r="H62" s="1340">
        <v>0</v>
      </c>
      <c r="I62" s="1340">
        <v>0</v>
      </c>
      <c r="J62" s="1340">
        <v>0</v>
      </c>
      <c r="K62" s="1340">
        <v>0</v>
      </c>
      <c r="L62" s="1340">
        <v>1277969</v>
      </c>
      <c r="M62" s="1340">
        <v>0</v>
      </c>
      <c r="N62" s="1340">
        <v>0</v>
      </c>
      <c r="O62" s="1340">
        <v>0</v>
      </c>
      <c r="P62" s="1340">
        <v>0</v>
      </c>
      <c r="Q62" s="1340">
        <v>0</v>
      </c>
      <c r="R62" s="1340">
        <v>0</v>
      </c>
      <c r="S62" s="1340">
        <v>0</v>
      </c>
      <c r="T62" s="1340">
        <v>0</v>
      </c>
      <c r="U62" s="1340">
        <v>0</v>
      </c>
      <c r="V62" s="1340">
        <v>0</v>
      </c>
      <c r="W62" s="252"/>
      <c r="X62" s="252"/>
    </row>
    <row r="63" spans="1:24" s="256" customFormat="1" ht="12.75">
      <c r="A63" s="252"/>
      <c r="B63" s="253">
        <v>42</v>
      </c>
      <c r="C63" s="252" t="str">
        <f t="shared" si="28"/>
        <v>456.1100</v>
      </c>
      <c r="D63" s="252" t="str">
        <f t="shared" si="28"/>
        <v>Anc 2</v>
      </c>
      <c r="E63" s="252"/>
      <c r="F63" s="257">
        <f t="shared" si="29"/>
        <v>295043</v>
      </c>
      <c r="G63" s="1340">
        <v>0</v>
      </c>
      <c r="H63" s="1340">
        <v>0</v>
      </c>
      <c r="I63" s="1340">
        <v>0</v>
      </c>
      <c r="J63" s="1340">
        <v>0</v>
      </c>
      <c r="K63" s="1340">
        <v>0</v>
      </c>
      <c r="L63" s="1340">
        <v>291976</v>
      </c>
      <c r="M63" s="1340">
        <v>0</v>
      </c>
      <c r="N63" s="1340">
        <v>0</v>
      </c>
      <c r="O63" s="1340">
        <v>0</v>
      </c>
      <c r="P63" s="1340">
        <v>0</v>
      </c>
      <c r="Q63" s="1340">
        <v>0</v>
      </c>
      <c r="R63" s="1340">
        <v>307</v>
      </c>
      <c r="S63" s="1340">
        <v>0</v>
      </c>
      <c r="T63" s="1340">
        <v>0</v>
      </c>
      <c r="U63" s="1340">
        <v>2453</v>
      </c>
      <c r="V63" s="1340">
        <v>307</v>
      </c>
      <c r="W63" s="252"/>
      <c r="X63" s="252"/>
    </row>
    <row r="64" spans="1:24" s="256" customFormat="1" ht="12.75">
      <c r="A64" s="252"/>
      <c r="B64" s="253">
        <v>43</v>
      </c>
      <c r="C64" s="252" t="str">
        <f t="shared" si="28"/>
        <v>456.1210</v>
      </c>
      <c r="D64" s="252" t="str">
        <f t="shared" si="28"/>
        <v>n/a</v>
      </c>
      <c r="E64" s="252"/>
      <c r="F64" s="257">
        <f t="shared" si="29"/>
        <v>0</v>
      </c>
      <c r="G64" s="1340">
        <v>0</v>
      </c>
      <c r="H64" s="1340">
        <v>0</v>
      </c>
      <c r="I64" s="1340">
        <v>0</v>
      </c>
      <c r="J64" s="1340">
        <v>0</v>
      </c>
      <c r="K64" s="1340">
        <v>0</v>
      </c>
      <c r="L64" s="1340">
        <v>0</v>
      </c>
      <c r="M64" s="1340">
        <v>0</v>
      </c>
      <c r="N64" s="1340">
        <v>0</v>
      </c>
      <c r="O64" s="1340">
        <v>0</v>
      </c>
      <c r="P64" s="1340">
        <v>0</v>
      </c>
      <c r="Q64" s="1340">
        <v>0</v>
      </c>
      <c r="R64" s="1340">
        <v>0</v>
      </c>
      <c r="S64" s="1340">
        <v>0</v>
      </c>
      <c r="T64" s="1340">
        <v>0</v>
      </c>
      <c r="U64" s="1340">
        <v>0</v>
      </c>
      <c r="V64" s="1340">
        <v>0</v>
      </c>
      <c r="W64" s="252"/>
      <c r="X64" s="252"/>
    </row>
    <row r="65" spans="1:24" s="256" customFormat="1" ht="12.75">
      <c r="A65" s="252"/>
      <c r="B65" s="253">
        <v>44</v>
      </c>
      <c r="C65" s="252" t="str">
        <f t="shared" si="28"/>
        <v>456.1101</v>
      </c>
      <c r="D65" s="252" t="str">
        <f t="shared" si="28"/>
        <v>Anc 2 - Retail Only</v>
      </c>
      <c r="E65" s="252"/>
      <c r="F65" s="257">
        <f t="shared" si="29"/>
        <v>624782</v>
      </c>
      <c r="G65" s="1340">
        <v>0</v>
      </c>
      <c r="H65" s="1340">
        <v>0</v>
      </c>
      <c r="I65" s="1340">
        <v>0</v>
      </c>
      <c r="J65" s="1340">
        <v>0</v>
      </c>
      <c r="K65" s="1340">
        <v>0</v>
      </c>
      <c r="L65" s="1340">
        <v>624782</v>
      </c>
      <c r="M65" s="1340">
        <v>0</v>
      </c>
      <c r="N65" s="1340">
        <v>0</v>
      </c>
      <c r="O65" s="1340">
        <v>0</v>
      </c>
      <c r="P65" s="1340">
        <v>0</v>
      </c>
      <c r="Q65" s="1340">
        <v>0</v>
      </c>
      <c r="R65" s="1340">
        <v>0</v>
      </c>
      <c r="S65" s="1340">
        <v>0</v>
      </c>
      <c r="T65" s="1340">
        <v>0</v>
      </c>
      <c r="U65" s="1340">
        <v>0</v>
      </c>
      <c r="V65" s="1340">
        <v>0</v>
      </c>
      <c r="W65" s="252"/>
      <c r="X65" s="252"/>
    </row>
    <row r="66" spans="1:24" s="256" customFormat="1" ht="12.75">
      <c r="A66" s="252"/>
      <c r="B66" s="253">
        <v>45</v>
      </c>
      <c r="C66" s="252" t="str">
        <f t="shared" si="28"/>
        <v>456.1020</v>
      </c>
      <c r="D66" s="252" t="str">
        <f t="shared" si="28"/>
        <v>Anc 3</v>
      </c>
      <c r="E66" s="252"/>
      <c r="F66" s="257">
        <f t="shared" si="29"/>
        <v>71111</v>
      </c>
      <c r="G66" s="1340">
        <v>0</v>
      </c>
      <c r="H66" s="1340">
        <v>0</v>
      </c>
      <c r="I66" s="1340">
        <v>0</v>
      </c>
      <c r="J66" s="1340">
        <v>0</v>
      </c>
      <c r="K66" s="1340">
        <v>0</v>
      </c>
      <c r="L66" s="1340">
        <v>69490</v>
      </c>
      <c r="M66" s="1340">
        <v>0</v>
      </c>
      <c r="N66" s="1340">
        <v>0</v>
      </c>
      <c r="O66" s="1340">
        <v>0</v>
      </c>
      <c r="P66" s="1340">
        <v>0</v>
      </c>
      <c r="Q66" s="1340">
        <v>0</v>
      </c>
      <c r="R66" s="1340">
        <v>0</v>
      </c>
      <c r="S66" s="1340">
        <v>0</v>
      </c>
      <c r="T66" s="1340">
        <v>0</v>
      </c>
      <c r="U66" s="1340">
        <v>1441</v>
      </c>
      <c r="V66" s="1340">
        <v>180</v>
      </c>
      <c r="W66" s="252"/>
      <c r="X66" s="252"/>
    </row>
    <row r="67" spans="1:24" s="256" customFormat="1" ht="12.75">
      <c r="A67" s="252"/>
      <c r="B67" s="253">
        <v>46</v>
      </c>
      <c r="C67" s="252" t="str">
        <f t="shared" si="28"/>
        <v>456.1030</v>
      </c>
      <c r="D67" s="252" t="str">
        <f t="shared" si="28"/>
        <v>Anc 4</v>
      </c>
      <c r="E67" s="252"/>
      <c r="F67" s="257">
        <f t="shared" si="29"/>
        <v>0</v>
      </c>
      <c r="G67" s="1340">
        <v>0</v>
      </c>
      <c r="H67" s="1340">
        <v>0</v>
      </c>
      <c r="I67" s="1340">
        <v>0</v>
      </c>
      <c r="J67" s="1340">
        <v>0</v>
      </c>
      <c r="K67" s="1340">
        <v>0</v>
      </c>
      <c r="L67" s="1340">
        <v>0</v>
      </c>
      <c r="M67" s="1340">
        <v>0</v>
      </c>
      <c r="N67" s="1340">
        <v>0</v>
      </c>
      <c r="O67" s="1340">
        <v>0</v>
      </c>
      <c r="P67" s="1340">
        <v>0</v>
      </c>
      <c r="Q67" s="1340">
        <v>0</v>
      </c>
      <c r="R67" s="1340">
        <v>0</v>
      </c>
      <c r="S67" s="1340">
        <v>0</v>
      </c>
      <c r="T67" s="1340">
        <v>0</v>
      </c>
      <c r="U67" s="1340">
        <v>0</v>
      </c>
      <c r="V67" s="1340">
        <v>0</v>
      </c>
      <c r="W67" s="252"/>
      <c r="X67" s="252"/>
    </row>
    <row r="68" spans="1:24" s="256" customFormat="1" ht="12.75">
      <c r="A68" s="252"/>
      <c r="B68" s="253">
        <v>47</v>
      </c>
      <c r="C68" s="252" t="str">
        <f t="shared" si="28"/>
        <v>456.1040</v>
      </c>
      <c r="D68" s="252" t="str">
        <f t="shared" si="28"/>
        <v>Anc 5</v>
      </c>
      <c r="E68" s="252"/>
      <c r="F68" s="257">
        <f t="shared" si="29"/>
        <v>79093</v>
      </c>
      <c r="G68" s="1340">
        <v>0</v>
      </c>
      <c r="H68" s="1340">
        <v>0</v>
      </c>
      <c r="I68" s="1340">
        <v>0</v>
      </c>
      <c r="J68" s="1340">
        <v>0</v>
      </c>
      <c r="K68" s="1340">
        <v>0</v>
      </c>
      <c r="L68" s="1340">
        <v>77088</v>
      </c>
      <c r="M68" s="1340">
        <v>0</v>
      </c>
      <c r="N68" s="1340">
        <v>0</v>
      </c>
      <c r="O68" s="1340">
        <v>0</v>
      </c>
      <c r="P68" s="1340">
        <v>0</v>
      </c>
      <c r="Q68" s="1340">
        <v>0</v>
      </c>
      <c r="R68" s="1340">
        <v>0</v>
      </c>
      <c r="S68" s="1340">
        <v>0</v>
      </c>
      <c r="T68" s="1340">
        <v>0</v>
      </c>
      <c r="U68" s="1340">
        <v>1782</v>
      </c>
      <c r="V68" s="1340">
        <v>223</v>
      </c>
      <c r="W68" s="252"/>
      <c r="X68" s="252"/>
    </row>
    <row r="69" spans="1:24" s="256" customFormat="1" ht="12.75">
      <c r="A69" s="252"/>
      <c r="B69" s="253">
        <v>48</v>
      </c>
      <c r="C69" s="252" t="str">
        <f t="shared" si="28"/>
        <v>456.1050</v>
      </c>
      <c r="D69" s="252" t="str">
        <f t="shared" si="28"/>
        <v>Anc 6</v>
      </c>
      <c r="E69" s="252"/>
      <c r="F69" s="257">
        <f t="shared" si="29"/>
        <v>0</v>
      </c>
      <c r="G69" s="1340">
        <v>0</v>
      </c>
      <c r="H69" s="1340">
        <v>0</v>
      </c>
      <c r="I69" s="1340">
        <v>0</v>
      </c>
      <c r="J69" s="1340">
        <v>0</v>
      </c>
      <c r="K69" s="1340">
        <v>0</v>
      </c>
      <c r="L69" s="1340">
        <v>0</v>
      </c>
      <c r="M69" s="1340">
        <v>0</v>
      </c>
      <c r="N69" s="1340">
        <v>0</v>
      </c>
      <c r="O69" s="1340">
        <v>0</v>
      </c>
      <c r="P69" s="1340">
        <v>0</v>
      </c>
      <c r="Q69" s="1340">
        <v>0</v>
      </c>
      <c r="R69" s="1340">
        <v>0</v>
      </c>
      <c r="S69" s="1340">
        <v>0</v>
      </c>
      <c r="T69" s="1340">
        <v>0</v>
      </c>
      <c r="U69" s="1340">
        <v>0</v>
      </c>
      <c r="V69" s="1340">
        <v>0</v>
      </c>
      <c r="W69" s="252"/>
      <c r="X69" s="252"/>
    </row>
    <row r="70" spans="1:24" s="256" customFormat="1" ht="12.75">
      <c r="A70" s="252" t="s">
        <v>1301</v>
      </c>
      <c r="B70" s="253">
        <v>49</v>
      </c>
      <c r="C70" s="252" t="str">
        <f t="shared" si="28"/>
        <v>456.1060</v>
      </c>
      <c r="D70" s="252" t="str">
        <f t="shared" si="28"/>
        <v>SPP Losses/MIDW Cntrl</v>
      </c>
      <c r="E70" s="252"/>
      <c r="F70" s="257">
        <f t="shared" si="29"/>
        <v>1578989</v>
      </c>
      <c r="G70" s="1340">
        <v>0</v>
      </c>
      <c r="H70" s="1340">
        <v>0</v>
      </c>
      <c r="I70" s="1340">
        <v>0</v>
      </c>
      <c r="J70" s="1340">
        <v>0</v>
      </c>
      <c r="K70" s="1340">
        <v>0</v>
      </c>
      <c r="L70" s="1340">
        <v>1578989</v>
      </c>
      <c r="M70" s="1340">
        <v>0</v>
      </c>
      <c r="N70" s="1340">
        <v>0</v>
      </c>
      <c r="O70" s="1340">
        <v>0</v>
      </c>
      <c r="P70" s="1340">
        <v>0</v>
      </c>
      <c r="Q70" s="1340">
        <v>0</v>
      </c>
      <c r="R70" s="1340">
        <v>0</v>
      </c>
      <c r="S70" s="1340">
        <v>0</v>
      </c>
      <c r="T70" s="1340">
        <v>0</v>
      </c>
      <c r="U70" s="1340">
        <v>0</v>
      </c>
      <c r="V70" s="1340">
        <v>0</v>
      </c>
      <c r="W70" s="252"/>
      <c r="X70" s="252"/>
    </row>
    <row r="71" spans="1:24" s="256" customFormat="1" ht="12.75">
      <c r="A71" s="252"/>
      <c r="B71" s="253">
        <v>50</v>
      </c>
      <c r="C71" s="252" t="str">
        <f t="shared" si="28"/>
        <v>456.1200</v>
      </c>
      <c r="D71" s="252" t="str">
        <f t="shared" si="28"/>
        <v>Dist. Facilities Charge</v>
      </c>
      <c r="E71" s="252"/>
      <c r="F71" s="257">
        <f t="shared" si="29"/>
        <v>381010</v>
      </c>
      <c r="G71" s="1340">
        <v>0</v>
      </c>
      <c r="H71" s="1340">
        <v>0</v>
      </c>
      <c r="I71" s="1340">
        <v>0</v>
      </c>
      <c r="J71" s="1340">
        <v>0</v>
      </c>
      <c r="K71" s="1340">
        <v>0</v>
      </c>
      <c r="L71" s="1340">
        <v>383308</v>
      </c>
      <c r="M71" s="1340">
        <v>0</v>
      </c>
      <c r="N71" s="1340">
        <v>0</v>
      </c>
      <c r="O71" s="1340">
        <v>0</v>
      </c>
      <c r="P71" s="1340">
        <v>0</v>
      </c>
      <c r="Q71" s="1340">
        <v>0</v>
      </c>
      <c r="R71" s="1340">
        <v>0</v>
      </c>
      <c r="S71" s="1340">
        <v>0</v>
      </c>
      <c r="T71" s="1340">
        <v>0</v>
      </c>
      <c r="U71" s="1340">
        <v>0</v>
      </c>
      <c r="V71" s="1340">
        <v>-2298</v>
      </c>
      <c r="W71" s="252"/>
      <c r="X71" s="252"/>
    </row>
    <row r="72" spans="1:24" s="256" customFormat="1" ht="12.75">
      <c r="A72" s="252"/>
      <c r="B72" s="253" t="s">
        <v>1746</v>
      </c>
      <c r="C72" s="252" t="str">
        <f t="shared" si="28"/>
        <v>456.xxxx</v>
      </c>
      <c r="D72" s="252" t="str">
        <f t="shared" si="28"/>
        <v>Trans. Fac. Charge</v>
      </c>
      <c r="E72" s="252"/>
      <c r="F72" s="257">
        <f>SUM(G72:V72)</f>
        <v>0</v>
      </c>
      <c r="G72" s="1340">
        <v>0</v>
      </c>
      <c r="H72" s="1340">
        <v>0</v>
      </c>
      <c r="I72" s="1340">
        <v>0</v>
      </c>
      <c r="J72" s="1340">
        <v>0</v>
      </c>
      <c r="K72" s="1340">
        <v>0</v>
      </c>
      <c r="L72" s="1340">
        <v>0</v>
      </c>
      <c r="M72" s="1340">
        <v>0</v>
      </c>
      <c r="N72" s="1340">
        <v>0</v>
      </c>
      <c r="O72" s="1340">
        <v>0</v>
      </c>
      <c r="P72" s="1340">
        <v>0</v>
      </c>
      <c r="Q72" s="1340">
        <v>0</v>
      </c>
      <c r="R72" s="1340">
        <v>0</v>
      </c>
      <c r="S72" s="1340">
        <v>0</v>
      </c>
      <c r="T72" s="1340">
        <v>0</v>
      </c>
      <c r="U72" s="1340">
        <v>0</v>
      </c>
      <c r="V72" s="1340">
        <v>0</v>
      </c>
      <c r="W72" s="252"/>
      <c r="X72" s="252"/>
    </row>
    <row r="73" spans="1:24" s="256" customFormat="1" ht="12.75">
      <c r="A73" s="252"/>
      <c r="B73" s="253">
        <v>51</v>
      </c>
      <c r="C73" s="252" t="str">
        <f t="shared" si="28"/>
        <v>456.1003</v>
      </c>
      <c r="D73" s="252" t="str">
        <f t="shared" si="28"/>
        <v>Trans Studies</v>
      </c>
      <c r="E73" s="252"/>
      <c r="F73" s="257">
        <f t="shared" si="29"/>
        <v>0</v>
      </c>
      <c r="G73" s="1340">
        <v>0</v>
      </c>
      <c r="H73" s="1340">
        <v>0</v>
      </c>
      <c r="I73" s="1340">
        <v>0</v>
      </c>
      <c r="J73" s="1340">
        <v>0</v>
      </c>
      <c r="K73" s="1340">
        <v>0</v>
      </c>
      <c r="L73" s="1340">
        <v>0</v>
      </c>
      <c r="M73" s="1340">
        <v>0</v>
      </c>
      <c r="N73" s="1340">
        <v>0</v>
      </c>
      <c r="O73" s="1340">
        <v>0</v>
      </c>
      <c r="P73" s="1340">
        <v>0</v>
      </c>
      <c r="Q73" s="1340">
        <v>0</v>
      </c>
      <c r="R73" s="1340">
        <v>0</v>
      </c>
      <c r="S73" s="1340">
        <v>0</v>
      </c>
      <c r="T73" s="1340">
        <v>0</v>
      </c>
      <c r="U73" s="1340">
        <v>0</v>
      </c>
      <c r="V73" s="1340">
        <v>0</v>
      </c>
      <c r="W73" s="252"/>
      <c r="X73" s="252"/>
    </row>
    <row r="74" spans="1:24" s="256" customFormat="1" ht="12.75">
      <c r="A74" s="252"/>
      <c r="B74" s="253">
        <v>52</v>
      </c>
      <c r="C74" s="252" t="str">
        <f>+C26</f>
        <v>Total</v>
      </c>
      <c r="D74" s="252"/>
      <c r="E74" s="252"/>
      <c r="F74" s="259">
        <f aca="true" t="shared" si="30" ref="F74:V74">SUM(F59:F73)</f>
        <v>51592124</v>
      </c>
      <c r="G74" s="259">
        <f t="shared" si="30"/>
        <v>0</v>
      </c>
      <c r="H74" s="259">
        <f t="shared" si="30"/>
        <v>0</v>
      </c>
      <c r="I74" s="259">
        <f t="shared" si="30"/>
        <v>504572</v>
      </c>
      <c r="J74" s="259">
        <f t="shared" si="30"/>
        <v>131237</v>
      </c>
      <c r="K74" s="259">
        <f t="shared" si="30"/>
        <v>542618</v>
      </c>
      <c r="L74" s="259">
        <f t="shared" si="30"/>
        <v>50346226</v>
      </c>
      <c r="M74" s="259">
        <f t="shared" si="30"/>
        <v>0</v>
      </c>
      <c r="N74" s="259">
        <f t="shared" si="30"/>
        <v>0</v>
      </c>
      <c r="O74" s="259">
        <f t="shared" si="30"/>
        <v>0</v>
      </c>
      <c r="P74" s="259">
        <f t="shared" si="30"/>
        <v>0</v>
      </c>
      <c r="Q74" s="259">
        <f t="shared" si="30"/>
        <v>6</v>
      </c>
      <c r="R74" s="259">
        <f t="shared" si="30"/>
        <v>12396</v>
      </c>
      <c r="S74" s="259">
        <f t="shared" si="30"/>
        <v>291</v>
      </c>
      <c r="T74" s="259">
        <f t="shared" si="30"/>
        <v>0</v>
      </c>
      <c r="U74" s="259">
        <f t="shared" si="30"/>
        <v>50734</v>
      </c>
      <c r="V74" s="259">
        <f t="shared" si="30"/>
        <v>4044</v>
      </c>
      <c r="W74" s="252"/>
      <c r="X74" s="252"/>
    </row>
    <row r="75" spans="1:23" s="256" customFormat="1" ht="12.75">
      <c r="A75" s="252"/>
      <c r="B75" s="253"/>
      <c r="C75" s="252"/>
      <c r="D75" s="252"/>
      <c r="E75" s="252"/>
      <c r="F75" s="252"/>
      <c r="G75" s="252"/>
      <c r="H75" s="252"/>
      <c r="I75" s="252"/>
      <c r="J75" s="252"/>
      <c r="K75" s="252"/>
      <c r="L75" s="252"/>
      <c r="M75" s="252"/>
      <c r="N75" s="252"/>
      <c r="O75" s="252"/>
      <c r="P75" s="252"/>
      <c r="Q75" s="252"/>
      <c r="R75" s="252"/>
      <c r="S75" s="252"/>
      <c r="T75" s="252"/>
      <c r="U75" s="252"/>
      <c r="V75" s="252"/>
      <c r="W75" s="252"/>
    </row>
    <row r="76" spans="1:23" ht="20.25">
      <c r="A76" s="48" t="str">
        <f>+A1</f>
        <v>Worksheet A-1 - WE Revenue Credit</v>
      </c>
      <c r="C76" s="47"/>
      <c r="D76" s="32"/>
      <c r="E76" s="32"/>
      <c r="F76" s="32"/>
      <c r="G76" s="32"/>
      <c r="H76" s="32"/>
      <c r="I76" s="32"/>
      <c r="J76" s="32"/>
      <c r="K76" s="32"/>
      <c r="L76" s="77"/>
      <c r="M76" s="636"/>
      <c r="N76" s="636"/>
      <c r="O76" s="636"/>
      <c r="P76" s="636"/>
      <c r="Q76" s="636"/>
      <c r="R76" s="636"/>
      <c r="S76" s="636"/>
      <c r="T76" s="636"/>
      <c r="U76" s="75"/>
      <c r="V76" s="75" t="s">
        <v>236</v>
      </c>
      <c r="W76" s="32"/>
    </row>
    <row r="77" spans="1:42" ht="20.25">
      <c r="A77" s="32"/>
      <c r="B77" s="48"/>
      <c r="C77" s="47"/>
      <c r="D77" s="32"/>
      <c r="E77" s="32"/>
      <c r="F77" s="32"/>
      <c r="G77" s="32"/>
      <c r="H77" s="32"/>
      <c r="I77" s="32"/>
      <c r="J77" s="32"/>
      <c r="K77" s="32"/>
      <c r="L77" s="77"/>
      <c r="M77" s="636"/>
      <c r="N77" s="636"/>
      <c r="O77" s="636"/>
      <c r="P77" s="636"/>
      <c r="Q77" s="636"/>
      <c r="R77" s="636"/>
      <c r="S77" s="636"/>
      <c r="T77" s="636"/>
      <c r="U77" s="75"/>
      <c r="V77" s="47"/>
      <c r="W77" s="47"/>
      <c r="X77" s="49"/>
      <c r="Y77" s="49"/>
      <c r="Z77" s="49"/>
      <c r="AA77" s="49"/>
      <c r="AB77" s="49"/>
      <c r="AC77" s="49"/>
      <c r="AD77" s="49"/>
      <c r="AE77" s="49"/>
      <c r="AF77" s="49"/>
      <c r="AG77" s="49"/>
      <c r="AH77" s="49"/>
      <c r="AI77" s="49"/>
      <c r="AJ77" s="49"/>
      <c r="AK77" s="49"/>
      <c r="AL77" s="49"/>
      <c r="AM77" s="49"/>
      <c r="AN77" s="49"/>
      <c r="AO77" s="49"/>
      <c r="AP77" s="49"/>
    </row>
    <row r="78" spans="1:42" ht="18">
      <c r="A78" s="1409" t="str">
        <f>+A4</f>
        <v>Westar Energy, Inc.</v>
      </c>
      <c r="B78" s="1410"/>
      <c r="C78" s="1410"/>
      <c r="D78" s="1410"/>
      <c r="E78" s="1410"/>
      <c r="F78" s="1410"/>
      <c r="G78" s="1410"/>
      <c r="H78" s="1410"/>
      <c r="I78" s="1410"/>
      <c r="J78" s="1410"/>
      <c r="K78" s="1410"/>
      <c r="L78" s="1410"/>
      <c r="M78" s="1410"/>
      <c r="N78" s="1410"/>
      <c r="O78" s="1410"/>
      <c r="P78" s="1410"/>
      <c r="Q78" s="1410"/>
      <c r="R78" s="1410"/>
      <c r="S78" s="1410"/>
      <c r="T78" s="1410"/>
      <c r="U78" s="1410"/>
      <c r="V78" s="47"/>
      <c r="W78" s="47"/>
      <c r="X78" s="49"/>
      <c r="Y78" s="49"/>
      <c r="Z78" s="49"/>
      <c r="AA78" s="49"/>
      <c r="AB78" s="49"/>
      <c r="AC78" s="49"/>
      <c r="AD78" s="49"/>
      <c r="AE78" s="49"/>
      <c r="AF78" s="49"/>
      <c r="AG78" s="49"/>
      <c r="AH78" s="49"/>
      <c r="AI78" s="49"/>
      <c r="AJ78" s="49"/>
      <c r="AK78" s="49"/>
      <c r="AL78" s="49"/>
      <c r="AM78" s="49"/>
      <c r="AN78" s="49"/>
      <c r="AO78" s="49"/>
      <c r="AP78" s="49"/>
    </row>
    <row r="79" spans="1:42" ht="18">
      <c r="A79" s="1409" t="str">
        <f>+A5</f>
        <v>Determination of Revenue Credits</v>
      </c>
      <c r="B79" s="1412"/>
      <c r="C79" s="1412"/>
      <c r="D79" s="1412"/>
      <c r="E79" s="1412"/>
      <c r="F79" s="1412"/>
      <c r="G79" s="1412"/>
      <c r="H79" s="1412"/>
      <c r="I79" s="1412"/>
      <c r="J79" s="1412"/>
      <c r="K79" s="1412"/>
      <c r="L79" s="1412"/>
      <c r="M79" s="1412"/>
      <c r="N79" s="1412"/>
      <c r="O79" s="1412"/>
      <c r="P79" s="1412"/>
      <c r="Q79" s="1412"/>
      <c r="R79" s="1412"/>
      <c r="S79" s="1412"/>
      <c r="T79" s="1412"/>
      <c r="U79" s="1412"/>
      <c r="V79" s="47"/>
      <c r="W79" s="47"/>
      <c r="X79" s="49"/>
      <c r="Y79" s="49"/>
      <c r="Z79" s="49"/>
      <c r="AA79" s="49"/>
      <c r="AB79" s="49"/>
      <c r="AC79" s="49"/>
      <c r="AD79" s="49"/>
      <c r="AE79" s="49"/>
      <c r="AF79" s="49"/>
      <c r="AG79" s="49"/>
      <c r="AH79" s="49"/>
      <c r="AI79" s="49"/>
      <c r="AJ79" s="49"/>
      <c r="AK79" s="49"/>
      <c r="AL79" s="49"/>
      <c r="AM79" s="49"/>
      <c r="AN79" s="49"/>
      <c r="AO79" s="49"/>
      <c r="AP79" s="49"/>
    </row>
    <row r="80" spans="1:42" ht="20.25">
      <c r="A80" s="32"/>
      <c r="B80" s="48"/>
      <c r="C80" s="47"/>
      <c r="D80" s="32"/>
      <c r="E80" s="32"/>
      <c r="F80" s="32"/>
      <c r="G80" s="32"/>
      <c r="H80" s="32"/>
      <c r="I80" s="32"/>
      <c r="J80" s="32"/>
      <c r="K80" s="32"/>
      <c r="L80" s="77"/>
      <c r="M80" s="636"/>
      <c r="N80" s="636"/>
      <c r="O80" s="636"/>
      <c r="P80" s="636"/>
      <c r="Q80" s="636"/>
      <c r="R80" s="636"/>
      <c r="S80" s="636"/>
      <c r="T80" s="636"/>
      <c r="U80" s="75"/>
      <c r="V80" s="47"/>
      <c r="W80" s="47"/>
      <c r="X80" s="49"/>
      <c r="Y80" s="49"/>
      <c r="Z80" s="49"/>
      <c r="AA80" s="49"/>
      <c r="AB80" s="49"/>
      <c r="AC80" s="49"/>
      <c r="AD80" s="49"/>
      <c r="AE80" s="49"/>
      <c r="AF80" s="49"/>
      <c r="AG80" s="49"/>
      <c r="AH80" s="49"/>
      <c r="AI80" s="49"/>
      <c r="AJ80" s="49"/>
      <c r="AK80" s="49"/>
      <c r="AL80" s="49"/>
      <c r="AM80" s="49"/>
      <c r="AN80" s="49"/>
      <c r="AO80" s="49"/>
      <c r="AP80" s="49"/>
    </row>
    <row r="81" spans="1:42" ht="20.25">
      <c r="A81" s="32"/>
      <c r="B81" s="99" t="s">
        <v>199</v>
      </c>
      <c r="C81" s="96" t="s">
        <v>198</v>
      </c>
      <c r="D81" s="32"/>
      <c r="E81" s="32"/>
      <c r="F81" s="32"/>
      <c r="G81" s="32"/>
      <c r="H81" s="32"/>
      <c r="I81" s="32"/>
      <c r="J81" s="32"/>
      <c r="K81" s="32"/>
      <c r="L81" s="32"/>
      <c r="M81" s="32"/>
      <c r="N81" s="32"/>
      <c r="O81" s="32"/>
      <c r="P81" s="32"/>
      <c r="Q81" s="32"/>
      <c r="R81" s="32"/>
      <c r="S81" s="32"/>
      <c r="T81" s="32"/>
      <c r="U81" s="32"/>
      <c r="V81" s="47"/>
      <c r="W81" s="47"/>
      <c r="X81" s="49"/>
      <c r="Y81" s="49"/>
      <c r="Z81" s="49"/>
      <c r="AA81" s="49"/>
      <c r="AB81" s="49"/>
      <c r="AC81" s="49"/>
      <c r="AD81" s="49"/>
      <c r="AE81" s="49"/>
      <c r="AF81" s="49"/>
      <c r="AG81" s="49"/>
      <c r="AH81" s="49"/>
      <c r="AI81" s="49"/>
      <c r="AJ81" s="49"/>
      <c r="AK81" s="49"/>
      <c r="AL81" s="49"/>
      <c r="AM81" s="49"/>
      <c r="AN81" s="49"/>
      <c r="AO81" s="49"/>
      <c r="AP81" s="49"/>
    </row>
    <row r="82" spans="1:23" ht="15.75">
      <c r="A82" s="32"/>
      <c r="B82" s="47"/>
      <c r="E82" s="1411" t="s">
        <v>28</v>
      </c>
      <c r="F82" s="1411"/>
      <c r="G82" s="1411"/>
      <c r="H82" s="1411"/>
      <c r="I82" s="1411"/>
      <c r="J82" s="1411"/>
      <c r="K82" s="1411"/>
      <c r="L82" s="1000"/>
      <c r="M82" s="1411" t="s">
        <v>29</v>
      </c>
      <c r="N82" s="1411"/>
      <c r="O82" s="1411"/>
      <c r="P82" s="1411"/>
      <c r="Q82" s="1411"/>
      <c r="R82" s="1411"/>
      <c r="S82" s="1000"/>
      <c r="T82" s="47"/>
      <c r="U82" s="47"/>
      <c r="V82" s="32"/>
      <c r="W82" s="32"/>
    </row>
    <row r="83" spans="1:23" ht="30.75">
      <c r="A83" s="32"/>
      <c r="C83" s="163" t="s">
        <v>1597</v>
      </c>
      <c r="E83" s="156"/>
      <c r="F83" s="1199"/>
      <c r="G83" s="1199"/>
      <c r="H83" s="544"/>
      <c r="I83" s="544"/>
      <c r="J83" s="1000"/>
      <c r="K83" s="1200" t="s">
        <v>803</v>
      </c>
      <c r="L83" s="1000"/>
      <c r="M83" s="156"/>
      <c r="N83" s="1199"/>
      <c r="O83" s="1000"/>
      <c r="P83" s="544"/>
      <c r="Q83" s="1000"/>
      <c r="R83" s="1200" t="s">
        <v>803</v>
      </c>
      <c r="S83" s="1000"/>
      <c r="T83" s="47"/>
      <c r="U83" s="47"/>
      <c r="V83" s="32"/>
      <c r="W83" s="32"/>
    </row>
    <row r="84" spans="1:23" ht="15.75">
      <c r="A84" s="32"/>
      <c r="C84" s="51"/>
      <c r="E84" s="195" t="s">
        <v>1724</v>
      </c>
      <c r="F84" s="1000"/>
      <c r="G84" s="544"/>
      <c r="H84" s="544"/>
      <c r="I84" s="544"/>
      <c r="J84" s="544"/>
      <c r="K84" s="547" t="s">
        <v>1100</v>
      </c>
      <c r="L84" s="1000"/>
      <c r="M84" s="195" t="s">
        <v>1724</v>
      </c>
      <c r="N84" s="544"/>
      <c r="O84" s="544"/>
      <c r="P84" s="544"/>
      <c r="Q84" s="544"/>
      <c r="R84" s="547" t="s">
        <v>1100</v>
      </c>
      <c r="S84" s="1000"/>
      <c r="T84" s="47"/>
      <c r="U84" s="47"/>
      <c r="V84" s="32"/>
      <c r="W84" s="32"/>
    </row>
    <row r="85" spans="1:23" ht="15">
      <c r="A85" s="32"/>
      <c r="C85" s="24">
        <v>1</v>
      </c>
      <c r="E85" s="27" t="s">
        <v>188</v>
      </c>
      <c r="F85" s="154"/>
      <c r="G85" s="28"/>
      <c r="H85" s="29"/>
      <c r="I85" s="23"/>
      <c r="J85" s="387" t="s">
        <v>1221</v>
      </c>
      <c r="K85" s="1201">
        <v>4662926</v>
      </c>
      <c r="L85" s="154"/>
      <c r="M85" s="27" t="s">
        <v>188</v>
      </c>
      <c r="N85" s="29"/>
      <c r="O85" s="29"/>
      <c r="P85" s="29"/>
      <c r="Q85" s="29"/>
      <c r="R85" s="1186">
        <v>2143747</v>
      </c>
      <c r="S85" s="387" t="s">
        <v>1221</v>
      </c>
      <c r="T85" s="47"/>
      <c r="U85" s="47"/>
      <c r="V85" s="32"/>
      <c r="W85" s="32"/>
    </row>
    <row r="86" spans="1:23" ht="15.75">
      <c r="A86" s="32"/>
      <c r="C86" s="24"/>
      <c r="E86" s="195" t="s">
        <v>1467</v>
      </c>
      <c r="F86" s="1000"/>
      <c r="G86" s="917"/>
      <c r="H86" s="544"/>
      <c r="I86" s="944"/>
      <c r="J86" s="944"/>
      <c r="K86" s="550"/>
      <c r="L86" s="1000"/>
      <c r="M86" s="153" t="s">
        <v>1468</v>
      </c>
      <c r="N86" s="917"/>
      <c r="O86" s="544"/>
      <c r="P86" s="944"/>
      <c r="Q86" s="944"/>
      <c r="R86" s="550"/>
      <c r="S86" s="944"/>
      <c r="T86" s="47"/>
      <c r="U86" s="47"/>
      <c r="V86" s="32"/>
      <c r="W86" s="32"/>
    </row>
    <row r="87" spans="1:23" ht="15.75">
      <c r="A87" s="32"/>
      <c r="C87" s="24">
        <v>2</v>
      </c>
      <c r="E87" s="47"/>
      <c r="F87" s="1000" t="s">
        <v>22</v>
      </c>
      <c r="G87" s="917"/>
      <c r="H87" s="544"/>
      <c r="I87" s="1202"/>
      <c r="J87" s="944"/>
      <c r="K87" s="1203">
        <f>+H95</f>
        <v>813583.4826786154</v>
      </c>
      <c r="L87" s="1000"/>
      <c r="M87" s="47"/>
      <c r="N87" s="1000" t="s">
        <v>31</v>
      </c>
      <c r="O87" s="544"/>
      <c r="P87" s="944"/>
      <c r="Q87" s="544"/>
      <c r="R87" s="586">
        <v>1417969</v>
      </c>
      <c r="S87" s="1204" t="s">
        <v>1222</v>
      </c>
      <c r="T87" s="47"/>
      <c r="U87" s="47"/>
      <c r="V87" s="32"/>
      <c r="W87" s="32"/>
    </row>
    <row r="88" spans="1:23" ht="15.75">
      <c r="A88" s="32"/>
      <c r="C88" s="24">
        <v>3</v>
      </c>
      <c r="E88" s="47"/>
      <c r="F88" s="687" t="s">
        <v>32</v>
      </c>
      <c r="G88" s="917"/>
      <c r="H88" s="544"/>
      <c r="I88" s="1202"/>
      <c r="J88" s="1204" t="s">
        <v>1223</v>
      </c>
      <c r="K88" s="1205">
        <v>286301</v>
      </c>
      <c r="L88" s="1000"/>
      <c r="M88" s="47"/>
      <c r="N88" s="1000" t="s">
        <v>32</v>
      </c>
      <c r="O88" s="544"/>
      <c r="P88" s="944"/>
      <c r="Q88" s="544"/>
      <c r="R88" s="692">
        <v>29541</v>
      </c>
      <c r="S88" s="1204" t="s">
        <v>1223</v>
      </c>
      <c r="T88" s="47"/>
      <c r="U88" s="47"/>
      <c r="V88" s="32"/>
      <c r="W88" s="32"/>
    </row>
    <row r="89" spans="1:23" ht="15">
      <c r="A89" s="32"/>
      <c r="C89" s="24">
        <v>4</v>
      </c>
      <c r="E89" s="27"/>
      <c r="F89" s="154"/>
      <c r="G89" s="28"/>
      <c r="H89" s="29"/>
      <c r="I89" s="23"/>
      <c r="J89" s="23"/>
      <c r="K89" s="157"/>
      <c r="L89" s="154"/>
      <c r="M89" s="47"/>
      <c r="N89" s="1000" t="s">
        <v>22</v>
      </c>
      <c r="O89" s="544"/>
      <c r="P89" s="944"/>
      <c r="Q89" s="944"/>
      <c r="R89" s="1206">
        <f>+O95</f>
        <v>627960.512598344</v>
      </c>
      <c r="S89" s="1000"/>
      <c r="T89" s="47"/>
      <c r="U89" s="47"/>
      <c r="V89" s="32"/>
      <c r="W89" s="32"/>
    </row>
    <row r="90" spans="1:23" ht="15.75">
      <c r="A90" s="32"/>
      <c r="C90" s="24">
        <v>5</v>
      </c>
      <c r="E90" s="27" t="s">
        <v>428</v>
      </c>
      <c r="F90" s="154"/>
      <c r="G90" s="28"/>
      <c r="H90" s="29"/>
      <c r="I90" s="23"/>
      <c r="J90" s="23"/>
      <c r="K90" s="233">
        <f>+K85-K87-K88</f>
        <v>3563041.5173213845</v>
      </c>
      <c r="L90" s="1000"/>
      <c r="M90" s="47"/>
      <c r="N90" s="687" t="s">
        <v>429</v>
      </c>
      <c r="O90" s="544"/>
      <c r="P90" s="944"/>
      <c r="Q90" s="944"/>
      <c r="R90" s="233">
        <f>+R85-R87-R88-R89</f>
        <v>68276.48740165599</v>
      </c>
      <c r="S90" s="1000"/>
      <c r="T90" s="47"/>
      <c r="U90" s="47"/>
      <c r="V90" s="32"/>
      <c r="W90" s="32"/>
    </row>
    <row r="91" spans="1:23" ht="15.75">
      <c r="A91" s="32"/>
      <c r="C91" s="24"/>
      <c r="E91" s="29"/>
      <c r="F91" s="154"/>
      <c r="G91" s="29"/>
      <c r="H91" s="29"/>
      <c r="I91" s="29"/>
      <c r="J91" s="29"/>
      <c r="K91" s="29"/>
      <c r="L91" s="154"/>
      <c r="M91" s="153"/>
      <c r="N91" s="917"/>
      <c r="O91" s="544"/>
      <c r="P91" s="944"/>
      <c r="Q91" s="944"/>
      <c r="R91" s="852"/>
      <c r="S91" s="1000"/>
      <c r="T91" s="47"/>
      <c r="U91" s="47"/>
      <c r="V91" s="32"/>
      <c r="W91" s="32"/>
    </row>
    <row r="92" spans="1:23" ht="15">
      <c r="A92" s="32"/>
      <c r="C92" s="24"/>
      <c r="E92" s="196" t="s">
        <v>19</v>
      </c>
      <c r="F92" s="1000"/>
      <c r="G92" s="917"/>
      <c r="H92" s="544"/>
      <c r="I92" s="944"/>
      <c r="J92" s="944"/>
      <c r="K92" s="1207"/>
      <c r="L92" s="1000"/>
      <c r="M92" s="196" t="s">
        <v>19</v>
      </c>
      <c r="N92" s="917"/>
      <c r="O92" s="544"/>
      <c r="P92" s="944"/>
      <c r="Q92" s="944"/>
      <c r="R92" s="852" t="s">
        <v>1100</v>
      </c>
      <c r="S92" s="1000"/>
      <c r="T92" s="47"/>
      <c r="U92" s="47"/>
      <c r="V92" s="32"/>
      <c r="W92" s="32"/>
    </row>
    <row r="93" spans="1:23" ht="15.75">
      <c r="A93" s="32"/>
      <c r="C93" s="24">
        <v>6</v>
      </c>
      <c r="E93" s="153" t="s">
        <v>1469</v>
      </c>
      <c r="F93" s="1000"/>
      <c r="G93" s="917"/>
      <c r="H93" s="1208">
        <v>836392</v>
      </c>
      <c r="I93" s="944" t="s">
        <v>282</v>
      </c>
      <c r="J93" s="944"/>
      <c r="K93" s="1207"/>
      <c r="L93" s="1000"/>
      <c r="M93" s="153" t="s">
        <v>1469</v>
      </c>
      <c r="N93" s="917"/>
      <c r="O93" s="586">
        <v>645496</v>
      </c>
      <c r="P93" s="944" t="s">
        <v>282</v>
      </c>
      <c r="Q93" s="944"/>
      <c r="R93" s="852" t="s">
        <v>1100</v>
      </c>
      <c r="S93" s="1000"/>
      <c r="T93" s="47"/>
      <c r="U93" s="47"/>
      <c r="V93" s="32"/>
      <c r="W93" s="32"/>
    </row>
    <row r="94" spans="1:23" ht="15.75">
      <c r="A94" s="32"/>
      <c r="C94" s="24">
        <v>7</v>
      </c>
      <c r="E94" s="154" t="s">
        <v>20</v>
      </c>
      <c r="F94" s="154"/>
      <c r="G94" s="28"/>
      <c r="H94" s="268">
        <f>+I99</f>
        <v>0.9727298714940068</v>
      </c>
      <c r="I94" s="1202"/>
      <c r="J94" s="944"/>
      <c r="K94" s="1207" t="s">
        <v>1100</v>
      </c>
      <c r="L94" s="1000"/>
      <c r="M94" s="1000" t="s">
        <v>20</v>
      </c>
      <c r="N94" s="917"/>
      <c r="O94" s="1209">
        <f>+P99</f>
        <v>0.9728340882024737</v>
      </c>
      <c r="P94" s="1202"/>
      <c r="Q94" s="944"/>
      <c r="R94" s="852" t="s">
        <v>1301</v>
      </c>
      <c r="S94" s="1000"/>
      <c r="T94" s="47"/>
      <c r="U94" s="47"/>
      <c r="V94" s="32"/>
      <c r="W94" s="32"/>
    </row>
    <row r="95" spans="1:23" ht="15">
      <c r="A95" s="32"/>
      <c r="C95" s="24">
        <v>8</v>
      </c>
      <c r="E95" s="154" t="s">
        <v>21</v>
      </c>
      <c r="F95" s="154"/>
      <c r="G95" s="28"/>
      <c r="H95" s="231">
        <f>+H93*H94</f>
        <v>813583.4826786154</v>
      </c>
      <c r="I95" s="23"/>
      <c r="J95" s="23"/>
      <c r="K95" s="157"/>
      <c r="L95" s="154"/>
      <c r="M95" s="154" t="s">
        <v>21</v>
      </c>
      <c r="N95" s="28"/>
      <c r="O95" s="231">
        <f>+O93*O94</f>
        <v>627960.512598344</v>
      </c>
      <c r="P95" s="23"/>
      <c r="Q95" s="23"/>
      <c r="R95" s="158" t="s">
        <v>1100</v>
      </c>
      <c r="S95" s="154"/>
      <c r="T95" s="47"/>
      <c r="U95" s="47"/>
      <c r="V95" s="32"/>
      <c r="W95" s="32"/>
    </row>
    <row r="96" spans="1:23" ht="15.75">
      <c r="A96" s="32"/>
      <c r="C96" s="24"/>
      <c r="E96" s="195"/>
      <c r="F96" s="1000"/>
      <c r="G96" s="917"/>
      <c r="H96" s="544"/>
      <c r="I96" s="944"/>
      <c r="J96" s="944"/>
      <c r="K96" s="1207"/>
      <c r="L96" s="1000"/>
      <c r="M96" s="153"/>
      <c r="N96" s="917"/>
      <c r="O96" s="544"/>
      <c r="P96" s="944"/>
      <c r="Q96" s="944"/>
      <c r="R96" s="852" t="s">
        <v>1100</v>
      </c>
      <c r="S96" s="1000"/>
      <c r="T96" s="47"/>
      <c r="U96" s="47"/>
      <c r="V96" s="32"/>
      <c r="W96" s="32"/>
    </row>
    <row r="97" spans="1:23" ht="15">
      <c r="A97" s="32"/>
      <c r="C97" s="24"/>
      <c r="E97" s="27"/>
      <c r="F97" s="154"/>
      <c r="G97" s="28"/>
      <c r="H97" s="197" t="s">
        <v>17</v>
      </c>
      <c r="I97" s="198" t="s">
        <v>804</v>
      </c>
      <c r="J97" s="23"/>
      <c r="K97" s="159" t="s">
        <v>1100</v>
      </c>
      <c r="L97" s="154"/>
      <c r="M97" s="27"/>
      <c r="N97" s="28"/>
      <c r="O97" s="197" t="s">
        <v>17</v>
      </c>
      <c r="P97" s="198" t="s">
        <v>804</v>
      </c>
      <c r="Q97" s="23"/>
      <c r="R97" s="159"/>
      <c r="S97" s="154"/>
      <c r="T97" s="47"/>
      <c r="U97" s="47"/>
      <c r="V97" s="32"/>
      <c r="W97" s="32"/>
    </row>
    <row r="98" spans="1:23" ht="15">
      <c r="A98" s="32"/>
      <c r="C98" s="24">
        <v>9</v>
      </c>
      <c r="E98" s="27"/>
      <c r="F98" s="154"/>
      <c r="G98" s="28" t="s">
        <v>1151</v>
      </c>
      <c r="H98" s="1210">
        <f>913+3189</f>
        <v>4102</v>
      </c>
      <c r="I98" s="269">
        <f>IF(H100=0,0,+H98/H100)</f>
        <v>0.02727012850599318</v>
      </c>
      <c r="J98" s="23"/>
      <c r="K98" s="159"/>
      <c r="L98" s="154"/>
      <c r="M98" s="27"/>
      <c r="N98" s="28" t="s">
        <v>1151</v>
      </c>
      <c r="O98" s="1210">
        <f>2734+163</f>
        <v>2897</v>
      </c>
      <c r="P98" s="1191">
        <f>IF(O$100=0,0,+O98/O$100)</f>
        <v>0.02716591179752628</v>
      </c>
      <c r="Q98" s="23"/>
      <c r="R98" s="159"/>
      <c r="S98" s="154"/>
      <c r="T98" s="47"/>
      <c r="U98" s="47"/>
      <c r="V98" s="32"/>
      <c r="W98" s="32"/>
    </row>
    <row r="99" spans="1:23" ht="15.75">
      <c r="A99" s="32"/>
      <c r="C99" s="24">
        <v>10</v>
      </c>
      <c r="E99" s="199"/>
      <c r="F99" s="1000"/>
      <c r="G99" s="1000" t="s">
        <v>807</v>
      </c>
      <c r="H99" s="1211">
        <v>146319</v>
      </c>
      <c r="I99" s="1212">
        <f>IF(H100=0,0,+H99/H100)</f>
        <v>0.9727298714940068</v>
      </c>
      <c r="J99" s="23"/>
      <c r="K99" s="1000"/>
      <c r="L99" s="1000"/>
      <c r="M99" s="199"/>
      <c r="N99" s="1000" t="s">
        <v>807</v>
      </c>
      <c r="O99" s="1211">
        <v>103744</v>
      </c>
      <c r="P99" s="1213">
        <f>IF(O$100=0,0,+O99/O$100)</f>
        <v>0.9728340882024737</v>
      </c>
      <c r="Q99" s="23"/>
      <c r="R99" s="1000"/>
      <c r="S99" s="1000"/>
      <c r="T99" s="47"/>
      <c r="U99" s="47"/>
      <c r="V99" s="32"/>
      <c r="W99" s="32"/>
    </row>
    <row r="100" spans="1:23" ht="15">
      <c r="A100" s="32"/>
      <c r="C100" s="24">
        <v>11</v>
      </c>
      <c r="E100" s="154"/>
      <c r="F100" s="154"/>
      <c r="G100" s="154" t="s">
        <v>1106</v>
      </c>
      <c r="H100" s="270">
        <f>SUM(H98:H99)</f>
        <v>150421</v>
      </c>
      <c r="I100" s="271">
        <f>SUM(I98:I99)</f>
        <v>1</v>
      </c>
      <c r="J100" s="154"/>
      <c r="K100" s="154"/>
      <c r="L100" s="154"/>
      <c r="M100" s="154"/>
      <c r="N100" s="154" t="s">
        <v>1106</v>
      </c>
      <c r="O100" s="270">
        <f>SUM(O98:O99)</f>
        <v>106641</v>
      </c>
      <c r="P100" s="271">
        <f>SUM(P98:P99)</f>
        <v>1</v>
      </c>
      <c r="Q100" s="154"/>
      <c r="R100" s="154"/>
      <c r="S100" s="154"/>
      <c r="T100" s="47"/>
      <c r="U100" s="47"/>
      <c r="V100" s="47"/>
      <c r="W100" s="32"/>
    </row>
    <row r="101" spans="1:23" ht="15">
      <c r="A101" s="32"/>
      <c r="B101" s="47"/>
      <c r="E101" s="47"/>
      <c r="F101" s="47"/>
      <c r="G101" s="47"/>
      <c r="H101" s="1214"/>
      <c r="I101" s="47"/>
      <c r="J101" s="47"/>
      <c r="K101" s="47"/>
      <c r="L101" s="47"/>
      <c r="M101" s="47"/>
      <c r="N101" s="47"/>
      <c r="O101" s="1214"/>
      <c r="P101" s="47"/>
      <c r="Q101" s="47"/>
      <c r="R101" s="47"/>
      <c r="S101" s="47"/>
      <c r="T101" s="47"/>
      <c r="U101" s="47"/>
      <c r="V101" s="47"/>
      <c r="W101" s="32"/>
    </row>
    <row r="102" spans="1:23" ht="15">
      <c r="A102" s="32"/>
      <c r="B102" s="47"/>
      <c r="E102" s="27" t="s">
        <v>1602</v>
      </c>
      <c r="F102" s="47"/>
      <c r="G102" s="47"/>
      <c r="H102" s="47"/>
      <c r="I102" s="47"/>
      <c r="J102" s="47"/>
      <c r="K102" s="47"/>
      <c r="L102" s="47"/>
      <c r="M102" s="47"/>
      <c r="N102" s="155"/>
      <c r="O102" s="160"/>
      <c r="P102" s="161"/>
      <c r="Q102" s="162"/>
      <c r="R102" s="162"/>
      <c r="S102" s="47"/>
      <c r="T102" s="47"/>
      <c r="U102" s="47"/>
      <c r="V102" s="47"/>
      <c r="W102" s="32"/>
    </row>
    <row r="103" spans="1:23" ht="20.25">
      <c r="A103" s="48"/>
      <c r="C103" s="47"/>
      <c r="D103" s="32"/>
      <c r="E103" s="32"/>
      <c r="F103" s="32"/>
      <c r="G103" s="32"/>
      <c r="H103" s="32"/>
      <c r="I103" s="32"/>
      <c r="J103" s="32"/>
      <c r="K103" s="32"/>
      <c r="L103" s="77"/>
      <c r="M103" s="636"/>
      <c r="N103" s="636"/>
      <c r="O103" s="636"/>
      <c r="P103" s="636"/>
      <c r="Q103" s="636"/>
      <c r="R103" s="636"/>
      <c r="S103" s="636"/>
      <c r="T103" s="636"/>
      <c r="U103" s="636"/>
      <c r="V103" s="47"/>
      <c r="W103" s="32"/>
    </row>
    <row r="104" spans="2:22" ht="20.25">
      <c r="B104" s="98" t="s">
        <v>200</v>
      </c>
      <c r="C104" s="48" t="s">
        <v>203</v>
      </c>
      <c r="D104" s="49"/>
      <c r="E104" s="49"/>
      <c r="F104" s="49"/>
      <c r="G104" s="49"/>
      <c r="H104" s="49"/>
      <c r="I104" s="49"/>
      <c r="J104" s="49"/>
      <c r="K104" s="49"/>
      <c r="L104" s="49"/>
      <c r="M104" s="49"/>
      <c r="N104" s="49"/>
      <c r="O104" s="49"/>
      <c r="P104" s="49"/>
      <c r="Q104" s="49"/>
      <c r="R104" s="49"/>
      <c r="S104" s="49"/>
      <c r="T104" s="49"/>
      <c r="U104" s="49"/>
      <c r="V104" s="49"/>
    </row>
    <row r="105" spans="2:22" ht="12.75" customHeight="1">
      <c r="B105" s="48"/>
      <c r="C105" s="49"/>
      <c r="D105" s="49"/>
      <c r="E105" s="49"/>
      <c r="F105" s="49"/>
      <c r="G105" s="49"/>
      <c r="H105" s="49"/>
      <c r="I105" s="49"/>
      <c r="J105" s="49"/>
      <c r="K105" s="49"/>
      <c r="L105" s="49"/>
      <c r="M105" s="49"/>
      <c r="N105" s="49"/>
      <c r="O105" s="49"/>
      <c r="P105" s="49"/>
      <c r="Q105" s="49"/>
      <c r="R105" s="49"/>
      <c r="S105" s="49"/>
      <c r="T105" s="49"/>
      <c r="U105" s="49"/>
      <c r="V105" s="49"/>
    </row>
    <row r="106" spans="3:22" ht="15">
      <c r="C106" s="18" t="s">
        <v>424</v>
      </c>
      <c r="D106" s="49"/>
      <c r="E106" s="49"/>
      <c r="F106" s="49"/>
      <c r="G106" s="388">
        <v>0</v>
      </c>
      <c r="H106" s="547"/>
      <c r="I106" s="49"/>
      <c r="J106" s="49"/>
      <c r="K106" s="49"/>
      <c r="L106" s="49"/>
      <c r="M106" s="49"/>
      <c r="N106" s="49"/>
      <c r="O106" s="49"/>
      <c r="P106" s="49"/>
      <c r="Q106" s="49"/>
      <c r="R106" s="49"/>
      <c r="S106" s="49"/>
      <c r="T106" s="49"/>
      <c r="U106" s="49"/>
      <c r="V106" s="49"/>
    </row>
    <row r="107" spans="2:22" ht="12.75">
      <c r="B107" s="49"/>
      <c r="C107" s="49"/>
      <c r="D107" s="49"/>
      <c r="E107" s="49"/>
      <c r="F107" s="49"/>
      <c r="G107" s="49"/>
      <c r="H107" s="49"/>
      <c r="I107" s="49"/>
      <c r="J107" s="49"/>
      <c r="K107" s="49"/>
      <c r="L107" s="49"/>
      <c r="M107" s="49"/>
      <c r="N107" s="49"/>
      <c r="O107" s="49"/>
      <c r="P107" s="49"/>
      <c r="Q107" s="49"/>
      <c r="R107" s="49"/>
      <c r="S107" s="49"/>
      <c r="T107" s="49"/>
      <c r="U107" s="49"/>
      <c r="V107" s="49"/>
    </row>
    <row r="108" spans="2:22" ht="15">
      <c r="B108" s="49"/>
      <c r="C108" s="18" t="s">
        <v>425</v>
      </c>
      <c r="D108" s="49"/>
      <c r="E108" s="49"/>
      <c r="F108" s="49"/>
      <c r="G108" s="388">
        <v>0</v>
      </c>
      <c r="H108" s="547"/>
      <c r="I108" s="49"/>
      <c r="J108" s="49"/>
      <c r="K108" s="49"/>
      <c r="L108" s="49"/>
      <c r="M108" s="49"/>
      <c r="N108" s="49"/>
      <c r="O108" s="49"/>
      <c r="P108" s="49"/>
      <c r="Q108" s="49"/>
      <c r="R108" s="49"/>
      <c r="S108" s="49"/>
      <c r="T108" s="49"/>
      <c r="U108" s="49"/>
      <c r="V108" s="49"/>
    </row>
    <row r="109" spans="2:22" ht="15" customHeight="1">
      <c r="B109" s="48"/>
      <c r="C109" s="925"/>
      <c r="D109" s="49"/>
      <c r="E109" s="49"/>
      <c r="F109" s="49"/>
      <c r="G109" s="49"/>
      <c r="H109" s="49"/>
      <c r="I109" s="49"/>
      <c r="J109" s="49"/>
      <c r="K109" s="49"/>
      <c r="L109" s="49"/>
      <c r="M109" s="49"/>
      <c r="N109" s="49"/>
      <c r="O109" s="49"/>
      <c r="P109" s="49"/>
      <c r="Q109" s="49"/>
      <c r="R109" s="49"/>
      <c r="S109" s="49"/>
      <c r="T109" s="49"/>
      <c r="U109" s="49"/>
      <c r="V109" s="49"/>
    </row>
    <row r="110" spans="1:22" ht="17.25" customHeight="1">
      <c r="A110" s="48" t="str">
        <f>+A1</f>
        <v>Worksheet A-1 - WE Revenue Credit</v>
      </c>
      <c r="C110" s="47"/>
      <c r="D110" s="32"/>
      <c r="E110" s="32"/>
      <c r="F110" s="32"/>
      <c r="G110" s="32"/>
      <c r="H110" s="32"/>
      <c r="I110" s="32"/>
      <c r="J110" s="32"/>
      <c r="K110" s="32"/>
      <c r="L110" s="77"/>
      <c r="M110" s="636"/>
      <c r="N110" s="636"/>
      <c r="O110" s="636"/>
      <c r="P110" s="636"/>
      <c r="Q110" s="636"/>
      <c r="R110" s="636"/>
      <c r="S110" s="636"/>
      <c r="T110" s="636"/>
      <c r="U110" s="75"/>
      <c r="V110" s="75" t="s">
        <v>235</v>
      </c>
    </row>
    <row r="111" spans="1:22" ht="17.25" customHeight="1">
      <c r="A111" s="32"/>
      <c r="B111" s="48"/>
      <c r="C111" s="47"/>
      <c r="D111" s="32"/>
      <c r="E111" s="32"/>
      <c r="F111" s="32"/>
      <c r="G111" s="32"/>
      <c r="H111" s="32"/>
      <c r="I111" s="32"/>
      <c r="J111" s="32"/>
      <c r="K111" s="32"/>
      <c r="L111" s="77"/>
      <c r="M111" s="636"/>
      <c r="N111" s="636"/>
      <c r="O111" s="636"/>
      <c r="P111" s="636"/>
      <c r="Q111" s="636"/>
      <c r="R111" s="636"/>
      <c r="S111" s="636"/>
      <c r="T111" s="636"/>
      <c r="U111" s="75"/>
      <c r="V111" s="49"/>
    </row>
    <row r="112" spans="1:22" ht="17.25" customHeight="1">
      <c r="A112" s="1409" t="str">
        <f>+A4</f>
        <v>Westar Energy, Inc.</v>
      </c>
      <c r="B112" s="1410"/>
      <c r="C112" s="1410"/>
      <c r="D112" s="1410"/>
      <c r="E112" s="1410"/>
      <c r="F112" s="1410"/>
      <c r="G112" s="1410"/>
      <c r="H112" s="1410"/>
      <c r="I112" s="1410"/>
      <c r="J112" s="1410"/>
      <c r="K112" s="1410"/>
      <c r="L112" s="1410"/>
      <c r="M112" s="1410"/>
      <c r="N112" s="1410"/>
      <c r="O112" s="1410"/>
      <c r="P112" s="1410"/>
      <c r="Q112" s="1410"/>
      <c r="R112" s="1410"/>
      <c r="S112" s="1410"/>
      <c r="T112" s="1410"/>
      <c r="U112" s="1410"/>
      <c r="V112" s="49"/>
    </row>
    <row r="113" spans="1:22" ht="17.25" customHeight="1">
      <c r="A113" s="1409" t="str">
        <f>+A5</f>
        <v>Determination of Revenue Credits</v>
      </c>
      <c r="B113" s="1410"/>
      <c r="C113" s="1410"/>
      <c r="D113" s="1410"/>
      <c r="E113" s="1410"/>
      <c r="F113" s="1410"/>
      <c r="G113" s="1410"/>
      <c r="H113" s="1410"/>
      <c r="I113" s="1410"/>
      <c r="J113" s="1410"/>
      <c r="K113" s="1410"/>
      <c r="L113" s="1410"/>
      <c r="M113" s="1410"/>
      <c r="N113" s="1410"/>
      <c r="O113" s="1410"/>
      <c r="P113" s="1410"/>
      <c r="Q113" s="1410"/>
      <c r="R113" s="1410"/>
      <c r="S113" s="1410"/>
      <c r="T113" s="1410"/>
      <c r="U113" s="1410"/>
      <c r="V113" s="49"/>
    </row>
    <row r="114" spans="2:22" ht="17.25" customHeight="1">
      <c r="B114" s="98" t="s">
        <v>201</v>
      </c>
      <c r="C114" s="48" t="s">
        <v>202</v>
      </c>
      <c r="D114" s="49"/>
      <c r="E114" s="49"/>
      <c r="F114" s="49"/>
      <c r="G114" s="49"/>
      <c r="H114" s="49"/>
      <c r="I114" s="49"/>
      <c r="J114" s="49"/>
      <c r="K114" s="49"/>
      <c r="L114" s="49"/>
      <c r="M114" s="49"/>
      <c r="N114" s="49"/>
      <c r="O114" s="49"/>
      <c r="P114" s="49"/>
      <c r="Q114" s="49"/>
      <c r="R114" s="49"/>
      <c r="S114" s="49"/>
      <c r="T114" s="49"/>
      <c r="U114" s="49"/>
      <c r="V114" s="49"/>
    </row>
    <row r="115" spans="2:22" ht="17.25" customHeight="1">
      <c r="B115" s="98"/>
      <c r="C115" s="48"/>
      <c r="D115" s="49"/>
      <c r="E115" s="49"/>
      <c r="F115" s="49"/>
      <c r="G115" s="49"/>
      <c r="H115" s="49"/>
      <c r="I115" s="49"/>
      <c r="J115" s="49"/>
      <c r="K115" s="49"/>
      <c r="L115" s="49"/>
      <c r="M115" s="49"/>
      <c r="N115" s="49"/>
      <c r="O115" s="49"/>
      <c r="P115" s="49"/>
      <c r="Q115" s="49"/>
      <c r="R115" s="49"/>
      <c r="S115" s="49"/>
      <c r="T115" s="49"/>
      <c r="U115" s="49"/>
      <c r="V115" s="49"/>
    </row>
    <row r="116" spans="2:22" ht="17.25" customHeight="1">
      <c r="B116" s="1215" t="s">
        <v>1616</v>
      </c>
      <c r="C116" s="925" t="s">
        <v>1786</v>
      </c>
      <c r="D116" s="49"/>
      <c r="E116" s="49"/>
      <c r="F116" s="49"/>
      <c r="G116" s="49"/>
      <c r="H116" s="49"/>
      <c r="I116" s="49"/>
      <c r="J116" s="49"/>
      <c r="K116" s="49"/>
      <c r="L116" s="49"/>
      <c r="M116" s="49"/>
      <c r="N116" s="49"/>
      <c r="O116" s="49"/>
      <c r="P116" s="49"/>
      <c r="Q116" s="49"/>
      <c r="R116" s="49"/>
      <c r="S116" s="49"/>
      <c r="T116" s="49"/>
      <c r="U116" s="49"/>
      <c r="V116" s="49"/>
    </row>
    <row r="117" spans="2:22" ht="17.25" customHeight="1">
      <c r="B117" s="98"/>
      <c r="C117" s="925" t="s">
        <v>1563</v>
      </c>
      <c r="D117" s="49"/>
      <c r="E117" s="49"/>
      <c r="F117" s="49"/>
      <c r="G117" s="49"/>
      <c r="H117" s="49"/>
      <c r="I117" s="49"/>
      <c r="J117" s="49"/>
      <c r="K117" s="49"/>
      <c r="L117" s="49"/>
      <c r="M117" s="49"/>
      <c r="N117" s="49"/>
      <c r="O117" s="49"/>
      <c r="P117" s="49"/>
      <c r="Q117" s="49"/>
      <c r="R117" s="49"/>
      <c r="S117" s="49"/>
      <c r="T117" s="49"/>
      <c r="U117" s="49"/>
      <c r="V117" s="49"/>
    </row>
    <row r="118" spans="2:22" ht="17.25" customHeight="1">
      <c r="B118" s="98"/>
      <c r="C118" s="925"/>
      <c r="D118" s="49"/>
      <c r="E118" s="49"/>
      <c r="F118" s="49"/>
      <c r="G118" s="49"/>
      <c r="H118" s="49"/>
      <c r="I118" s="49"/>
      <c r="J118" s="49"/>
      <c r="K118" s="49"/>
      <c r="L118" s="49"/>
      <c r="M118" s="49"/>
      <c r="N118" s="49"/>
      <c r="O118" s="49"/>
      <c r="P118" s="49"/>
      <c r="Q118" s="49"/>
      <c r="R118" s="49"/>
      <c r="S118" s="49"/>
      <c r="T118" s="49"/>
      <c r="U118" s="49"/>
      <c r="V118" s="49"/>
    </row>
    <row r="119" spans="2:22" ht="16.5" customHeight="1">
      <c r="B119" s="98"/>
      <c r="C119" s="272" t="s">
        <v>1224</v>
      </c>
      <c r="D119" s="49"/>
      <c r="E119" s="49"/>
      <c r="F119" s="49"/>
      <c r="G119" s="49"/>
      <c r="H119" s="49"/>
      <c r="I119" s="49"/>
      <c r="J119" s="49"/>
      <c r="K119" s="49"/>
      <c r="L119" s="49"/>
      <c r="M119" s="49"/>
      <c r="N119" s="49"/>
      <c r="O119" s="49"/>
      <c r="P119" s="49"/>
      <c r="Q119" s="49"/>
      <c r="R119" s="49"/>
      <c r="S119" s="49"/>
      <c r="T119" s="49"/>
      <c r="U119" s="49"/>
      <c r="V119" s="49"/>
    </row>
    <row r="120" spans="2:22" ht="18" customHeight="1">
      <c r="B120" s="98"/>
      <c r="C120" s="1303" t="s">
        <v>345</v>
      </c>
      <c r="D120" s="678"/>
      <c r="E120" s="678"/>
      <c r="F120" s="678"/>
      <c r="G120" s="678"/>
      <c r="H120" s="678"/>
      <c r="I120" s="678"/>
      <c r="J120" s="678"/>
      <c r="K120" s="678"/>
      <c r="L120" s="678"/>
      <c r="M120" s="678"/>
      <c r="N120" s="678"/>
      <c r="O120" s="49"/>
      <c r="P120" s="49"/>
      <c r="Q120" s="49"/>
      <c r="R120" s="49"/>
      <c r="S120" s="49"/>
      <c r="T120" s="49"/>
      <c r="U120" s="49"/>
      <c r="V120" s="49"/>
    </row>
    <row r="121" spans="2:22" ht="18" customHeight="1">
      <c r="B121" s="98"/>
      <c r="C121" s="1303" t="s">
        <v>346</v>
      </c>
      <c r="D121" s="678"/>
      <c r="E121" s="678"/>
      <c r="F121" s="678"/>
      <c r="G121" s="678"/>
      <c r="H121" s="678"/>
      <c r="I121" s="678"/>
      <c r="J121" s="678"/>
      <c r="K121" s="678"/>
      <c r="L121" s="678"/>
      <c r="M121" s="678"/>
      <c r="N121" s="678"/>
      <c r="O121" s="49"/>
      <c r="P121" s="49"/>
      <c r="Q121" s="49"/>
      <c r="R121" s="49"/>
      <c r="S121" s="49"/>
      <c r="T121" s="49"/>
      <c r="U121" s="49"/>
      <c r="V121" s="49"/>
    </row>
    <row r="122" spans="2:22" ht="18" customHeight="1">
      <c r="B122" s="98"/>
      <c r="C122" s="1303" t="s">
        <v>347</v>
      </c>
      <c r="D122" s="678"/>
      <c r="E122" s="678"/>
      <c r="F122" s="678"/>
      <c r="G122" s="678"/>
      <c r="H122" s="678"/>
      <c r="I122" s="678"/>
      <c r="J122" s="678"/>
      <c r="K122" s="678"/>
      <c r="L122" s="678"/>
      <c r="M122" s="678"/>
      <c r="N122" s="678"/>
      <c r="O122" s="49"/>
      <c r="P122" s="49"/>
      <c r="Q122" s="49"/>
      <c r="R122" s="49"/>
      <c r="S122" s="49"/>
      <c r="T122" s="49"/>
      <c r="U122" s="49"/>
      <c r="V122" s="49"/>
    </row>
    <row r="123" spans="2:22" ht="18" customHeight="1">
      <c r="B123" s="98"/>
      <c r="C123" s="1303" t="s">
        <v>348</v>
      </c>
      <c r="D123" s="678"/>
      <c r="E123" s="678"/>
      <c r="F123" s="678"/>
      <c r="G123" s="678"/>
      <c r="H123" s="678"/>
      <c r="I123" s="678"/>
      <c r="J123" s="678"/>
      <c r="K123" s="678"/>
      <c r="L123" s="678"/>
      <c r="M123" s="678"/>
      <c r="N123" s="678"/>
      <c r="O123" s="49"/>
      <c r="P123" s="49"/>
      <c r="Q123" s="49"/>
      <c r="R123" s="49"/>
      <c r="S123" s="49"/>
      <c r="T123" s="49"/>
      <c r="U123" s="49"/>
      <c r="V123" s="49"/>
    </row>
    <row r="124" spans="2:22" ht="15" customHeight="1">
      <c r="B124" s="98"/>
      <c r="C124" s="925"/>
      <c r="D124" s="49"/>
      <c r="E124" s="49"/>
      <c r="F124" s="49"/>
      <c r="G124" s="49"/>
      <c r="H124" s="49"/>
      <c r="I124" s="49"/>
      <c r="J124" s="49"/>
      <c r="K124" s="49"/>
      <c r="L124" s="49"/>
      <c r="M124" s="49"/>
      <c r="N124" s="49"/>
      <c r="O124" s="49"/>
      <c r="P124" s="49"/>
      <c r="Q124" s="49"/>
      <c r="R124" s="49"/>
      <c r="S124" s="49"/>
      <c r="T124" s="49"/>
      <c r="U124" s="49"/>
      <c r="V124" s="49"/>
    </row>
    <row r="125" spans="2:22" ht="54" customHeight="1">
      <c r="B125" s="98"/>
      <c r="C125" s="1216" t="s">
        <v>1488</v>
      </c>
      <c r="D125" s="841"/>
      <c r="E125" s="1217" t="s">
        <v>1783</v>
      </c>
      <c r="F125" s="1217" t="s">
        <v>1784</v>
      </c>
      <c r="G125" s="1217" t="s">
        <v>1785</v>
      </c>
      <c r="H125" s="1218" t="s">
        <v>1106</v>
      </c>
      <c r="I125" s="49"/>
      <c r="J125" s="49"/>
      <c r="K125" s="49"/>
      <c r="L125" s="49"/>
      <c r="M125" s="49"/>
      <c r="N125" s="49"/>
      <c r="O125" s="49"/>
      <c r="P125" s="49"/>
      <c r="Q125" s="49"/>
      <c r="R125" s="49"/>
      <c r="S125" s="49"/>
      <c r="T125" s="49"/>
      <c r="U125" s="49"/>
      <c r="V125" s="49"/>
    </row>
    <row r="126" spans="2:22" ht="18.75" customHeight="1">
      <c r="B126" s="98"/>
      <c r="C126" s="1219" t="s">
        <v>213</v>
      </c>
      <c r="D126" s="735"/>
      <c r="E126" s="1220">
        <v>24185</v>
      </c>
      <c r="F126" s="1221">
        <v>18189</v>
      </c>
      <c r="G126" s="1222">
        <v>488499</v>
      </c>
      <c r="H126" s="273">
        <f aca="true" t="shared" si="31" ref="H126:H137">SUM(E126:G126)</f>
        <v>530873</v>
      </c>
      <c r="I126" s="49"/>
      <c r="J126" s="49"/>
      <c r="K126" s="49"/>
      <c r="L126" s="49"/>
      <c r="M126" s="49"/>
      <c r="N126" s="49"/>
      <c r="O126" s="49"/>
      <c r="P126" s="49"/>
      <c r="Q126" s="49"/>
      <c r="R126" s="49"/>
      <c r="S126" s="49"/>
      <c r="T126" s="49"/>
      <c r="U126" s="49"/>
      <c r="V126" s="49"/>
    </row>
    <row r="127" spans="2:22" ht="18.75" customHeight="1">
      <c r="B127" s="98"/>
      <c r="C127" s="1219" t="s">
        <v>214</v>
      </c>
      <c r="D127" s="735"/>
      <c r="E127" s="1223">
        <v>23813</v>
      </c>
      <c r="F127" s="1224">
        <v>14400</v>
      </c>
      <c r="G127" s="1225">
        <v>472371</v>
      </c>
      <c r="H127" s="274">
        <f t="shared" si="31"/>
        <v>510584</v>
      </c>
      <c r="I127" s="49"/>
      <c r="J127" s="49"/>
      <c r="K127" s="49"/>
      <c r="L127" s="49"/>
      <c r="M127" s="49"/>
      <c r="N127" s="49"/>
      <c r="O127" s="49"/>
      <c r="P127" s="49"/>
      <c r="Q127" s="49"/>
      <c r="R127" s="49"/>
      <c r="S127" s="49"/>
      <c r="T127" s="49"/>
      <c r="U127" s="49"/>
      <c r="V127" s="49"/>
    </row>
    <row r="128" spans="2:22" ht="18.75" customHeight="1">
      <c r="B128" s="98"/>
      <c r="C128" s="1219" t="s">
        <v>215</v>
      </c>
      <c r="D128" s="735"/>
      <c r="E128" s="1223">
        <v>23813</v>
      </c>
      <c r="F128" s="1224">
        <v>14400</v>
      </c>
      <c r="G128" s="1225">
        <v>472371</v>
      </c>
      <c r="H128" s="274">
        <f t="shared" si="31"/>
        <v>510584</v>
      </c>
      <c r="I128" s="49"/>
      <c r="J128" s="49"/>
      <c r="K128" s="49"/>
      <c r="L128" s="49"/>
      <c r="M128" s="49"/>
      <c r="N128" s="49"/>
      <c r="O128" s="49"/>
      <c r="P128" s="49"/>
      <c r="Q128" s="49"/>
      <c r="R128" s="49"/>
      <c r="S128" s="49"/>
      <c r="T128" s="49"/>
      <c r="U128" s="49"/>
      <c r="V128" s="49"/>
    </row>
    <row r="129" spans="2:22" ht="18.75" customHeight="1">
      <c r="B129" s="98"/>
      <c r="C129" s="1219" t="s">
        <v>216</v>
      </c>
      <c r="D129" s="735"/>
      <c r="E129" s="1223">
        <v>23813</v>
      </c>
      <c r="F129" s="1224">
        <v>14400</v>
      </c>
      <c r="G129" s="1225">
        <v>472371</v>
      </c>
      <c r="H129" s="274">
        <f t="shared" si="31"/>
        <v>510584</v>
      </c>
      <c r="I129" s="49"/>
      <c r="J129" s="49"/>
      <c r="K129" s="49"/>
      <c r="L129" s="49"/>
      <c r="M129" s="49"/>
      <c r="N129" s="49"/>
      <c r="O129" s="49"/>
      <c r="P129" s="49"/>
      <c r="Q129" s="49"/>
      <c r="R129" s="49"/>
      <c r="S129" s="49"/>
      <c r="T129" s="49"/>
      <c r="U129" s="49"/>
      <c r="V129" s="49"/>
    </row>
    <row r="130" spans="2:22" ht="18.75" customHeight="1">
      <c r="B130" s="98"/>
      <c r="C130" s="1219" t="s">
        <v>217</v>
      </c>
      <c r="D130" s="735"/>
      <c r="E130" s="1223">
        <v>23813</v>
      </c>
      <c r="F130" s="1224">
        <v>14400</v>
      </c>
      <c r="G130" s="1225">
        <v>472371</v>
      </c>
      <c r="H130" s="274">
        <f t="shared" si="31"/>
        <v>510584</v>
      </c>
      <c r="I130" s="1226"/>
      <c r="J130" s="49"/>
      <c r="K130" s="49"/>
      <c r="L130" s="49"/>
      <c r="N130" s="49"/>
      <c r="O130" s="49"/>
      <c r="P130" s="49"/>
      <c r="Q130" s="49"/>
      <c r="R130" s="49"/>
      <c r="S130" s="49"/>
      <c r="T130" s="49"/>
      <c r="U130" s="49"/>
      <c r="V130" s="49"/>
    </row>
    <row r="131" spans="2:22" ht="18.75" customHeight="1">
      <c r="B131" s="98"/>
      <c r="C131" s="1219" t="s">
        <v>218</v>
      </c>
      <c r="D131" s="735"/>
      <c r="E131" s="1223">
        <v>22120</v>
      </c>
      <c r="F131" s="1224">
        <v>14415</v>
      </c>
      <c r="G131" s="1225">
        <v>438802</v>
      </c>
      <c r="H131" s="274">
        <f t="shared" si="31"/>
        <v>475337</v>
      </c>
      <c r="I131" s="49"/>
      <c r="J131" s="49"/>
      <c r="K131" s="49"/>
      <c r="L131" s="49"/>
      <c r="M131" s="49"/>
      <c r="N131" s="49"/>
      <c r="O131" s="49"/>
      <c r="P131" s="49"/>
      <c r="Q131" s="49"/>
      <c r="R131" s="49"/>
      <c r="S131" s="49"/>
      <c r="T131" s="49"/>
      <c r="U131" s="49"/>
      <c r="V131" s="49"/>
    </row>
    <row r="132" spans="2:22" ht="18.75" customHeight="1">
      <c r="B132" s="98"/>
      <c r="C132" s="1219" t="s">
        <v>219</v>
      </c>
      <c r="D132" s="735"/>
      <c r="E132" s="1223">
        <v>20633</v>
      </c>
      <c r="F132" s="1224">
        <v>13345</v>
      </c>
      <c r="G132" s="1225">
        <v>406236</v>
      </c>
      <c r="H132" s="274">
        <f t="shared" si="31"/>
        <v>440214</v>
      </c>
      <c r="I132" s="49"/>
      <c r="J132" s="49"/>
      <c r="K132" s="49"/>
      <c r="L132" s="49"/>
      <c r="M132" s="49"/>
      <c r="N132" s="49"/>
      <c r="O132" s="49"/>
      <c r="P132" s="49"/>
      <c r="Q132" s="49"/>
      <c r="R132" s="49"/>
      <c r="S132" s="49"/>
      <c r="T132" s="49"/>
      <c r="U132" s="49"/>
      <c r="V132" s="49"/>
    </row>
    <row r="133" spans="2:22" ht="18.75" customHeight="1">
      <c r="B133" s="98"/>
      <c r="C133" s="1219" t="s">
        <v>220</v>
      </c>
      <c r="D133" s="735"/>
      <c r="E133" s="1223">
        <v>20633</v>
      </c>
      <c r="F133" s="1224">
        <v>13345</v>
      </c>
      <c r="G133" s="1225">
        <v>406236</v>
      </c>
      <c r="H133" s="274">
        <f t="shared" si="31"/>
        <v>440214</v>
      </c>
      <c r="I133" s="49"/>
      <c r="J133" s="49"/>
      <c r="K133" s="49"/>
      <c r="L133" s="49"/>
      <c r="M133" s="49"/>
      <c r="N133" s="49"/>
      <c r="O133" s="49"/>
      <c r="P133" s="49"/>
      <c r="Q133" s="49"/>
      <c r="R133" s="49"/>
      <c r="S133" s="49"/>
      <c r="T133" s="49"/>
      <c r="U133" s="49"/>
      <c r="V133" s="49"/>
    </row>
    <row r="134" spans="2:22" ht="18.75" customHeight="1">
      <c r="B134" s="98"/>
      <c r="C134" s="1219" t="s">
        <v>221</v>
      </c>
      <c r="D134" s="735"/>
      <c r="E134" s="1223">
        <v>20633</v>
      </c>
      <c r="F134" s="1224">
        <v>13345</v>
      </c>
      <c r="G134" s="1225">
        <v>406236</v>
      </c>
      <c r="H134" s="274">
        <f t="shared" si="31"/>
        <v>440214</v>
      </c>
      <c r="I134" s="49"/>
      <c r="J134" s="49"/>
      <c r="K134" s="49"/>
      <c r="L134" s="49"/>
      <c r="M134" s="49"/>
      <c r="N134" s="49"/>
      <c r="O134" s="49"/>
      <c r="P134" s="49"/>
      <c r="Q134" s="49"/>
      <c r="R134" s="49"/>
      <c r="S134" s="49"/>
      <c r="T134" s="49"/>
      <c r="U134" s="49"/>
      <c r="V134" s="49"/>
    </row>
    <row r="135" spans="2:22" ht="18.75" customHeight="1">
      <c r="B135" s="98"/>
      <c r="C135" s="1219" t="s">
        <v>222</v>
      </c>
      <c r="D135" s="735"/>
      <c r="E135" s="1223">
        <v>20633</v>
      </c>
      <c r="F135" s="1224">
        <v>13345</v>
      </c>
      <c r="G135" s="1225">
        <v>406236</v>
      </c>
      <c r="H135" s="274">
        <f t="shared" si="31"/>
        <v>440214</v>
      </c>
      <c r="I135" s="49"/>
      <c r="J135" s="49"/>
      <c r="K135" s="49"/>
      <c r="L135" s="49"/>
      <c r="M135" s="49"/>
      <c r="N135" s="49"/>
      <c r="O135" s="49"/>
      <c r="P135" s="49"/>
      <c r="Q135" s="49"/>
      <c r="R135" s="49"/>
      <c r="S135" s="49"/>
      <c r="T135" s="49"/>
      <c r="U135" s="49"/>
      <c r="V135" s="49"/>
    </row>
    <row r="136" spans="2:22" ht="18.75" customHeight="1">
      <c r="B136" s="98"/>
      <c r="C136" s="1219" t="s">
        <v>223</v>
      </c>
      <c r="D136" s="735"/>
      <c r="E136" s="1223">
        <v>20633</v>
      </c>
      <c r="F136" s="1224">
        <v>13345</v>
      </c>
      <c r="G136" s="1225">
        <v>406236</v>
      </c>
      <c r="H136" s="274">
        <f t="shared" si="31"/>
        <v>440214</v>
      </c>
      <c r="I136" s="49"/>
      <c r="J136" s="49"/>
      <c r="K136" s="49"/>
      <c r="L136" s="49"/>
      <c r="M136" s="49"/>
      <c r="N136" s="49"/>
      <c r="O136" s="49"/>
      <c r="P136" s="49"/>
      <c r="Q136" s="49"/>
      <c r="R136" s="49"/>
      <c r="S136" s="49"/>
      <c r="T136" s="49"/>
      <c r="U136" s="49"/>
      <c r="V136" s="49"/>
    </row>
    <row r="137" spans="2:22" ht="18.75" customHeight="1">
      <c r="B137" s="98"/>
      <c r="C137" s="1219" t="s">
        <v>224</v>
      </c>
      <c r="D137" s="735"/>
      <c r="E137" s="1223">
        <v>20154</v>
      </c>
      <c r="F137" s="1227">
        <v>13035</v>
      </c>
      <c r="G137" s="1225">
        <v>396802</v>
      </c>
      <c r="H137" s="274">
        <f t="shared" si="31"/>
        <v>429991</v>
      </c>
      <c r="I137" s="49"/>
      <c r="J137" s="49"/>
      <c r="K137" s="49"/>
      <c r="L137" s="49"/>
      <c r="M137" s="49"/>
      <c r="N137" s="49"/>
      <c r="O137" s="49"/>
      <c r="P137" s="49"/>
      <c r="Q137" s="49"/>
      <c r="R137" s="49"/>
      <c r="S137" s="49"/>
      <c r="T137" s="49"/>
      <c r="U137" s="49"/>
      <c r="V137" s="49"/>
    </row>
    <row r="138" spans="2:22" ht="18.75" customHeight="1">
      <c r="B138" s="98"/>
      <c r="C138" s="1228" t="s">
        <v>225</v>
      </c>
      <c r="D138" s="1229"/>
      <c r="E138" s="1230">
        <f>SUM(E126:E137)</f>
        <v>264876</v>
      </c>
      <c r="F138" s="1230">
        <f>SUM(F126:F137)</f>
        <v>169964</v>
      </c>
      <c r="G138" s="1231">
        <f>SUM(G126:G137)</f>
        <v>5244767</v>
      </c>
      <c r="H138" s="1230">
        <f>SUM(H126:H137)</f>
        <v>5679607</v>
      </c>
      <c r="I138" s="49"/>
      <c r="J138" s="49"/>
      <c r="K138" s="49"/>
      <c r="L138" s="49"/>
      <c r="M138" s="49"/>
      <c r="N138" s="49"/>
      <c r="O138" s="49"/>
      <c r="P138" s="49"/>
      <c r="Q138" s="49"/>
      <c r="R138" s="49"/>
      <c r="S138" s="49"/>
      <c r="T138" s="49"/>
      <c r="U138" s="49"/>
      <c r="V138" s="49"/>
    </row>
    <row r="139" spans="3:22" ht="12.75">
      <c r="C139" s="49"/>
      <c r="D139" s="49"/>
      <c r="E139" s="49"/>
      <c r="F139" s="49"/>
      <c r="G139" s="49"/>
      <c r="H139" s="49"/>
      <c r="I139" s="49"/>
      <c r="J139" s="49"/>
      <c r="K139" s="49"/>
      <c r="L139" s="49"/>
      <c r="M139" s="49"/>
      <c r="N139" s="49"/>
      <c r="O139" s="49"/>
      <c r="P139" s="49"/>
      <c r="Q139" s="49"/>
      <c r="R139" s="49"/>
      <c r="S139" s="49"/>
      <c r="T139" s="49"/>
      <c r="U139" s="49"/>
      <c r="V139" s="49"/>
    </row>
    <row r="140" spans="3:21" ht="17.25" customHeight="1">
      <c r="C140" s="1232" t="s">
        <v>1463</v>
      </c>
      <c r="D140" s="49"/>
      <c r="E140" s="49"/>
      <c r="F140" s="49"/>
      <c r="G140" s="49"/>
      <c r="H140" s="49"/>
      <c r="I140" s="49"/>
      <c r="J140" s="49"/>
      <c r="K140" s="49"/>
      <c r="L140" s="49"/>
      <c r="M140" s="49"/>
      <c r="N140" s="49"/>
      <c r="O140" s="49"/>
      <c r="P140" s="49"/>
      <c r="Q140" s="49"/>
      <c r="R140" s="49"/>
      <c r="S140" s="49"/>
      <c r="T140" s="49"/>
      <c r="U140" s="49"/>
    </row>
    <row r="141" spans="3:21" ht="17.25" customHeight="1">
      <c r="C141" s="1232" t="s">
        <v>1464</v>
      </c>
      <c r="D141" s="49"/>
      <c r="E141" s="49"/>
      <c r="F141" s="49"/>
      <c r="G141" s="49"/>
      <c r="H141" s="49"/>
      <c r="I141" s="49"/>
      <c r="J141" s="49"/>
      <c r="K141" s="49"/>
      <c r="L141" s="49"/>
      <c r="M141" s="49"/>
      <c r="N141" s="49"/>
      <c r="O141" s="49"/>
      <c r="P141" s="49"/>
      <c r="Q141" s="49"/>
      <c r="R141" s="49"/>
      <c r="S141" s="49"/>
      <c r="T141" s="49"/>
      <c r="U141" s="49"/>
    </row>
    <row r="142" spans="3:21" ht="12.75">
      <c r="C142" s="49"/>
      <c r="D142" s="49"/>
      <c r="E142" s="49"/>
      <c r="F142" s="49"/>
      <c r="G142" s="49"/>
      <c r="H142" s="49"/>
      <c r="I142" s="49"/>
      <c r="J142" s="49"/>
      <c r="K142" s="49"/>
      <c r="L142" s="49"/>
      <c r="M142" s="49"/>
      <c r="N142" s="49"/>
      <c r="O142" s="49"/>
      <c r="P142" s="49"/>
      <c r="Q142" s="49"/>
      <c r="R142" s="49"/>
      <c r="S142" s="49"/>
      <c r="T142" s="49"/>
      <c r="U142" s="49"/>
    </row>
    <row r="143" spans="3:21" ht="18">
      <c r="C143" s="1233" t="s">
        <v>41</v>
      </c>
      <c r="D143" s="49"/>
      <c r="E143" s="49"/>
      <c r="F143" s="49"/>
      <c r="G143" s="49"/>
      <c r="H143" s="49"/>
      <c r="I143" s="49"/>
      <c r="J143" s="49"/>
      <c r="K143" s="49"/>
      <c r="L143" s="49"/>
      <c r="M143" s="49"/>
      <c r="N143" s="49"/>
      <c r="O143" s="49"/>
      <c r="P143" s="49"/>
      <c r="Q143" s="49"/>
      <c r="R143" s="49"/>
      <c r="S143" s="49"/>
      <c r="T143" s="49"/>
      <c r="U143" s="49"/>
    </row>
    <row r="144" spans="3:21" ht="12.75" customHeight="1">
      <c r="C144" s="1233" t="s">
        <v>1465</v>
      </c>
      <c r="D144" s="49"/>
      <c r="E144" s="49"/>
      <c r="F144" s="49"/>
      <c r="G144" s="49"/>
      <c r="H144" s="49"/>
      <c r="I144" s="49"/>
      <c r="J144" s="49"/>
      <c r="K144" s="49"/>
      <c r="L144" s="49"/>
      <c r="M144" s="49"/>
      <c r="N144" s="49"/>
      <c r="O144" s="49"/>
      <c r="P144" s="49"/>
      <c r="Q144" s="49"/>
      <c r="R144" s="49"/>
      <c r="S144" s="49"/>
      <c r="T144" s="49"/>
      <c r="U144" s="49"/>
    </row>
    <row r="145" spans="3:21" ht="12.75">
      <c r="C145" s="49"/>
      <c r="D145" s="49"/>
      <c r="E145" s="49"/>
      <c r="F145" s="49"/>
      <c r="G145" s="49"/>
      <c r="H145" s="49"/>
      <c r="I145" s="49"/>
      <c r="J145" s="49"/>
      <c r="K145" s="49"/>
      <c r="L145" s="49"/>
      <c r="M145" s="49"/>
      <c r="N145" s="49"/>
      <c r="O145" s="49"/>
      <c r="P145" s="49"/>
      <c r="Q145" s="49"/>
      <c r="R145" s="49"/>
      <c r="S145" s="49"/>
      <c r="T145" s="49"/>
      <c r="U145" s="49"/>
    </row>
    <row r="146" spans="2:3" ht="18">
      <c r="B146" s="97"/>
      <c r="C146" s="1233" t="s">
        <v>40</v>
      </c>
    </row>
    <row r="147" spans="2:3" ht="15">
      <c r="B147" s="97"/>
      <c r="C147" s="1234" t="s">
        <v>1466</v>
      </c>
    </row>
    <row r="149" spans="1:3" ht="18">
      <c r="A149" s="25"/>
      <c r="B149" s="25"/>
      <c r="C149" s="1235" t="s">
        <v>1057</v>
      </c>
    </row>
    <row r="150" spans="1:3" ht="18">
      <c r="A150" s="25"/>
      <c r="B150" s="25"/>
      <c r="C150" s="26"/>
    </row>
    <row r="151" ht="15">
      <c r="C151" s="1236" t="s">
        <v>204</v>
      </c>
    </row>
    <row r="153" spans="2:16" ht="18.75">
      <c r="B153" s="1215" t="s">
        <v>1596</v>
      </c>
      <c r="C153" s="154" t="s">
        <v>976</v>
      </c>
      <c r="D153" s="49"/>
      <c r="E153" s="49"/>
      <c r="F153" s="49"/>
      <c r="G153" s="49"/>
      <c r="H153" s="1237"/>
      <c r="I153" s="49"/>
      <c r="J153" s="49"/>
      <c r="K153" s="49"/>
      <c r="L153" s="49"/>
      <c r="M153" s="49"/>
      <c r="N153" s="49"/>
      <c r="O153" s="49"/>
      <c r="P153" s="49"/>
    </row>
    <row r="154" spans="2:16" ht="18">
      <c r="B154" s="98"/>
      <c r="C154" s="1000" t="s">
        <v>977</v>
      </c>
      <c r="D154" s="49"/>
      <c r="E154" s="49"/>
      <c r="F154" s="49"/>
      <c r="G154" s="49"/>
      <c r="H154" s="49"/>
      <c r="I154" s="49"/>
      <c r="J154" s="49"/>
      <c r="K154" s="49"/>
      <c r="L154" s="49"/>
      <c r="M154" s="49"/>
      <c r="N154" s="49"/>
      <c r="O154" s="49"/>
      <c r="P154" s="49"/>
    </row>
    <row r="155" spans="2:16" ht="15.75">
      <c r="B155" s="193"/>
      <c r="C155" s="925" t="s">
        <v>978</v>
      </c>
      <c r="D155" s="1000"/>
      <c r="E155" s="1000"/>
      <c r="F155" s="1000"/>
      <c r="G155" s="1000"/>
      <c r="H155" s="1000"/>
      <c r="I155" s="1000"/>
      <c r="J155" s="1000"/>
      <c r="K155" s="1000"/>
      <c r="L155" s="49"/>
      <c r="M155" s="49"/>
      <c r="N155" s="49"/>
      <c r="O155" s="49"/>
      <c r="P155" s="49"/>
    </row>
    <row r="156" spans="2:16" ht="15.75">
      <c r="B156" s="193"/>
      <c r="C156" s="925" t="s">
        <v>974</v>
      </c>
      <c r="D156" s="1000"/>
      <c r="E156" s="1000"/>
      <c r="F156" s="1000"/>
      <c r="G156" s="1000"/>
      <c r="H156" s="1000"/>
      <c r="I156" s="1000"/>
      <c r="J156" s="1000"/>
      <c r="K156" s="1000"/>
      <c r="L156" s="49"/>
      <c r="M156" s="49"/>
      <c r="N156" s="49"/>
      <c r="O156" s="49"/>
      <c r="P156" s="49"/>
    </row>
    <row r="157" spans="2:16" ht="15.75">
      <c r="B157" s="193"/>
      <c r="C157" s="925"/>
      <c r="D157" s="1000"/>
      <c r="E157" s="1000"/>
      <c r="F157" s="1000"/>
      <c r="G157" s="1000"/>
      <c r="H157" s="1000"/>
      <c r="I157" s="1000"/>
      <c r="J157" s="1000"/>
      <c r="K157" s="1000"/>
      <c r="L157" s="49"/>
      <c r="M157" s="49"/>
      <c r="N157" s="49"/>
      <c r="O157" s="49"/>
      <c r="P157" s="49"/>
    </row>
    <row r="158" spans="2:16" ht="18">
      <c r="B158" s="1215" t="s">
        <v>191</v>
      </c>
      <c r="C158" s="18" t="s">
        <v>1751</v>
      </c>
      <c r="D158" s="49"/>
      <c r="E158" s="49"/>
      <c r="F158" s="49"/>
      <c r="G158" s="154"/>
      <c r="H158" s="154"/>
      <c r="I158" s="154"/>
      <c r="J158" s="154"/>
      <c r="K158" s="154"/>
      <c r="L158" s="49"/>
      <c r="M158" s="49"/>
      <c r="N158" s="49"/>
      <c r="O158" s="49"/>
      <c r="P158" s="49"/>
    </row>
    <row r="159" spans="2:16" ht="15">
      <c r="B159" s="74"/>
      <c r="C159" s="154" t="s">
        <v>1748</v>
      </c>
      <c r="D159" s="154"/>
      <c r="E159" s="154"/>
      <c r="F159" s="225"/>
      <c r="G159" s="154"/>
      <c r="H159" s="154"/>
      <c r="I159" s="154"/>
      <c r="J159" s="154"/>
      <c r="K159" s="154"/>
      <c r="L159" s="49"/>
      <c r="M159" s="49"/>
      <c r="N159" s="49"/>
      <c r="O159" s="49"/>
      <c r="P159" s="49"/>
    </row>
    <row r="160" spans="2:16" ht="15">
      <c r="B160" s="74"/>
      <c r="C160" s="154" t="s">
        <v>1747</v>
      </c>
      <c r="D160" s="154"/>
      <c r="E160" s="154"/>
      <c r="F160" s="219"/>
      <c r="G160" s="154"/>
      <c r="H160" s="154"/>
      <c r="I160" s="154"/>
      <c r="J160" s="154"/>
      <c r="K160" s="154"/>
      <c r="L160" s="49"/>
      <c r="M160" s="49"/>
      <c r="N160" s="49"/>
      <c r="O160" s="49"/>
      <c r="P160" s="49"/>
    </row>
    <row r="161" spans="2:16" ht="15">
      <c r="B161" s="74"/>
      <c r="C161" s="154"/>
      <c r="D161" s="154"/>
      <c r="E161" s="154"/>
      <c r="F161" s="219"/>
      <c r="G161" s="154"/>
      <c r="H161" s="154"/>
      <c r="I161" s="154"/>
      <c r="J161" s="154"/>
      <c r="K161" s="154"/>
      <c r="L161" s="49"/>
      <c r="M161" s="49"/>
      <c r="N161" s="49"/>
      <c r="O161" s="49"/>
      <c r="P161" s="49"/>
    </row>
    <row r="162" spans="2:16" ht="15">
      <c r="B162" s="74"/>
      <c r="C162" s="154"/>
      <c r="D162" s="154"/>
      <c r="E162" s="154"/>
      <c r="F162" s="219"/>
      <c r="G162" s="154"/>
      <c r="H162" s="154"/>
      <c r="I162" s="154"/>
      <c r="J162" s="154"/>
      <c r="K162" s="154"/>
      <c r="L162" s="49"/>
      <c r="M162" s="49"/>
      <c r="N162" s="49"/>
      <c r="O162" s="49"/>
      <c r="P162" s="49"/>
    </row>
    <row r="163" spans="2:16" ht="15.75">
      <c r="B163" s="74"/>
      <c r="C163" s="154"/>
      <c r="D163" s="154"/>
      <c r="E163" s="154"/>
      <c r="F163" s="442"/>
      <c r="G163" s="1000"/>
      <c r="H163" s="1000"/>
      <c r="I163" s="1000"/>
      <c r="J163" s="1000"/>
      <c r="K163" s="1000"/>
      <c r="L163" s="49"/>
      <c r="M163" s="49"/>
      <c r="N163" s="49"/>
      <c r="O163" s="49"/>
      <c r="P163" s="49"/>
    </row>
  </sheetData>
  <sheetProtection/>
  <mergeCells count="8">
    <mergeCell ref="A4:U4"/>
    <mergeCell ref="A5:U5"/>
    <mergeCell ref="A78:U78"/>
    <mergeCell ref="A79:U79"/>
    <mergeCell ref="A112:U112"/>
    <mergeCell ref="A113:U113"/>
    <mergeCell ref="E82:K82"/>
    <mergeCell ref="M82:R82"/>
  </mergeCells>
  <printOptions horizontalCentered="1"/>
  <pageMargins left="0" right="0.18" top="0.57" bottom="0.5" header="0.47" footer="0.31"/>
  <pageSetup fitToHeight="2" horizontalDpi="600" verticalDpi="600" orientation="landscape" scale="38" r:id="rId1"/>
  <headerFooter alignWithMargins="0">
    <oddFooter>&amp;L&amp;D&amp;R&amp;F</oddFooter>
  </headerFooter>
  <rowBreaks count="2" manualBreakCount="2">
    <brk id="75" max="21" man="1"/>
    <brk id="109" max="21" man="1"/>
  </rowBreaks>
</worksheet>
</file>

<file path=xl/worksheets/sheet5.xml><?xml version="1.0" encoding="utf-8"?>
<worksheet xmlns="http://schemas.openxmlformats.org/spreadsheetml/2006/main" xmlns:r="http://schemas.openxmlformats.org/officeDocument/2006/relationships">
  <sheetPr>
    <tabColor indexed="22"/>
    <pageSetUpPr fitToPage="1"/>
  </sheetPr>
  <dimension ref="A1:BW3105"/>
  <sheetViews>
    <sheetView zoomScale="75" zoomScaleNormal="75" zoomScalePageLayoutView="0" workbookViewId="0" topLeftCell="A68">
      <selection activeCell="H84" sqref="H84"/>
    </sheetView>
  </sheetViews>
  <sheetFormatPr defaultColWidth="8.88671875" defaultRowHeight="15"/>
  <cols>
    <col min="1" max="1" width="3.6640625" style="733" customWidth="1"/>
    <col min="2" max="2" width="11.88671875" style="733" customWidth="1"/>
    <col min="3" max="3" width="9.21484375" style="733" customWidth="1"/>
    <col min="4" max="4" width="12.88671875" style="733" customWidth="1"/>
    <col min="5" max="5" width="12.4453125" style="733" bestFit="1" customWidth="1"/>
    <col min="6" max="6" width="13.10546875" style="733" customWidth="1"/>
    <col min="7" max="8" width="11.4453125" style="733" customWidth="1"/>
    <col min="9" max="9" width="10.6640625" style="733" customWidth="1"/>
    <col min="10" max="10" width="10.88671875" style="733" customWidth="1"/>
    <col min="11" max="11" width="11.10546875" style="733" customWidth="1"/>
    <col min="12" max="12" width="14.3359375" style="733" customWidth="1"/>
    <col min="13" max="13" width="13.3359375" style="733" customWidth="1"/>
    <col min="14" max="17" width="11.4453125" style="733" customWidth="1"/>
    <col min="18" max="18" width="6.88671875" style="733" customWidth="1"/>
    <col min="19" max="22" width="11.4453125" style="733" customWidth="1"/>
    <col min="23" max="24" width="12.21484375" style="733" customWidth="1"/>
    <col min="25" max="97" width="11.4453125" style="733" customWidth="1"/>
    <col min="98" max="16384" width="8.88671875" style="733" customWidth="1"/>
  </cols>
  <sheetData>
    <row r="1" spans="1:17" ht="20.25">
      <c r="A1" s="96" t="s">
        <v>1633</v>
      </c>
      <c r="Q1" s="697" t="s">
        <v>23</v>
      </c>
    </row>
    <row r="2" s="74" customFormat="1" ht="15">
      <c r="A2" s="248"/>
    </row>
    <row r="3" spans="1:12" ht="18">
      <c r="A3" s="74"/>
      <c r="B3" s="1417" t="s">
        <v>1603</v>
      </c>
      <c r="C3" s="1403"/>
      <c r="D3" s="1403"/>
      <c r="E3" s="1403"/>
      <c r="F3" s="1403"/>
      <c r="G3" s="1403"/>
      <c r="H3" s="1403"/>
      <c r="I3" s="1403"/>
      <c r="J3" s="1403"/>
      <c r="K3" s="1403"/>
      <c r="L3" s="1433"/>
    </row>
    <row r="4" spans="2:12" ht="18">
      <c r="B4" s="1417" t="s">
        <v>665</v>
      </c>
      <c r="C4" s="1403"/>
      <c r="D4" s="1403"/>
      <c r="E4" s="1403"/>
      <c r="F4" s="1403"/>
      <c r="G4" s="1403"/>
      <c r="H4" s="1403"/>
      <c r="I4" s="1403"/>
      <c r="J4" s="1403"/>
      <c r="K4" s="1403"/>
      <c r="L4" s="1433"/>
    </row>
    <row r="5" spans="2:32" ht="18">
      <c r="B5" s="52"/>
      <c r="C5" s="52"/>
      <c r="G5" s="386" t="str">
        <f>+'Actual Net Rev Req'!C4</f>
        <v>For the 12 months ended - December 31, 2008</v>
      </c>
      <c r="H5" s="734"/>
      <c r="U5" s="699"/>
      <c r="X5" s="735"/>
      <c r="Y5" s="735"/>
      <c r="Z5" s="735"/>
      <c r="AA5" s="735"/>
      <c r="AB5" s="735"/>
      <c r="AC5" s="735"/>
      <c r="AD5" s="735"/>
      <c r="AE5" s="735"/>
      <c r="AF5" s="735"/>
    </row>
    <row r="6" spans="2:32" ht="15.75">
      <c r="B6" s="52"/>
      <c r="C6" s="52"/>
      <c r="G6" s="204"/>
      <c r="U6" s="699"/>
      <c r="X6" s="735"/>
      <c r="Y6" s="735"/>
      <c r="Z6" s="735"/>
      <c r="AA6" s="735"/>
      <c r="AB6" s="735"/>
      <c r="AC6" s="735"/>
      <c r="AD6" s="735"/>
      <c r="AE6" s="735"/>
      <c r="AF6" s="735"/>
    </row>
    <row r="7" spans="2:42" ht="18">
      <c r="B7" s="205" t="s">
        <v>333</v>
      </c>
      <c r="C7" s="736"/>
      <c r="D7" s="737"/>
      <c r="E7" s="738"/>
      <c r="F7" s="737"/>
      <c r="G7" s="739"/>
      <c r="H7" s="739"/>
      <c r="I7" s="739"/>
      <c r="J7" s="739"/>
      <c r="K7" s="739"/>
      <c r="L7" s="740"/>
      <c r="M7" s="740"/>
      <c r="N7" s="740"/>
      <c r="O7" s="740"/>
      <c r="P7" s="740"/>
      <c r="Q7" s="740"/>
      <c r="R7" s="740"/>
      <c r="S7" s="741"/>
      <c r="T7" s="741"/>
      <c r="U7" s="741"/>
      <c r="V7" s="741"/>
      <c r="W7" s="740"/>
      <c r="X7" s="740"/>
      <c r="Y7" s="740"/>
      <c r="Z7" s="740"/>
      <c r="AA7" s="740"/>
      <c r="AB7" s="740"/>
      <c r="AC7" s="740"/>
      <c r="AD7" s="740"/>
      <c r="AE7" s="740"/>
      <c r="AF7" s="740"/>
      <c r="AG7" s="740"/>
      <c r="AH7" s="740"/>
      <c r="AI7" s="740"/>
      <c r="AJ7" s="740"/>
      <c r="AK7" s="740"/>
      <c r="AL7" s="740"/>
      <c r="AM7" s="740"/>
      <c r="AN7" s="740"/>
      <c r="AO7" s="740"/>
      <c r="AP7" s="740"/>
    </row>
    <row r="8" spans="2:43" ht="15">
      <c r="B8" s="52"/>
      <c r="C8" s="697"/>
      <c r="D8" s="740"/>
      <c r="E8" s="740"/>
      <c r="F8" s="740"/>
      <c r="G8" s="740"/>
      <c r="H8" s="740"/>
      <c r="I8" s="740"/>
      <c r="J8" s="740"/>
      <c r="K8" s="740"/>
      <c r="L8" s="740"/>
      <c r="M8" s="740"/>
      <c r="N8" s="740"/>
      <c r="O8" s="740"/>
      <c r="P8" s="740"/>
      <c r="Q8" s="740"/>
      <c r="R8" s="740"/>
      <c r="S8" s="740"/>
      <c r="T8" s="741"/>
      <c r="U8" s="741"/>
      <c r="V8" s="741"/>
      <c r="W8" s="741"/>
      <c r="X8" s="740"/>
      <c r="Y8" s="740"/>
      <c r="Z8" s="740"/>
      <c r="AA8" s="740"/>
      <c r="AB8" s="740"/>
      <c r="AC8" s="740"/>
      <c r="AD8" s="740"/>
      <c r="AE8" s="740"/>
      <c r="AF8" s="740"/>
      <c r="AG8" s="740"/>
      <c r="AH8" s="740"/>
      <c r="AI8" s="740"/>
      <c r="AJ8" s="740"/>
      <c r="AK8" s="740"/>
      <c r="AL8" s="740"/>
      <c r="AM8" s="740"/>
      <c r="AN8" s="740"/>
      <c r="AO8" s="740"/>
      <c r="AP8" s="740"/>
      <c r="AQ8" s="740"/>
    </row>
    <row r="9" spans="2:43" ht="91.5" customHeight="1">
      <c r="B9" s="53" t="s">
        <v>1604</v>
      </c>
      <c r="C9" s="666" t="s">
        <v>1605</v>
      </c>
      <c r="D9" s="665" t="s">
        <v>1606</v>
      </c>
      <c r="E9" s="55" t="s">
        <v>1184</v>
      </c>
      <c r="F9" s="54" t="s">
        <v>1607</v>
      </c>
      <c r="G9" s="54" t="s">
        <v>401</v>
      </c>
      <c r="H9" s="54" t="s">
        <v>402</v>
      </c>
      <c r="I9" s="54" t="s">
        <v>1608</v>
      </c>
      <c r="J9" s="54" t="s">
        <v>1609</v>
      </c>
      <c r="K9" s="54" t="s">
        <v>961</v>
      </c>
      <c r="L9" s="54" t="s">
        <v>1452</v>
      </c>
      <c r="M9" s="54" t="s">
        <v>1451</v>
      </c>
      <c r="N9" s="54" t="s">
        <v>1762</v>
      </c>
      <c r="O9" s="740"/>
      <c r="P9" s="740"/>
      <c r="Q9" s="740"/>
      <c r="R9" s="740"/>
      <c r="S9" s="740"/>
      <c r="T9" s="741"/>
      <c r="U9" s="741"/>
      <c r="V9" s="741"/>
      <c r="W9" s="741"/>
      <c r="X9" s="740"/>
      <c r="Y9" s="740"/>
      <c r="Z9" s="740"/>
      <c r="AA9" s="740"/>
      <c r="AB9" s="740"/>
      <c r="AC9" s="740"/>
      <c r="AD9" s="740"/>
      <c r="AE9" s="740"/>
      <c r="AF9" s="740"/>
      <c r="AG9" s="740"/>
      <c r="AH9" s="740"/>
      <c r="AI9" s="740"/>
      <c r="AJ9" s="740"/>
      <c r="AK9" s="740"/>
      <c r="AL9" s="740"/>
      <c r="AM9" s="740"/>
      <c r="AN9" s="740"/>
      <c r="AO9" s="740"/>
      <c r="AP9" s="740"/>
      <c r="AQ9" s="740"/>
    </row>
    <row r="10" spans="2:43" ht="17.25" customHeight="1" thickBot="1">
      <c r="B10" s="742" t="s">
        <v>1697</v>
      </c>
      <c r="C10" s="743" t="s">
        <v>1698</v>
      </c>
      <c r="D10" s="744" t="s">
        <v>1450</v>
      </c>
      <c r="E10" s="745" t="s">
        <v>1700</v>
      </c>
      <c r="F10" s="746" t="s">
        <v>1701</v>
      </c>
      <c r="G10" s="746" t="s">
        <v>1702</v>
      </c>
      <c r="H10" s="746" t="s">
        <v>891</v>
      </c>
      <c r="I10" s="746" t="s">
        <v>892</v>
      </c>
      <c r="J10" s="746" t="s">
        <v>893</v>
      </c>
      <c r="K10" s="746" t="s">
        <v>894</v>
      </c>
      <c r="L10" s="746" t="s">
        <v>895</v>
      </c>
      <c r="M10" s="746" t="s">
        <v>902</v>
      </c>
      <c r="N10" s="746" t="s">
        <v>902</v>
      </c>
      <c r="O10" s="740"/>
      <c r="P10" s="740"/>
      <c r="Q10" s="740"/>
      <c r="R10" s="740"/>
      <c r="S10" s="740"/>
      <c r="T10" s="741"/>
      <c r="U10" s="741"/>
      <c r="V10" s="741"/>
      <c r="W10" s="741"/>
      <c r="X10" s="740"/>
      <c r="Y10" s="740"/>
      <c r="Z10" s="740"/>
      <c r="AA10" s="740"/>
      <c r="AB10" s="740"/>
      <c r="AC10" s="740"/>
      <c r="AD10" s="740"/>
      <c r="AE10" s="740"/>
      <c r="AF10" s="740"/>
      <c r="AG10" s="740"/>
      <c r="AH10" s="740"/>
      <c r="AI10" s="740"/>
      <c r="AJ10" s="740"/>
      <c r="AK10" s="740"/>
      <c r="AL10" s="740"/>
      <c r="AM10" s="740"/>
      <c r="AN10" s="740"/>
      <c r="AO10" s="740"/>
      <c r="AP10" s="740"/>
      <c r="AQ10" s="740"/>
    </row>
    <row r="11" spans="2:43" ht="15">
      <c r="B11" s="1315">
        <v>39471</v>
      </c>
      <c r="C11" s="1322">
        <v>800</v>
      </c>
      <c r="D11" s="747" t="s">
        <v>1610</v>
      </c>
      <c r="E11" s="748" t="s">
        <v>1610</v>
      </c>
      <c r="F11" s="749">
        <v>3657</v>
      </c>
      <c r="G11" s="750">
        <f aca="true" t="shared" si="0" ref="G11:L22">G35+G54</f>
        <v>312</v>
      </c>
      <c r="H11" s="750">
        <f t="shared" si="0"/>
        <v>399.2</v>
      </c>
      <c r="I11" s="750">
        <f t="shared" si="0"/>
        <v>168</v>
      </c>
      <c r="J11" s="750">
        <f t="shared" si="0"/>
        <v>0</v>
      </c>
      <c r="K11" s="750">
        <f t="shared" si="0"/>
        <v>0</v>
      </c>
      <c r="L11" s="750">
        <f t="shared" si="0"/>
        <v>7</v>
      </c>
      <c r="M11" s="750">
        <f>F11-G11+H11-I11+J11+K11-L11</f>
        <v>3569.2</v>
      </c>
      <c r="N11" s="751">
        <f aca="true" t="shared" si="1" ref="N11:N22">IF(MAX($M$11:$M$22)=0,0,M11/MAX($M$11:$M$22))</f>
        <v>0.6575291993662724</v>
      </c>
      <c r="O11" s="740"/>
      <c r="P11" s="740"/>
      <c r="Q11" s="740"/>
      <c r="R11" s="740"/>
      <c r="S11" s="740"/>
      <c r="T11" s="741"/>
      <c r="U11" s="741"/>
      <c r="V11" s="741"/>
      <c r="W11" s="741"/>
      <c r="X11" s="740"/>
      <c r="Y11" s="740"/>
      <c r="Z11" s="740"/>
      <c r="AA11" s="740"/>
      <c r="AB11" s="740"/>
      <c r="AC11" s="740"/>
      <c r="AD11" s="740"/>
      <c r="AE11" s="740"/>
      <c r="AF11" s="740"/>
      <c r="AG11" s="740"/>
      <c r="AH11" s="740"/>
      <c r="AI11" s="740"/>
      <c r="AJ11" s="740"/>
      <c r="AK11" s="740"/>
      <c r="AL11" s="740"/>
      <c r="AM11" s="740"/>
      <c r="AN11" s="740"/>
      <c r="AO11" s="740"/>
      <c r="AP11" s="740"/>
      <c r="AQ11" s="740"/>
    </row>
    <row r="12" spans="2:43" ht="15">
      <c r="B12" s="1316">
        <v>39498</v>
      </c>
      <c r="C12" s="1323">
        <v>1900</v>
      </c>
      <c r="D12" s="752" t="s">
        <v>1610</v>
      </c>
      <c r="E12" s="753" t="s">
        <v>1610</v>
      </c>
      <c r="F12" s="754">
        <v>3514</v>
      </c>
      <c r="G12" s="755">
        <f t="shared" si="0"/>
        <v>285</v>
      </c>
      <c r="H12" s="755">
        <f t="shared" si="0"/>
        <v>399.2</v>
      </c>
      <c r="I12" s="755">
        <f t="shared" si="0"/>
        <v>143</v>
      </c>
      <c r="J12" s="755">
        <f t="shared" si="0"/>
        <v>0</v>
      </c>
      <c r="K12" s="755">
        <f t="shared" si="0"/>
        <v>0</v>
      </c>
      <c r="L12" s="755">
        <f t="shared" si="0"/>
        <v>8</v>
      </c>
      <c r="M12" s="755">
        <f aca="true" t="shared" si="2" ref="M12:M22">F12-G12+H12-I12+J12+K12-L12</f>
        <v>3477.2</v>
      </c>
      <c r="N12" s="751">
        <f t="shared" si="1"/>
        <v>0.6405806713090896</v>
      </c>
      <c r="O12" s="740"/>
      <c r="P12" s="740"/>
      <c r="Q12" s="740"/>
      <c r="R12" s="740"/>
      <c r="S12" s="740"/>
      <c r="T12" s="741"/>
      <c r="U12" s="741"/>
      <c r="V12" s="741"/>
      <c r="W12" s="741"/>
      <c r="X12" s="740"/>
      <c r="Y12" s="740"/>
      <c r="Z12" s="740"/>
      <c r="AA12" s="740"/>
      <c r="AB12" s="740"/>
      <c r="AC12" s="740"/>
      <c r="AD12" s="740"/>
      <c r="AE12" s="740"/>
      <c r="AF12" s="740"/>
      <c r="AG12" s="740"/>
      <c r="AH12" s="740"/>
      <c r="AI12" s="740"/>
      <c r="AJ12" s="740"/>
      <c r="AK12" s="740"/>
      <c r="AL12" s="740"/>
      <c r="AM12" s="740"/>
      <c r="AN12" s="740"/>
      <c r="AO12" s="740"/>
      <c r="AP12" s="740"/>
      <c r="AQ12" s="740"/>
    </row>
    <row r="13" spans="2:43" ht="15">
      <c r="B13" s="1316">
        <v>39514</v>
      </c>
      <c r="C13" s="1323">
        <v>2000</v>
      </c>
      <c r="D13" s="752" t="s">
        <v>1610</v>
      </c>
      <c r="E13" s="753" t="s">
        <v>1610</v>
      </c>
      <c r="F13" s="754">
        <v>3315</v>
      </c>
      <c r="G13" s="755">
        <f t="shared" si="0"/>
        <v>233</v>
      </c>
      <c r="H13" s="755">
        <f t="shared" si="0"/>
        <v>399.2</v>
      </c>
      <c r="I13" s="755">
        <f t="shared" si="0"/>
        <v>135</v>
      </c>
      <c r="J13" s="755">
        <f t="shared" si="0"/>
        <v>0</v>
      </c>
      <c r="K13" s="755">
        <f t="shared" si="0"/>
        <v>0</v>
      </c>
      <c r="L13" s="755">
        <f t="shared" si="0"/>
        <v>7</v>
      </c>
      <c r="M13" s="755">
        <f t="shared" si="2"/>
        <v>3339.2</v>
      </c>
      <c r="N13" s="751">
        <f t="shared" si="1"/>
        <v>0.6151578792233152</v>
      </c>
      <c r="O13" s="740"/>
      <c r="P13" s="740"/>
      <c r="Q13" s="740"/>
      <c r="R13" s="740"/>
      <c r="S13" s="740"/>
      <c r="T13" s="741"/>
      <c r="U13" s="741"/>
      <c r="V13" s="741"/>
      <c r="W13" s="741"/>
      <c r="X13" s="740"/>
      <c r="Y13" s="740"/>
      <c r="Z13" s="740"/>
      <c r="AA13" s="740"/>
      <c r="AB13" s="740"/>
      <c r="AC13" s="740"/>
      <c r="AD13" s="740"/>
      <c r="AE13" s="740"/>
      <c r="AF13" s="740"/>
      <c r="AG13" s="740"/>
      <c r="AH13" s="740"/>
      <c r="AI13" s="740"/>
      <c r="AJ13" s="740"/>
      <c r="AK13" s="740"/>
      <c r="AL13" s="740"/>
      <c r="AM13" s="740"/>
      <c r="AN13" s="740"/>
      <c r="AO13" s="740"/>
      <c r="AP13" s="740"/>
      <c r="AQ13" s="740"/>
    </row>
    <row r="14" spans="2:43" ht="15">
      <c r="B14" s="1316">
        <v>39559</v>
      </c>
      <c r="C14" s="1323">
        <v>1700</v>
      </c>
      <c r="D14" s="752" t="s">
        <v>1610</v>
      </c>
      <c r="E14" s="753" t="s">
        <v>1610</v>
      </c>
      <c r="F14" s="754">
        <v>3103</v>
      </c>
      <c r="G14" s="755">
        <f t="shared" si="0"/>
        <v>215</v>
      </c>
      <c r="H14" s="755">
        <f t="shared" si="0"/>
        <v>399.2</v>
      </c>
      <c r="I14" s="755">
        <f t="shared" si="0"/>
        <v>144</v>
      </c>
      <c r="J14" s="755">
        <f t="shared" si="0"/>
        <v>0</v>
      </c>
      <c r="K14" s="755">
        <f t="shared" si="0"/>
        <v>0</v>
      </c>
      <c r="L14" s="755">
        <f t="shared" si="0"/>
        <v>6</v>
      </c>
      <c r="M14" s="755">
        <f t="shared" si="2"/>
        <v>3137.2</v>
      </c>
      <c r="N14" s="751">
        <f t="shared" si="1"/>
        <v>0.5779448067499355</v>
      </c>
      <c r="O14" s="740"/>
      <c r="P14" s="740"/>
      <c r="Q14" s="740"/>
      <c r="R14" s="740"/>
      <c r="S14" s="740"/>
      <c r="T14" s="741"/>
      <c r="U14" s="741"/>
      <c r="V14" s="741"/>
      <c r="W14" s="741"/>
      <c r="X14" s="740"/>
      <c r="Y14" s="740"/>
      <c r="Z14" s="740"/>
      <c r="AA14" s="740"/>
      <c r="AB14" s="740"/>
      <c r="AC14" s="740"/>
      <c r="AD14" s="740"/>
      <c r="AE14" s="740"/>
      <c r="AF14" s="740"/>
      <c r="AG14" s="740"/>
      <c r="AH14" s="740"/>
      <c r="AI14" s="740"/>
      <c r="AJ14" s="740"/>
      <c r="AK14" s="740"/>
      <c r="AL14" s="740"/>
      <c r="AM14" s="740"/>
      <c r="AN14" s="740"/>
      <c r="AO14" s="740"/>
      <c r="AP14" s="740"/>
      <c r="AQ14" s="740"/>
    </row>
    <row r="15" spans="2:43" ht="15">
      <c r="B15" s="1316">
        <v>39598</v>
      </c>
      <c r="C15" s="1323">
        <v>1700</v>
      </c>
      <c r="D15" s="752" t="s">
        <v>1610</v>
      </c>
      <c r="E15" s="753" t="s">
        <v>1610</v>
      </c>
      <c r="F15" s="754">
        <v>4164</v>
      </c>
      <c r="G15" s="755">
        <f t="shared" si="0"/>
        <v>290</v>
      </c>
      <c r="H15" s="755">
        <f t="shared" si="0"/>
        <v>399.2</v>
      </c>
      <c r="I15" s="755">
        <f t="shared" si="0"/>
        <v>188</v>
      </c>
      <c r="J15" s="755">
        <f t="shared" si="0"/>
        <v>0</v>
      </c>
      <c r="K15" s="755">
        <f t="shared" si="0"/>
        <v>0</v>
      </c>
      <c r="L15" s="755">
        <f t="shared" si="0"/>
        <v>7</v>
      </c>
      <c r="M15" s="755">
        <f t="shared" si="2"/>
        <v>4078.2</v>
      </c>
      <c r="N15" s="751">
        <f t="shared" si="1"/>
        <v>0.7512987730739471</v>
      </c>
      <c r="O15" s="740"/>
      <c r="P15" s="740"/>
      <c r="Q15" s="740"/>
      <c r="R15" s="740"/>
      <c r="S15" s="740"/>
      <c r="T15" s="741"/>
      <c r="U15" s="741"/>
      <c r="V15" s="741"/>
      <c r="W15" s="741"/>
      <c r="X15" s="740"/>
      <c r="Y15" s="740"/>
      <c r="Z15" s="740"/>
      <c r="AA15" s="740"/>
      <c r="AB15" s="740"/>
      <c r="AC15" s="740"/>
      <c r="AD15" s="740"/>
      <c r="AE15" s="740"/>
      <c r="AF15" s="740"/>
      <c r="AG15" s="740"/>
      <c r="AH15" s="740"/>
      <c r="AI15" s="740"/>
      <c r="AJ15" s="740"/>
      <c r="AK15" s="740"/>
      <c r="AL15" s="740"/>
      <c r="AM15" s="740"/>
      <c r="AN15" s="740"/>
      <c r="AO15" s="740"/>
      <c r="AP15" s="740"/>
      <c r="AQ15" s="740"/>
    </row>
    <row r="16" spans="2:43" ht="15">
      <c r="B16" s="1316">
        <v>39624</v>
      </c>
      <c r="C16" s="1323">
        <v>1700</v>
      </c>
      <c r="D16" s="752" t="s">
        <v>1610</v>
      </c>
      <c r="E16" s="753" t="s">
        <v>1610</v>
      </c>
      <c r="F16" s="754">
        <v>4832</v>
      </c>
      <c r="G16" s="755">
        <f t="shared" si="0"/>
        <v>273</v>
      </c>
      <c r="H16" s="755">
        <f t="shared" si="0"/>
        <v>399.2</v>
      </c>
      <c r="I16" s="755">
        <f t="shared" si="0"/>
        <v>177</v>
      </c>
      <c r="J16" s="755">
        <f t="shared" si="0"/>
        <v>0</v>
      </c>
      <c r="K16" s="755">
        <f t="shared" si="0"/>
        <v>0</v>
      </c>
      <c r="L16" s="755">
        <f t="shared" si="0"/>
        <v>0</v>
      </c>
      <c r="M16" s="755">
        <f t="shared" si="2"/>
        <v>4781.2</v>
      </c>
      <c r="N16" s="751">
        <f t="shared" si="1"/>
        <v>0.880807634206551</v>
      </c>
      <c r="O16" s="740"/>
      <c r="P16" s="740"/>
      <c r="Q16" s="740"/>
      <c r="R16" s="740"/>
      <c r="S16" s="740"/>
      <c r="T16" s="741"/>
      <c r="U16" s="741"/>
      <c r="V16" s="741"/>
      <c r="W16" s="741"/>
      <c r="X16" s="740"/>
      <c r="Y16" s="740"/>
      <c r="Z16" s="740"/>
      <c r="AA16" s="740"/>
      <c r="AB16" s="740"/>
      <c r="AC16" s="740"/>
      <c r="AD16" s="740"/>
      <c r="AE16" s="740"/>
      <c r="AF16" s="740"/>
      <c r="AG16" s="740"/>
      <c r="AH16" s="740"/>
      <c r="AI16" s="740"/>
      <c r="AJ16" s="740"/>
      <c r="AK16" s="740"/>
      <c r="AL16" s="740"/>
      <c r="AM16" s="740"/>
      <c r="AN16" s="740"/>
      <c r="AO16" s="740"/>
      <c r="AP16" s="740"/>
      <c r="AQ16" s="740"/>
    </row>
    <row r="17" spans="2:43" ht="15">
      <c r="B17" s="1316">
        <v>39650</v>
      </c>
      <c r="C17" s="1323">
        <v>1700</v>
      </c>
      <c r="D17" s="752" t="s">
        <v>1610</v>
      </c>
      <c r="E17" s="753" t="s">
        <v>1610</v>
      </c>
      <c r="F17" s="754">
        <v>5216</v>
      </c>
      <c r="G17" s="755">
        <f t="shared" si="0"/>
        <v>307</v>
      </c>
      <c r="H17" s="755">
        <f t="shared" si="0"/>
        <v>399.2</v>
      </c>
      <c r="I17" s="755">
        <f t="shared" si="0"/>
        <v>175</v>
      </c>
      <c r="J17" s="755">
        <f t="shared" si="0"/>
        <v>6</v>
      </c>
      <c r="K17" s="755">
        <f t="shared" si="0"/>
        <v>0</v>
      </c>
      <c r="L17" s="755">
        <f t="shared" si="0"/>
        <v>0</v>
      </c>
      <c r="M17" s="755">
        <f t="shared" si="2"/>
        <v>5139.2</v>
      </c>
      <c r="N17" s="751">
        <f t="shared" si="1"/>
        <v>0.946759515124719</v>
      </c>
      <c r="O17" s="740"/>
      <c r="P17" s="740"/>
      <c r="Q17" s="740"/>
      <c r="R17" s="740"/>
      <c r="S17" s="740"/>
      <c r="T17" s="741"/>
      <c r="U17" s="741"/>
      <c r="V17" s="741"/>
      <c r="W17" s="741"/>
      <c r="X17" s="740"/>
      <c r="Y17" s="740"/>
      <c r="Z17" s="740"/>
      <c r="AA17" s="740"/>
      <c r="AB17" s="740"/>
      <c r="AC17" s="740"/>
      <c r="AD17" s="740"/>
      <c r="AE17" s="740"/>
      <c r="AF17" s="740"/>
      <c r="AG17" s="740"/>
      <c r="AH17" s="740"/>
      <c r="AI17" s="740"/>
      <c r="AJ17" s="740"/>
      <c r="AK17" s="740"/>
      <c r="AL17" s="740"/>
      <c r="AM17" s="740"/>
      <c r="AN17" s="740"/>
      <c r="AO17" s="740"/>
      <c r="AP17" s="740"/>
      <c r="AQ17" s="740"/>
    </row>
    <row r="18" spans="2:43" ht="15">
      <c r="B18" s="1316">
        <v>39664</v>
      </c>
      <c r="C18" s="1323">
        <v>1700</v>
      </c>
      <c r="D18" s="752" t="s">
        <v>1610</v>
      </c>
      <c r="E18" s="753" t="s">
        <v>1610</v>
      </c>
      <c r="F18" s="754">
        <v>5487</v>
      </c>
      <c r="G18" s="755">
        <f t="shared" si="0"/>
        <v>287</v>
      </c>
      <c r="H18" s="755">
        <f t="shared" si="0"/>
        <v>399.2</v>
      </c>
      <c r="I18" s="755">
        <f t="shared" si="0"/>
        <v>177</v>
      </c>
      <c r="J18" s="755">
        <f t="shared" si="0"/>
        <v>6</v>
      </c>
      <c r="K18" s="755">
        <f t="shared" si="0"/>
        <v>0</v>
      </c>
      <c r="L18" s="755">
        <f t="shared" si="0"/>
        <v>0</v>
      </c>
      <c r="M18" s="755">
        <f t="shared" si="2"/>
        <v>5428.2</v>
      </c>
      <c r="N18" s="751">
        <f t="shared" si="1"/>
        <v>1</v>
      </c>
      <c r="O18" s="740"/>
      <c r="P18" s="740"/>
      <c r="Q18" s="740"/>
      <c r="R18" s="740"/>
      <c r="S18" s="740"/>
      <c r="T18" s="741"/>
      <c r="U18" s="741"/>
      <c r="V18" s="741"/>
      <c r="W18" s="741"/>
      <c r="X18" s="740"/>
      <c r="Y18" s="740"/>
      <c r="Z18" s="740"/>
      <c r="AA18" s="740"/>
      <c r="AB18" s="740"/>
      <c r="AC18" s="740"/>
      <c r="AD18" s="740"/>
      <c r="AE18" s="740"/>
      <c r="AF18" s="740"/>
      <c r="AG18" s="740"/>
      <c r="AH18" s="740"/>
      <c r="AI18" s="740"/>
      <c r="AJ18" s="740"/>
      <c r="AK18" s="740"/>
      <c r="AL18" s="740"/>
      <c r="AM18" s="740"/>
      <c r="AN18" s="740"/>
      <c r="AO18" s="740"/>
      <c r="AP18" s="740"/>
      <c r="AQ18" s="740"/>
    </row>
    <row r="19" spans="2:43" ht="15">
      <c r="B19" s="1316">
        <v>39692</v>
      </c>
      <c r="C19" s="1323">
        <v>1800</v>
      </c>
      <c r="D19" s="752" t="s">
        <v>1610</v>
      </c>
      <c r="E19" s="753" t="s">
        <v>1610</v>
      </c>
      <c r="F19" s="1334">
        <v>4256</v>
      </c>
      <c r="G19" s="755">
        <f t="shared" si="0"/>
        <v>236</v>
      </c>
      <c r="H19" s="755">
        <f t="shared" si="0"/>
        <v>399.2</v>
      </c>
      <c r="I19" s="755">
        <f t="shared" si="0"/>
        <v>166</v>
      </c>
      <c r="J19" s="755">
        <f t="shared" si="0"/>
        <v>0</v>
      </c>
      <c r="K19" s="755">
        <f t="shared" si="0"/>
        <v>0</v>
      </c>
      <c r="L19" s="755">
        <f t="shared" si="0"/>
        <v>0</v>
      </c>
      <c r="M19" s="755">
        <f t="shared" si="2"/>
        <v>4253.2</v>
      </c>
      <c r="N19" s="751">
        <f t="shared" si="1"/>
        <v>0.7835378210088059</v>
      </c>
      <c r="O19" s="740"/>
      <c r="P19" s="740"/>
      <c r="Q19" s="740"/>
      <c r="R19" s="740"/>
      <c r="S19" s="740"/>
      <c r="T19" s="741"/>
      <c r="U19" s="741"/>
      <c r="V19" s="741"/>
      <c r="W19" s="741"/>
      <c r="X19" s="740"/>
      <c r="Y19" s="740"/>
      <c r="Z19" s="740"/>
      <c r="AA19" s="740"/>
      <c r="AB19" s="740"/>
      <c r="AC19" s="740"/>
      <c r="AD19" s="740"/>
      <c r="AE19" s="740"/>
      <c r="AF19" s="740"/>
      <c r="AG19" s="740"/>
      <c r="AH19" s="740"/>
      <c r="AI19" s="740"/>
      <c r="AJ19" s="740"/>
      <c r="AK19" s="740"/>
      <c r="AL19" s="740"/>
      <c r="AM19" s="740"/>
      <c r="AN19" s="740"/>
      <c r="AO19" s="740"/>
      <c r="AP19" s="740"/>
      <c r="AQ19" s="740"/>
    </row>
    <row r="20" spans="2:43" ht="15">
      <c r="B20" s="1316">
        <v>39730</v>
      </c>
      <c r="C20" s="1323">
        <v>1700</v>
      </c>
      <c r="D20" s="752" t="s">
        <v>1610</v>
      </c>
      <c r="E20" s="753" t="s">
        <v>1610</v>
      </c>
      <c r="F20" s="754">
        <v>3153</v>
      </c>
      <c r="G20" s="755">
        <f t="shared" si="0"/>
        <v>230</v>
      </c>
      <c r="H20" s="755">
        <f t="shared" si="0"/>
        <v>399.2</v>
      </c>
      <c r="I20" s="755">
        <f t="shared" si="0"/>
        <v>149</v>
      </c>
      <c r="J20" s="755">
        <f t="shared" si="0"/>
        <v>0</v>
      </c>
      <c r="K20" s="755">
        <f t="shared" si="0"/>
        <v>0</v>
      </c>
      <c r="L20" s="755">
        <f t="shared" si="0"/>
        <v>0</v>
      </c>
      <c r="M20" s="755">
        <f t="shared" si="2"/>
        <v>3173.2</v>
      </c>
      <c r="N20" s="751">
        <f t="shared" si="1"/>
        <v>0.5845768394679636</v>
      </c>
      <c r="O20" s="741"/>
      <c r="P20" s="741"/>
      <c r="Q20" s="741"/>
      <c r="R20" s="741"/>
      <c r="S20" s="741"/>
      <c r="T20" s="741"/>
      <c r="U20" s="741"/>
      <c r="V20" s="741"/>
      <c r="W20" s="741"/>
      <c r="X20" s="741"/>
      <c r="Y20" s="741"/>
      <c r="Z20" s="741"/>
      <c r="AA20" s="741"/>
      <c r="AB20" s="741"/>
      <c r="AC20" s="741"/>
      <c r="AD20" s="741"/>
      <c r="AE20" s="741"/>
      <c r="AF20" s="741"/>
      <c r="AG20" s="740"/>
      <c r="AH20" s="740"/>
      <c r="AI20" s="740"/>
      <c r="AJ20" s="740"/>
      <c r="AK20" s="740"/>
      <c r="AL20" s="740"/>
      <c r="AM20" s="740"/>
      <c r="AN20" s="740"/>
      <c r="AO20" s="740"/>
      <c r="AP20" s="740"/>
      <c r="AQ20" s="740"/>
    </row>
    <row r="21" spans="2:43" ht="15">
      <c r="B21" s="1316">
        <v>39772</v>
      </c>
      <c r="C21" s="1323">
        <v>1900</v>
      </c>
      <c r="D21" s="752" t="s">
        <v>1610</v>
      </c>
      <c r="E21" s="753" t="s">
        <v>1610</v>
      </c>
      <c r="F21" s="1334">
        <v>3223</v>
      </c>
      <c r="G21" s="755">
        <f t="shared" si="0"/>
        <v>234</v>
      </c>
      <c r="H21" s="755">
        <f t="shared" si="0"/>
        <v>399.2</v>
      </c>
      <c r="I21" s="755">
        <f t="shared" si="0"/>
        <v>141</v>
      </c>
      <c r="J21" s="755">
        <f t="shared" si="0"/>
        <v>0</v>
      </c>
      <c r="K21" s="755">
        <f t="shared" si="0"/>
        <v>0</v>
      </c>
      <c r="L21" s="755">
        <f t="shared" si="0"/>
        <v>0</v>
      </c>
      <c r="M21" s="755">
        <f t="shared" si="2"/>
        <v>3247.2</v>
      </c>
      <c r="N21" s="751">
        <f t="shared" si="1"/>
        <v>0.5982093511661324</v>
      </c>
      <c r="O21" s="741"/>
      <c r="P21" s="741"/>
      <c r="Q21" s="741"/>
      <c r="R21" s="741"/>
      <c r="S21" s="741"/>
      <c r="T21" s="741"/>
      <c r="U21" s="741"/>
      <c r="V21" s="741"/>
      <c r="W21" s="741"/>
      <c r="X21" s="741"/>
      <c r="Y21" s="741"/>
      <c r="Z21" s="741"/>
      <c r="AA21" s="741"/>
      <c r="AB21" s="741"/>
      <c r="AC21" s="741"/>
      <c r="AD21" s="741"/>
      <c r="AE21" s="741"/>
      <c r="AF21" s="741"/>
      <c r="AG21" s="740"/>
      <c r="AH21" s="740"/>
      <c r="AI21" s="740"/>
      <c r="AJ21" s="740"/>
      <c r="AK21" s="740"/>
      <c r="AL21" s="740"/>
      <c r="AM21" s="740"/>
      <c r="AN21" s="740"/>
      <c r="AO21" s="740"/>
      <c r="AP21" s="740"/>
      <c r="AQ21" s="740"/>
    </row>
    <row r="22" spans="2:43" ht="15.75" thickBot="1">
      <c r="B22" s="1317">
        <v>39797</v>
      </c>
      <c r="C22" s="1324">
        <v>1900</v>
      </c>
      <c r="D22" s="757" t="s">
        <v>1610</v>
      </c>
      <c r="E22" s="758" t="s">
        <v>1610</v>
      </c>
      <c r="F22" s="759">
        <v>3837</v>
      </c>
      <c r="G22" s="760">
        <f t="shared" si="0"/>
        <v>274</v>
      </c>
      <c r="H22" s="760">
        <f t="shared" si="0"/>
        <v>399.2</v>
      </c>
      <c r="I22" s="760">
        <f t="shared" si="0"/>
        <v>161</v>
      </c>
      <c r="J22" s="760">
        <f t="shared" si="0"/>
        <v>0</v>
      </c>
      <c r="K22" s="760">
        <f t="shared" si="0"/>
        <v>0</v>
      </c>
      <c r="L22" s="760">
        <f t="shared" si="0"/>
        <v>0</v>
      </c>
      <c r="M22" s="760">
        <f t="shared" si="2"/>
        <v>3801.2</v>
      </c>
      <c r="N22" s="751">
        <f t="shared" si="1"/>
        <v>0.7002689657713422</v>
      </c>
      <c r="O22" s="741"/>
      <c r="P22" s="741"/>
      <c r="Q22" s="741"/>
      <c r="R22" s="741"/>
      <c r="S22" s="741"/>
      <c r="T22" s="741"/>
      <c r="U22" s="741"/>
      <c r="V22" s="741"/>
      <c r="W22" s="741"/>
      <c r="X22" s="741"/>
      <c r="Y22" s="741"/>
      <c r="Z22" s="741"/>
      <c r="AA22" s="741"/>
      <c r="AB22" s="741"/>
      <c r="AC22" s="741"/>
      <c r="AD22" s="741"/>
      <c r="AE22" s="741"/>
      <c r="AF22" s="741"/>
      <c r="AG22" s="740"/>
      <c r="AH22" s="740"/>
      <c r="AI22" s="740"/>
      <c r="AJ22" s="740"/>
      <c r="AK22" s="740"/>
      <c r="AL22" s="740"/>
      <c r="AM22" s="740"/>
      <c r="AN22" s="740"/>
      <c r="AO22" s="740"/>
      <c r="AP22" s="740"/>
      <c r="AQ22" s="740"/>
    </row>
    <row r="23" spans="2:43" ht="15">
      <c r="B23" s="761" t="s">
        <v>1106</v>
      </c>
      <c r="C23" s="762"/>
      <c r="D23" s="763" t="s">
        <v>1610</v>
      </c>
      <c r="E23" s="764" t="s">
        <v>1610</v>
      </c>
      <c r="F23" s="750">
        <f aca="true" t="shared" si="3" ref="F23:M23">SUM(F11:F22)</f>
        <v>47757</v>
      </c>
      <c r="G23" s="750">
        <f t="shared" si="3"/>
        <v>3176</v>
      </c>
      <c r="H23" s="750">
        <f t="shared" si="3"/>
        <v>4790.399999999999</v>
      </c>
      <c r="I23" s="750">
        <f t="shared" si="3"/>
        <v>1924</v>
      </c>
      <c r="J23" s="750">
        <f t="shared" si="3"/>
        <v>12</v>
      </c>
      <c r="K23" s="750">
        <f t="shared" si="3"/>
        <v>0</v>
      </c>
      <c r="L23" s="750">
        <f t="shared" si="3"/>
        <v>35</v>
      </c>
      <c r="M23" s="750">
        <f t="shared" si="3"/>
        <v>47424.39999999999</v>
      </c>
      <c r="N23" s="751"/>
      <c r="O23" s="741"/>
      <c r="P23" s="741"/>
      <c r="Q23" s="741"/>
      <c r="R23" s="741"/>
      <c r="S23" s="741"/>
      <c r="T23" s="741"/>
      <c r="U23" s="741"/>
      <c r="V23" s="741"/>
      <c r="W23" s="741"/>
      <c r="X23" s="741"/>
      <c r="Y23" s="741"/>
      <c r="Z23" s="741"/>
      <c r="AA23" s="741"/>
      <c r="AB23" s="741"/>
      <c r="AC23" s="741"/>
      <c r="AD23" s="741"/>
      <c r="AE23" s="741"/>
      <c r="AF23" s="741"/>
      <c r="AG23" s="740"/>
      <c r="AH23" s="740"/>
      <c r="AI23" s="740"/>
      <c r="AJ23" s="740"/>
      <c r="AK23" s="740"/>
      <c r="AL23" s="740"/>
      <c r="AM23" s="740"/>
      <c r="AN23" s="740"/>
      <c r="AO23" s="740"/>
      <c r="AP23" s="740"/>
      <c r="AQ23" s="740"/>
    </row>
    <row r="24" spans="2:43" ht="15">
      <c r="B24" s="765" t="s">
        <v>1611</v>
      </c>
      <c r="C24" s="766"/>
      <c r="D24" s="767" t="s">
        <v>1610</v>
      </c>
      <c r="E24" s="768" t="s">
        <v>1610</v>
      </c>
      <c r="F24" s="755">
        <f aca="true" t="shared" si="4" ref="F24:M24">F23/12</f>
        <v>3979.75</v>
      </c>
      <c r="G24" s="755">
        <f t="shared" si="4"/>
        <v>264.6666666666667</v>
      </c>
      <c r="H24" s="755">
        <f t="shared" si="4"/>
        <v>399.1999999999999</v>
      </c>
      <c r="I24" s="755">
        <f t="shared" si="4"/>
        <v>160.33333333333334</v>
      </c>
      <c r="J24" s="755">
        <f t="shared" si="4"/>
        <v>1</v>
      </c>
      <c r="K24" s="755">
        <f t="shared" si="4"/>
        <v>0</v>
      </c>
      <c r="L24" s="755">
        <f t="shared" si="4"/>
        <v>2.9166666666666665</v>
      </c>
      <c r="M24" s="755">
        <f t="shared" si="4"/>
        <v>3952.0333333333324</v>
      </c>
      <c r="N24" s="755"/>
      <c r="O24" s="741"/>
      <c r="P24" s="741"/>
      <c r="Q24" s="741"/>
      <c r="R24" s="741"/>
      <c r="S24" s="741"/>
      <c r="T24" s="741"/>
      <c r="U24" s="741"/>
      <c r="V24" s="741"/>
      <c r="W24" s="741"/>
      <c r="X24" s="741"/>
      <c r="Y24" s="741"/>
      <c r="Z24" s="741"/>
      <c r="AA24" s="741"/>
      <c r="AB24" s="741"/>
      <c r="AC24" s="741"/>
      <c r="AD24" s="741"/>
      <c r="AE24" s="741"/>
      <c r="AF24" s="741"/>
      <c r="AG24" s="740"/>
      <c r="AH24" s="740"/>
      <c r="AI24" s="740"/>
      <c r="AJ24" s="740"/>
      <c r="AK24" s="740"/>
      <c r="AL24" s="740"/>
      <c r="AM24" s="740"/>
      <c r="AN24" s="740"/>
      <c r="AO24" s="740"/>
      <c r="AP24" s="740"/>
      <c r="AQ24" s="740"/>
    </row>
    <row r="25" spans="1:43" ht="20.25">
      <c r="A25" s="96" t="str">
        <f>A1</f>
        <v>Worksheet A-2 - WE Divisor</v>
      </c>
      <c r="B25" s="52"/>
      <c r="C25" s="52"/>
      <c r="N25" s="741"/>
      <c r="O25" s="741"/>
      <c r="P25" s="741"/>
      <c r="Q25" s="769" t="s">
        <v>24</v>
      </c>
      <c r="S25" s="741"/>
      <c r="T25" s="741"/>
      <c r="U25" s="741"/>
      <c r="V25" s="741"/>
      <c r="W25" s="741"/>
      <c r="X25" s="741"/>
      <c r="Y25" s="741"/>
      <c r="Z25" s="741"/>
      <c r="AA25" s="741"/>
      <c r="AB25" s="741"/>
      <c r="AC25" s="741"/>
      <c r="AD25" s="741"/>
      <c r="AE25" s="741"/>
      <c r="AF25" s="741"/>
      <c r="AG25" s="740"/>
      <c r="AH25" s="740"/>
      <c r="AI25" s="740"/>
      <c r="AJ25" s="740"/>
      <c r="AK25" s="740"/>
      <c r="AL25" s="740"/>
      <c r="AM25" s="740"/>
      <c r="AN25" s="740"/>
      <c r="AO25" s="740"/>
      <c r="AP25" s="740"/>
      <c r="AQ25" s="740"/>
    </row>
    <row r="26" spans="2:43" ht="15">
      <c r="B26" s="52"/>
      <c r="C26" s="52"/>
      <c r="N26" s="741"/>
      <c r="O26" s="741"/>
      <c r="P26" s="741"/>
      <c r="Q26" s="741"/>
      <c r="R26" s="741"/>
      <c r="S26" s="741"/>
      <c r="T26" s="741"/>
      <c r="U26" s="741"/>
      <c r="V26" s="741"/>
      <c r="W26" s="741"/>
      <c r="X26" s="741"/>
      <c r="Y26" s="741"/>
      <c r="Z26" s="741"/>
      <c r="AA26" s="741"/>
      <c r="AB26" s="741"/>
      <c r="AC26" s="741"/>
      <c r="AD26" s="741"/>
      <c r="AE26" s="741"/>
      <c r="AF26" s="741"/>
      <c r="AG26" s="740"/>
      <c r="AH26" s="740"/>
      <c r="AI26" s="740"/>
      <c r="AJ26" s="740"/>
      <c r="AK26" s="740"/>
      <c r="AL26" s="740"/>
      <c r="AM26" s="740"/>
      <c r="AN26" s="740"/>
      <c r="AO26" s="740"/>
      <c r="AP26" s="740"/>
      <c r="AQ26" s="740"/>
    </row>
    <row r="27" spans="2:43" ht="18">
      <c r="B27" s="667" t="str">
        <f>B3</f>
        <v>Westar Energy, Inc.</v>
      </c>
      <c r="C27" s="543"/>
      <c r="D27" s="543"/>
      <c r="E27" s="543"/>
      <c r="F27" s="543"/>
      <c r="G27" s="543"/>
      <c r="H27" s="543"/>
      <c r="I27" s="543"/>
      <c r="J27" s="543"/>
      <c r="K27" s="543"/>
      <c r="L27" s="543"/>
      <c r="M27" s="543"/>
      <c r="N27" s="741"/>
      <c r="O27" s="741"/>
      <c r="P27" s="741"/>
      <c r="Q27" s="741"/>
      <c r="R27" s="741"/>
      <c r="S27" s="741"/>
      <c r="T27" s="741"/>
      <c r="U27" s="741"/>
      <c r="V27" s="741"/>
      <c r="W27" s="741"/>
      <c r="X27" s="741"/>
      <c r="Y27" s="741"/>
      <c r="Z27" s="741"/>
      <c r="AA27" s="741"/>
      <c r="AB27" s="741"/>
      <c r="AC27" s="741"/>
      <c r="AD27" s="741"/>
      <c r="AE27" s="741"/>
      <c r="AF27" s="741"/>
      <c r="AG27" s="740"/>
      <c r="AH27" s="740"/>
      <c r="AI27" s="740"/>
      <c r="AJ27" s="740"/>
      <c r="AK27" s="740"/>
      <c r="AL27" s="740"/>
      <c r="AM27" s="740"/>
      <c r="AN27" s="740"/>
      <c r="AO27" s="740"/>
      <c r="AP27" s="740"/>
      <c r="AQ27" s="740"/>
    </row>
    <row r="28" spans="2:43" ht="18">
      <c r="B28" s="667" t="s">
        <v>666</v>
      </c>
      <c r="C28" s="543"/>
      <c r="D28" s="543"/>
      <c r="E28" s="543"/>
      <c r="F28" s="543"/>
      <c r="G28" s="543"/>
      <c r="H28" s="543"/>
      <c r="I28" s="543"/>
      <c r="J28" s="543"/>
      <c r="K28" s="543"/>
      <c r="L28" s="543"/>
      <c r="M28" s="543"/>
      <c r="N28" s="741"/>
      <c r="O28" s="741"/>
      <c r="P28" s="741"/>
      <c r="Q28" s="741"/>
      <c r="R28" s="741"/>
      <c r="S28" s="741"/>
      <c r="T28" s="741"/>
      <c r="U28" s="741"/>
      <c r="V28" s="741"/>
      <c r="W28" s="741"/>
      <c r="X28" s="741"/>
      <c r="Y28" s="741"/>
      <c r="Z28" s="741"/>
      <c r="AA28" s="741"/>
      <c r="AB28" s="741"/>
      <c r="AC28" s="741"/>
      <c r="AD28" s="741"/>
      <c r="AE28" s="741"/>
      <c r="AF28" s="741"/>
      <c r="AG28" s="740"/>
      <c r="AH28" s="740"/>
      <c r="AI28" s="740"/>
      <c r="AJ28" s="740"/>
      <c r="AK28" s="740"/>
      <c r="AL28" s="740"/>
      <c r="AM28" s="740"/>
      <c r="AN28" s="740"/>
      <c r="AO28" s="740"/>
      <c r="AP28" s="740"/>
      <c r="AQ28" s="740"/>
    </row>
    <row r="29" spans="2:43" ht="18">
      <c r="B29" s="88"/>
      <c r="C29" s="699"/>
      <c r="D29" s="699"/>
      <c r="E29" s="699"/>
      <c r="F29" s="699"/>
      <c r="G29" s="89" t="str">
        <f>G5</f>
        <v>For the 12 months ended - December 31, 2008</v>
      </c>
      <c r="H29" s="206"/>
      <c r="I29" s="699"/>
      <c r="J29" s="699"/>
      <c r="K29" s="699"/>
      <c r="L29" s="699"/>
      <c r="M29" s="543"/>
      <c r="N29" s="741"/>
      <c r="O29" s="741"/>
      <c r="P29" s="741"/>
      <c r="Q29" s="741"/>
      <c r="R29" s="741"/>
      <c r="S29" s="741"/>
      <c r="T29" s="741"/>
      <c r="U29" s="741"/>
      <c r="V29" s="741"/>
      <c r="W29" s="741"/>
      <c r="X29" s="741"/>
      <c r="Y29" s="741"/>
      <c r="Z29" s="741"/>
      <c r="AA29" s="741"/>
      <c r="AB29" s="741"/>
      <c r="AC29" s="741"/>
      <c r="AD29" s="741"/>
      <c r="AE29" s="741"/>
      <c r="AF29" s="741"/>
      <c r="AG29" s="740"/>
      <c r="AH29" s="740"/>
      <c r="AI29" s="740"/>
      <c r="AJ29" s="740"/>
      <c r="AK29" s="740"/>
      <c r="AL29" s="740"/>
      <c r="AM29" s="740"/>
      <c r="AN29" s="740"/>
      <c r="AO29" s="740"/>
      <c r="AP29" s="740"/>
      <c r="AQ29" s="740"/>
    </row>
    <row r="30" spans="2:43" ht="15">
      <c r="B30" s="52"/>
      <c r="C30" s="52"/>
      <c r="N30" s="741"/>
      <c r="O30" s="741"/>
      <c r="P30" s="741"/>
      <c r="Q30" s="741"/>
      <c r="R30" s="741"/>
      <c r="S30" s="741"/>
      <c r="T30" s="741"/>
      <c r="U30" s="741"/>
      <c r="V30" s="741"/>
      <c r="W30" s="741"/>
      <c r="X30" s="741"/>
      <c r="Y30" s="741"/>
      <c r="Z30" s="741"/>
      <c r="AA30" s="741"/>
      <c r="AB30" s="741"/>
      <c r="AC30" s="741"/>
      <c r="AD30" s="741"/>
      <c r="AE30" s="741"/>
      <c r="AF30" s="741"/>
      <c r="AG30" s="740"/>
      <c r="AH30" s="740"/>
      <c r="AI30" s="740"/>
      <c r="AJ30" s="740"/>
      <c r="AK30" s="740"/>
      <c r="AL30" s="740"/>
      <c r="AM30" s="740"/>
      <c r="AN30" s="740"/>
      <c r="AO30" s="740"/>
      <c r="AP30" s="740"/>
      <c r="AQ30" s="740"/>
    </row>
    <row r="31" spans="2:43" ht="18">
      <c r="B31" s="205" t="s">
        <v>334</v>
      </c>
      <c r="E31" s="738"/>
      <c r="F31" s="699"/>
      <c r="H31" s="699"/>
      <c r="I31" s="699"/>
      <c r="J31" s="699"/>
      <c r="K31" s="699"/>
      <c r="L31" s="699"/>
      <c r="M31" s="699"/>
      <c r="N31" s="741"/>
      <c r="O31" s="741"/>
      <c r="P31" s="741"/>
      <c r="Q31" s="741"/>
      <c r="R31" s="741"/>
      <c r="S31" s="741"/>
      <c r="T31" s="741"/>
      <c r="U31" s="741"/>
      <c r="V31" s="741"/>
      <c r="W31" s="741"/>
      <c r="X31" s="741"/>
      <c r="Y31" s="741"/>
      <c r="Z31" s="741"/>
      <c r="AA31" s="741"/>
      <c r="AB31" s="741"/>
      <c r="AC31" s="741"/>
      <c r="AD31" s="741"/>
      <c r="AE31" s="741"/>
      <c r="AF31" s="741"/>
      <c r="AG31" s="740"/>
      <c r="AH31" s="740"/>
      <c r="AI31" s="740"/>
      <c r="AJ31" s="740"/>
      <c r="AK31" s="740"/>
      <c r="AL31" s="740"/>
      <c r="AM31" s="740"/>
      <c r="AN31" s="740"/>
      <c r="AO31" s="740"/>
      <c r="AP31" s="740"/>
      <c r="AQ31" s="740"/>
    </row>
    <row r="32" spans="2:43" ht="15">
      <c r="B32" s="52"/>
      <c r="E32" s="699"/>
      <c r="F32" s="699"/>
      <c r="H32" s="699"/>
      <c r="I32" s="699"/>
      <c r="J32" s="699"/>
      <c r="K32" s="699"/>
      <c r="L32" s="699"/>
      <c r="M32" s="699"/>
      <c r="N32" s="741"/>
      <c r="O32" s="741"/>
      <c r="P32" s="741"/>
      <c r="Q32" s="741"/>
      <c r="R32" s="741"/>
      <c r="S32" s="741"/>
      <c r="T32" s="741"/>
      <c r="U32" s="741"/>
      <c r="V32" s="741"/>
      <c r="W32" s="741"/>
      <c r="X32" s="741"/>
      <c r="Y32" s="741"/>
      <c r="Z32" s="741"/>
      <c r="AA32" s="741"/>
      <c r="AB32" s="741"/>
      <c r="AC32" s="741"/>
      <c r="AD32" s="741"/>
      <c r="AE32" s="741"/>
      <c r="AF32" s="741"/>
      <c r="AG32" s="740"/>
      <c r="AH32" s="740"/>
      <c r="AI32" s="740"/>
      <c r="AJ32" s="740"/>
      <c r="AK32" s="740"/>
      <c r="AL32" s="740"/>
      <c r="AM32" s="740"/>
      <c r="AN32" s="740"/>
      <c r="AO32" s="740"/>
      <c r="AP32" s="740"/>
      <c r="AQ32" s="740"/>
    </row>
    <row r="33" spans="2:43" ht="65.25">
      <c r="B33" s="53" t="s">
        <v>1612</v>
      </c>
      <c r="C33" s="54" t="s">
        <v>1613</v>
      </c>
      <c r="D33" s="54" t="s">
        <v>1614</v>
      </c>
      <c r="E33" s="55" t="s">
        <v>1615</v>
      </c>
      <c r="F33" s="54" t="s">
        <v>1617</v>
      </c>
      <c r="G33" s="54" t="s">
        <v>403</v>
      </c>
      <c r="H33" s="54" t="s">
        <v>404</v>
      </c>
      <c r="I33" s="54" t="s">
        <v>958</v>
      </c>
      <c r="J33" s="54" t="s">
        <v>959</v>
      </c>
      <c r="K33" s="54" t="s">
        <v>960</v>
      </c>
      <c r="L33" s="54" t="s">
        <v>979</v>
      </c>
      <c r="M33" s="54" t="s">
        <v>1451</v>
      </c>
      <c r="N33" s="770"/>
      <c r="O33" s="770"/>
      <c r="P33" s="770"/>
      <c r="Q33" s="770"/>
      <c r="R33" s="770"/>
      <c r="S33" s="770"/>
      <c r="T33" s="770"/>
      <c r="U33" s="770"/>
      <c r="V33" s="770"/>
      <c r="W33" s="770"/>
      <c r="X33" s="770"/>
      <c r="Y33" s="770"/>
      <c r="Z33" s="770"/>
      <c r="AA33" s="770"/>
      <c r="AB33" s="740"/>
      <c r="AC33" s="740"/>
      <c r="AD33" s="740"/>
      <c r="AE33" s="740"/>
      <c r="AF33" s="740"/>
      <c r="AG33" s="740"/>
      <c r="AH33" s="740"/>
      <c r="AI33" s="740"/>
      <c r="AJ33" s="740"/>
      <c r="AK33" s="740"/>
      <c r="AL33" s="740"/>
      <c r="AM33" s="740"/>
      <c r="AN33" s="740"/>
      <c r="AO33" s="740"/>
      <c r="AP33" s="740"/>
      <c r="AQ33" s="740"/>
    </row>
    <row r="34" spans="2:43" ht="15.75" thickBot="1">
      <c r="B34" s="742" t="s">
        <v>1697</v>
      </c>
      <c r="C34" s="1325" t="s">
        <v>1698</v>
      </c>
      <c r="D34" s="746" t="s">
        <v>1450</v>
      </c>
      <c r="E34" s="745" t="s">
        <v>1700</v>
      </c>
      <c r="F34" s="746" t="s">
        <v>1701</v>
      </c>
      <c r="G34" s="746" t="s">
        <v>1702</v>
      </c>
      <c r="H34" s="746" t="s">
        <v>891</v>
      </c>
      <c r="I34" s="746" t="s">
        <v>892</v>
      </c>
      <c r="J34" s="746" t="s">
        <v>893</v>
      </c>
      <c r="K34" s="746" t="s">
        <v>894</v>
      </c>
      <c r="L34" s="746" t="s">
        <v>895</v>
      </c>
      <c r="M34" s="746" t="s">
        <v>902</v>
      </c>
      <c r="N34" s="771"/>
      <c r="O34" s="770"/>
      <c r="P34" s="770"/>
      <c r="Q34" s="770"/>
      <c r="R34" s="770"/>
      <c r="S34" s="770"/>
      <c r="T34" s="770"/>
      <c r="U34" s="770"/>
      <c r="V34" s="770"/>
      <c r="W34" s="770"/>
      <c r="X34" s="770"/>
      <c r="Y34" s="770"/>
      <c r="Z34" s="770"/>
      <c r="AA34" s="770"/>
      <c r="AB34" s="740"/>
      <c r="AC34" s="740"/>
      <c r="AD34" s="740"/>
      <c r="AE34" s="740"/>
      <c r="AF34" s="740"/>
      <c r="AG34" s="740"/>
      <c r="AH34" s="740"/>
      <c r="AI34" s="740"/>
      <c r="AJ34" s="740"/>
      <c r="AK34" s="740"/>
      <c r="AL34" s="740"/>
      <c r="AM34" s="740"/>
      <c r="AN34" s="740"/>
      <c r="AO34" s="740"/>
      <c r="AP34" s="740"/>
      <c r="AQ34" s="740"/>
    </row>
    <row r="35" spans="2:43" ht="15">
      <c r="B35" s="1318">
        <v>39471</v>
      </c>
      <c r="C35" s="1320">
        <v>800</v>
      </c>
      <c r="D35" s="772">
        <v>1887</v>
      </c>
      <c r="E35" s="1335">
        <v>0</v>
      </c>
      <c r="F35" s="773">
        <f aca="true" t="shared" si="5" ref="F35:F46">D35+E35</f>
        <v>1887</v>
      </c>
      <c r="G35" s="773">
        <f aca="true" t="shared" si="6" ref="G35:H46">G54</f>
        <v>156</v>
      </c>
      <c r="H35" s="773">
        <f t="shared" si="6"/>
        <v>199.6</v>
      </c>
      <c r="I35" s="774">
        <f>P134</f>
        <v>44</v>
      </c>
      <c r="J35" s="774">
        <f>P155</f>
        <v>0</v>
      </c>
      <c r="K35" s="774">
        <f>Q183</f>
        <v>0</v>
      </c>
      <c r="L35" s="774">
        <f>P203</f>
        <v>7</v>
      </c>
      <c r="M35" s="773">
        <f>F35-G35+H35-I35+J35+K35-L35</f>
        <v>1879.6</v>
      </c>
      <c r="N35" s="770"/>
      <c r="O35" s="770"/>
      <c r="P35" s="770"/>
      <c r="Q35" s="770"/>
      <c r="R35" s="770"/>
      <c r="S35" s="770"/>
      <c r="T35" s="770"/>
      <c r="U35" s="770"/>
      <c r="V35" s="770"/>
      <c r="W35" s="770"/>
      <c r="X35" s="770"/>
      <c r="Y35" s="770"/>
      <c r="Z35" s="770"/>
      <c r="AA35" s="770"/>
      <c r="AB35" s="740"/>
      <c r="AC35" s="740"/>
      <c r="AD35" s="740"/>
      <c r="AE35" s="740"/>
      <c r="AF35" s="740"/>
      <c r="AG35" s="740"/>
      <c r="AH35" s="740"/>
      <c r="AI35" s="740"/>
      <c r="AJ35" s="740"/>
      <c r="AK35" s="740"/>
      <c r="AL35" s="740"/>
      <c r="AM35" s="740"/>
      <c r="AN35" s="740"/>
      <c r="AO35" s="740"/>
      <c r="AP35" s="740"/>
      <c r="AQ35" s="740"/>
    </row>
    <row r="36" spans="2:43" ht="15">
      <c r="B36" s="1337">
        <v>39499</v>
      </c>
      <c r="C36" s="1338">
        <v>2100</v>
      </c>
      <c r="D36" s="772">
        <v>1855</v>
      </c>
      <c r="E36" s="1335">
        <f>+F12-D55-D36</f>
        <v>-45</v>
      </c>
      <c r="F36" s="773">
        <f t="shared" si="5"/>
        <v>1810</v>
      </c>
      <c r="G36" s="773">
        <f t="shared" si="6"/>
        <v>142.5</v>
      </c>
      <c r="H36" s="773">
        <f t="shared" si="6"/>
        <v>199.6</v>
      </c>
      <c r="I36" s="774">
        <f aca="true" t="shared" si="7" ref="I36:I46">P135</f>
        <v>41</v>
      </c>
      <c r="J36" s="774">
        <f aca="true" t="shared" si="8" ref="J36:J46">P156</f>
        <v>0</v>
      </c>
      <c r="K36" s="774">
        <f aca="true" t="shared" si="9" ref="K36:K46">Q184</f>
        <v>0</v>
      </c>
      <c r="L36" s="774">
        <f aca="true" t="shared" si="10" ref="L36:L46">P204</f>
        <v>8</v>
      </c>
      <c r="M36" s="773">
        <f aca="true" t="shared" si="11" ref="M36:M46">F36-G36+H36-I36+J36+K36-L36</f>
        <v>1818.1</v>
      </c>
      <c r="N36" s="770"/>
      <c r="O36" s="770"/>
      <c r="P36" s="770"/>
      <c r="Q36" s="770"/>
      <c r="R36" s="770"/>
      <c r="S36" s="770"/>
      <c r="T36" s="770"/>
      <c r="U36" s="770"/>
      <c r="V36" s="770"/>
      <c r="W36" s="770"/>
      <c r="X36" s="770"/>
      <c r="Y36" s="770"/>
      <c r="Z36" s="770"/>
      <c r="AA36" s="770"/>
      <c r="AB36" s="740"/>
      <c r="AC36" s="740"/>
      <c r="AD36" s="740"/>
      <c r="AE36" s="740"/>
      <c r="AF36" s="740"/>
      <c r="AG36" s="740"/>
      <c r="AH36" s="740"/>
      <c r="AI36" s="740"/>
      <c r="AJ36" s="740"/>
      <c r="AK36" s="740"/>
      <c r="AL36" s="740"/>
      <c r="AM36" s="740"/>
      <c r="AN36" s="740"/>
      <c r="AO36" s="740"/>
      <c r="AP36" s="740"/>
      <c r="AQ36" s="740"/>
    </row>
    <row r="37" spans="2:43" ht="15">
      <c r="B37" s="1318">
        <v>39514</v>
      </c>
      <c r="C37" s="1320">
        <v>2000</v>
      </c>
      <c r="D37" s="772">
        <v>1712</v>
      </c>
      <c r="E37" s="1335">
        <v>0</v>
      </c>
      <c r="F37" s="773">
        <f t="shared" si="5"/>
        <v>1712</v>
      </c>
      <c r="G37" s="773">
        <f t="shared" si="6"/>
        <v>116.5</v>
      </c>
      <c r="H37" s="773">
        <f t="shared" si="6"/>
        <v>199.6</v>
      </c>
      <c r="I37" s="774">
        <f t="shared" si="7"/>
        <v>36</v>
      </c>
      <c r="J37" s="774">
        <f t="shared" si="8"/>
        <v>0</v>
      </c>
      <c r="K37" s="774">
        <f t="shared" si="9"/>
        <v>0</v>
      </c>
      <c r="L37" s="774">
        <f t="shared" si="10"/>
        <v>7</v>
      </c>
      <c r="M37" s="773">
        <f t="shared" si="11"/>
        <v>1752.1</v>
      </c>
      <c r="N37" s="770"/>
      <c r="O37" s="770"/>
      <c r="P37" s="770"/>
      <c r="Q37" s="770"/>
      <c r="R37" s="770"/>
      <c r="S37" s="770"/>
      <c r="T37" s="770"/>
      <c r="U37" s="770"/>
      <c r="V37" s="770"/>
      <c r="W37" s="770"/>
      <c r="X37" s="770"/>
      <c r="Y37" s="770"/>
      <c r="Z37" s="770"/>
      <c r="AA37" s="770"/>
      <c r="AB37" s="740"/>
      <c r="AC37" s="740"/>
      <c r="AD37" s="740"/>
      <c r="AE37" s="740"/>
      <c r="AF37" s="740"/>
      <c r="AG37" s="740"/>
      <c r="AH37" s="740"/>
      <c r="AI37" s="740"/>
      <c r="AJ37" s="740"/>
      <c r="AK37" s="740"/>
      <c r="AL37" s="740"/>
      <c r="AM37" s="740"/>
      <c r="AN37" s="740"/>
      <c r="AO37" s="740"/>
      <c r="AP37" s="740"/>
      <c r="AQ37" s="740"/>
    </row>
    <row r="38" spans="2:43" ht="15">
      <c r="B38" s="1337">
        <v>39549</v>
      </c>
      <c r="C38" s="1338">
        <v>1100</v>
      </c>
      <c r="D38" s="772">
        <v>1518</v>
      </c>
      <c r="E38" s="1335">
        <f>+F14-D57-D38</f>
        <v>-64</v>
      </c>
      <c r="F38" s="773">
        <f t="shared" si="5"/>
        <v>1454</v>
      </c>
      <c r="G38" s="773">
        <f t="shared" si="6"/>
        <v>107.5</v>
      </c>
      <c r="H38" s="773">
        <f t="shared" si="6"/>
        <v>199.6</v>
      </c>
      <c r="I38" s="774">
        <f t="shared" si="7"/>
        <v>33</v>
      </c>
      <c r="J38" s="774">
        <f t="shared" si="8"/>
        <v>0</v>
      </c>
      <c r="K38" s="774">
        <f t="shared" si="9"/>
        <v>0</v>
      </c>
      <c r="L38" s="774">
        <f t="shared" si="10"/>
        <v>6</v>
      </c>
      <c r="M38" s="773">
        <f t="shared" si="11"/>
        <v>1507.1</v>
      </c>
      <c r="Z38" s="740"/>
      <c r="AA38" s="740"/>
      <c r="AB38" s="740"/>
      <c r="AC38" s="740"/>
      <c r="AD38" s="740"/>
      <c r="AE38" s="740"/>
      <c r="AF38" s="740"/>
      <c r="AG38" s="740"/>
      <c r="AH38" s="740"/>
      <c r="AI38" s="740"/>
      <c r="AJ38" s="740"/>
      <c r="AK38" s="740"/>
      <c r="AL38" s="740"/>
      <c r="AM38" s="740"/>
      <c r="AN38" s="740"/>
      <c r="AO38" s="740"/>
      <c r="AP38" s="740"/>
      <c r="AQ38" s="740"/>
    </row>
    <row r="39" spans="2:43" ht="15">
      <c r="B39" s="1318">
        <v>39598</v>
      </c>
      <c r="C39" s="1320">
        <v>1700</v>
      </c>
      <c r="D39" s="772">
        <v>2099</v>
      </c>
      <c r="E39" s="1335">
        <v>0</v>
      </c>
      <c r="F39" s="773">
        <f t="shared" si="5"/>
        <v>2099</v>
      </c>
      <c r="G39" s="773">
        <f t="shared" si="6"/>
        <v>145</v>
      </c>
      <c r="H39" s="773">
        <f t="shared" si="6"/>
        <v>199.6</v>
      </c>
      <c r="I39" s="774">
        <f t="shared" si="7"/>
        <v>46</v>
      </c>
      <c r="J39" s="774">
        <f t="shared" si="8"/>
        <v>0</v>
      </c>
      <c r="K39" s="774">
        <f t="shared" si="9"/>
        <v>0</v>
      </c>
      <c r="L39" s="774">
        <f t="shared" si="10"/>
        <v>7</v>
      </c>
      <c r="M39" s="773">
        <f t="shared" si="11"/>
        <v>2100.6</v>
      </c>
      <c r="Z39" s="740"/>
      <c r="AA39" s="740"/>
      <c r="AB39" s="740"/>
      <c r="AC39" s="740"/>
      <c r="AD39" s="740"/>
      <c r="AE39" s="740"/>
      <c r="AF39" s="740"/>
      <c r="AG39" s="740"/>
      <c r="AH39" s="740"/>
      <c r="AI39" s="740"/>
      <c r="AJ39" s="740"/>
      <c r="AK39" s="740"/>
      <c r="AL39" s="740"/>
      <c r="AM39" s="740"/>
      <c r="AN39" s="740"/>
      <c r="AO39" s="740"/>
      <c r="AP39" s="740"/>
      <c r="AQ39" s="740"/>
    </row>
    <row r="40" spans="2:43" ht="15">
      <c r="B40" s="1318">
        <v>39624</v>
      </c>
      <c r="C40" s="1320">
        <v>1700</v>
      </c>
      <c r="D40" s="772">
        <v>2513</v>
      </c>
      <c r="E40" s="1335">
        <v>0</v>
      </c>
      <c r="F40" s="773">
        <f t="shared" si="5"/>
        <v>2513</v>
      </c>
      <c r="G40" s="773">
        <f t="shared" si="6"/>
        <v>136.5</v>
      </c>
      <c r="H40" s="773">
        <f t="shared" si="6"/>
        <v>199.6</v>
      </c>
      <c r="I40" s="774">
        <f t="shared" si="7"/>
        <v>55</v>
      </c>
      <c r="J40" s="774">
        <f t="shared" si="8"/>
        <v>0</v>
      </c>
      <c r="K40" s="774">
        <f t="shared" si="9"/>
        <v>0</v>
      </c>
      <c r="L40" s="774">
        <f t="shared" si="10"/>
        <v>0</v>
      </c>
      <c r="M40" s="773">
        <f t="shared" si="11"/>
        <v>2521.1</v>
      </c>
      <c r="Z40" s="740"/>
      <c r="AA40" s="740"/>
      <c r="AB40" s="740"/>
      <c r="AC40" s="740"/>
      <c r="AD40" s="740"/>
      <c r="AE40" s="740"/>
      <c r="AF40" s="740"/>
      <c r="AG40" s="740"/>
      <c r="AH40" s="740"/>
      <c r="AI40" s="740"/>
      <c r="AJ40" s="740"/>
      <c r="AK40" s="740"/>
      <c r="AL40" s="740"/>
      <c r="AM40" s="740"/>
      <c r="AN40" s="740"/>
      <c r="AO40" s="740"/>
      <c r="AP40" s="740"/>
      <c r="AQ40" s="740"/>
    </row>
    <row r="41" spans="2:43" ht="15">
      <c r="B41" s="1318">
        <v>39650</v>
      </c>
      <c r="C41" s="1320">
        <v>1700</v>
      </c>
      <c r="D41" s="772">
        <v>2739</v>
      </c>
      <c r="E41" s="1335">
        <v>0</v>
      </c>
      <c r="F41" s="773">
        <f t="shared" si="5"/>
        <v>2739</v>
      </c>
      <c r="G41" s="773">
        <f t="shared" si="6"/>
        <v>153.5</v>
      </c>
      <c r="H41" s="773">
        <f t="shared" si="6"/>
        <v>199.6</v>
      </c>
      <c r="I41" s="774">
        <f t="shared" si="7"/>
        <v>60</v>
      </c>
      <c r="J41" s="774">
        <f t="shared" si="8"/>
        <v>2</v>
      </c>
      <c r="K41" s="774">
        <f t="shared" si="9"/>
        <v>0</v>
      </c>
      <c r="L41" s="774">
        <f t="shared" si="10"/>
        <v>0</v>
      </c>
      <c r="M41" s="773">
        <f t="shared" si="11"/>
        <v>2727.1</v>
      </c>
      <c r="Z41" s="740"/>
      <c r="AA41" s="740"/>
      <c r="AB41" s="740"/>
      <c r="AC41" s="740"/>
      <c r="AD41" s="740"/>
      <c r="AE41" s="740"/>
      <c r="AF41" s="740"/>
      <c r="AG41" s="740"/>
      <c r="AH41" s="740"/>
      <c r="AI41" s="740"/>
      <c r="AJ41" s="740"/>
      <c r="AK41" s="740"/>
      <c r="AL41" s="740"/>
      <c r="AM41" s="740"/>
      <c r="AN41" s="740"/>
      <c r="AO41" s="740"/>
      <c r="AP41" s="740"/>
      <c r="AQ41" s="740"/>
    </row>
    <row r="42" spans="2:43" ht="15">
      <c r="B42" s="1318">
        <v>39664</v>
      </c>
      <c r="C42" s="1320">
        <v>1700</v>
      </c>
      <c r="D42" s="772">
        <v>2868</v>
      </c>
      <c r="E42" s="1335">
        <v>0</v>
      </c>
      <c r="F42" s="773">
        <f t="shared" si="5"/>
        <v>2868</v>
      </c>
      <c r="G42" s="773">
        <f t="shared" si="6"/>
        <v>143.5</v>
      </c>
      <c r="H42" s="773">
        <f t="shared" si="6"/>
        <v>199.6</v>
      </c>
      <c r="I42" s="774">
        <f t="shared" si="7"/>
        <v>61</v>
      </c>
      <c r="J42" s="774">
        <f t="shared" si="8"/>
        <v>1</v>
      </c>
      <c r="K42" s="774">
        <f t="shared" si="9"/>
        <v>0</v>
      </c>
      <c r="L42" s="774">
        <f t="shared" si="10"/>
        <v>0</v>
      </c>
      <c r="M42" s="773">
        <f t="shared" si="11"/>
        <v>2864.1</v>
      </c>
      <c r="Z42" s="740"/>
      <c r="AA42" s="740"/>
      <c r="AB42" s="740"/>
      <c r="AC42" s="740"/>
      <c r="AD42" s="740"/>
      <c r="AE42" s="740"/>
      <c r="AF42" s="740"/>
      <c r="AG42" s="740"/>
      <c r="AH42" s="740"/>
      <c r="AI42" s="740"/>
      <c r="AJ42" s="740"/>
      <c r="AK42" s="740"/>
      <c r="AL42" s="740"/>
      <c r="AM42" s="740"/>
      <c r="AN42" s="740"/>
      <c r="AO42" s="740"/>
      <c r="AP42" s="740"/>
      <c r="AQ42" s="740"/>
    </row>
    <row r="43" spans="2:43" ht="15">
      <c r="B43" s="1318">
        <v>39692</v>
      </c>
      <c r="C43" s="1320">
        <v>1800</v>
      </c>
      <c r="D43" s="1335">
        <v>2226</v>
      </c>
      <c r="E43" s="1335">
        <v>0</v>
      </c>
      <c r="F43" s="773">
        <f t="shared" si="5"/>
        <v>2226</v>
      </c>
      <c r="G43" s="773">
        <f t="shared" si="6"/>
        <v>118</v>
      </c>
      <c r="H43" s="773">
        <f t="shared" si="6"/>
        <v>199.6</v>
      </c>
      <c r="I43" s="774">
        <f t="shared" si="7"/>
        <v>49</v>
      </c>
      <c r="J43" s="774">
        <f t="shared" si="8"/>
        <v>0</v>
      </c>
      <c r="K43" s="774">
        <f t="shared" si="9"/>
        <v>0</v>
      </c>
      <c r="L43" s="774">
        <f t="shared" si="10"/>
        <v>0</v>
      </c>
      <c r="M43" s="773">
        <f t="shared" si="11"/>
        <v>2258.6</v>
      </c>
      <c r="Z43" s="740"/>
      <c r="AA43" s="740"/>
      <c r="AB43" s="740"/>
      <c r="AC43" s="740"/>
      <c r="AD43" s="740"/>
      <c r="AE43" s="740"/>
      <c r="AF43" s="740"/>
      <c r="AG43" s="740"/>
      <c r="AH43" s="740"/>
      <c r="AI43" s="740"/>
      <c r="AJ43" s="740"/>
      <c r="AK43" s="740"/>
      <c r="AL43" s="740"/>
      <c r="AM43" s="740"/>
      <c r="AN43" s="740"/>
      <c r="AO43" s="740"/>
      <c r="AP43" s="740"/>
      <c r="AQ43" s="740"/>
    </row>
    <row r="44" spans="2:43" ht="15">
      <c r="B44" s="1318">
        <v>39730</v>
      </c>
      <c r="C44" s="1338">
        <v>2000</v>
      </c>
      <c r="D44" s="1335">
        <v>1575</v>
      </c>
      <c r="E44" s="1335">
        <f>+F20-D63-D44</f>
        <v>-31</v>
      </c>
      <c r="F44" s="773">
        <f t="shared" si="5"/>
        <v>1544</v>
      </c>
      <c r="G44" s="773">
        <f t="shared" si="6"/>
        <v>115</v>
      </c>
      <c r="H44" s="773">
        <f t="shared" si="6"/>
        <v>199.6</v>
      </c>
      <c r="I44" s="774">
        <f t="shared" si="7"/>
        <v>36</v>
      </c>
      <c r="J44" s="774">
        <f t="shared" si="8"/>
        <v>0</v>
      </c>
      <c r="K44" s="774">
        <f t="shared" si="9"/>
        <v>0</v>
      </c>
      <c r="L44" s="774">
        <f t="shared" si="10"/>
        <v>0</v>
      </c>
      <c r="M44" s="773">
        <f t="shared" si="11"/>
        <v>1592.6</v>
      </c>
      <c r="Z44" s="740"/>
      <c r="AA44" s="740"/>
      <c r="AB44" s="740"/>
      <c r="AC44" s="740"/>
      <c r="AD44" s="740"/>
      <c r="AE44" s="740"/>
      <c r="AF44" s="740"/>
      <c r="AG44" s="740"/>
      <c r="AH44" s="740"/>
      <c r="AI44" s="740"/>
      <c r="AJ44" s="740"/>
      <c r="AK44" s="740"/>
      <c r="AL44" s="740"/>
      <c r="AM44" s="740"/>
      <c r="AN44" s="740"/>
      <c r="AO44" s="740"/>
      <c r="AP44" s="740"/>
      <c r="AQ44" s="740"/>
    </row>
    <row r="45" spans="2:43" ht="15">
      <c r="B45" s="1318">
        <v>39772</v>
      </c>
      <c r="C45" s="1320">
        <v>1900</v>
      </c>
      <c r="D45" s="1335">
        <v>1673</v>
      </c>
      <c r="E45" s="1335">
        <v>0</v>
      </c>
      <c r="F45" s="773">
        <f t="shared" si="5"/>
        <v>1673</v>
      </c>
      <c r="G45" s="773">
        <f t="shared" si="6"/>
        <v>117</v>
      </c>
      <c r="H45" s="773">
        <f t="shared" si="6"/>
        <v>199.6</v>
      </c>
      <c r="I45" s="774">
        <f t="shared" si="7"/>
        <v>39</v>
      </c>
      <c r="J45" s="774">
        <f t="shared" si="8"/>
        <v>0</v>
      </c>
      <c r="K45" s="774">
        <f t="shared" si="9"/>
        <v>0</v>
      </c>
      <c r="L45" s="774">
        <f t="shared" si="10"/>
        <v>0</v>
      </c>
      <c r="M45" s="773">
        <f t="shared" si="11"/>
        <v>1716.6</v>
      </c>
      <c r="Z45" s="740"/>
      <c r="AA45" s="740"/>
      <c r="AB45" s="740"/>
      <c r="AC45" s="740"/>
      <c r="AD45" s="740"/>
      <c r="AE45" s="740"/>
      <c r="AF45" s="740"/>
      <c r="AG45" s="740"/>
      <c r="AH45" s="740"/>
      <c r="AI45" s="740"/>
      <c r="AJ45" s="740"/>
      <c r="AK45" s="740"/>
      <c r="AL45" s="740"/>
      <c r="AM45" s="740"/>
      <c r="AN45" s="740"/>
      <c r="AO45" s="740"/>
      <c r="AP45" s="740"/>
      <c r="AQ45" s="740"/>
    </row>
    <row r="46" spans="2:43" ht="15.75" thickBot="1">
      <c r="B46" s="1319">
        <v>39797</v>
      </c>
      <c r="C46" s="1321">
        <v>1900</v>
      </c>
      <c r="D46" s="775">
        <v>1998</v>
      </c>
      <c r="E46" s="1336">
        <v>0</v>
      </c>
      <c r="F46" s="776">
        <f t="shared" si="5"/>
        <v>1998</v>
      </c>
      <c r="G46" s="776">
        <f t="shared" si="6"/>
        <v>137</v>
      </c>
      <c r="H46" s="776">
        <f t="shared" si="6"/>
        <v>199.6</v>
      </c>
      <c r="I46" s="777">
        <f t="shared" si="7"/>
        <v>46</v>
      </c>
      <c r="J46" s="777">
        <f t="shared" si="8"/>
        <v>0</v>
      </c>
      <c r="K46" s="777">
        <f t="shared" si="9"/>
        <v>0</v>
      </c>
      <c r="L46" s="777">
        <f t="shared" si="10"/>
        <v>0</v>
      </c>
      <c r="M46" s="776">
        <f t="shared" si="11"/>
        <v>2014.6</v>
      </c>
      <c r="Z46" s="740"/>
      <c r="AA46" s="740"/>
      <c r="AB46" s="740"/>
      <c r="AC46" s="740"/>
      <c r="AD46" s="740"/>
      <c r="AE46" s="740"/>
      <c r="AF46" s="740"/>
      <c r="AG46" s="740"/>
      <c r="AH46" s="740"/>
      <c r="AI46" s="740"/>
      <c r="AJ46" s="740"/>
      <c r="AK46" s="740"/>
      <c r="AL46" s="740"/>
      <c r="AM46" s="740"/>
      <c r="AN46" s="740"/>
      <c r="AO46" s="740"/>
      <c r="AP46" s="740"/>
      <c r="AQ46" s="740"/>
    </row>
    <row r="47" spans="2:43" ht="15">
      <c r="B47" s="761" t="s">
        <v>1106</v>
      </c>
      <c r="C47" s="761"/>
      <c r="D47" s="750">
        <f aca="true" t="shared" si="12" ref="D47:M47">SUM(D35:D46)</f>
        <v>24663</v>
      </c>
      <c r="E47" s="778">
        <f t="shared" si="12"/>
        <v>-140</v>
      </c>
      <c r="F47" s="778">
        <f t="shared" si="12"/>
        <v>24523</v>
      </c>
      <c r="G47" s="778">
        <f t="shared" si="12"/>
        <v>1588</v>
      </c>
      <c r="H47" s="778">
        <f t="shared" si="12"/>
        <v>2395.1999999999994</v>
      </c>
      <c r="I47" s="778">
        <f t="shared" si="12"/>
        <v>546</v>
      </c>
      <c r="J47" s="778">
        <f t="shared" si="12"/>
        <v>3</v>
      </c>
      <c r="K47" s="778">
        <f t="shared" si="12"/>
        <v>0</v>
      </c>
      <c r="L47" s="778">
        <f t="shared" si="12"/>
        <v>35</v>
      </c>
      <c r="M47" s="778">
        <f t="shared" si="12"/>
        <v>24752.199999999993</v>
      </c>
      <c r="Z47" s="740"/>
      <c r="AA47" s="740"/>
      <c r="AB47" s="740"/>
      <c r="AC47" s="740"/>
      <c r="AD47" s="740"/>
      <c r="AE47" s="740"/>
      <c r="AF47" s="740"/>
      <c r="AG47" s="740"/>
      <c r="AH47" s="740"/>
      <c r="AI47" s="740"/>
      <c r="AJ47" s="740"/>
      <c r="AK47" s="740"/>
      <c r="AL47" s="740"/>
      <c r="AM47" s="740"/>
      <c r="AN47" s="740"/>
      <c r="AO47" s="740"/>
      <c r="AP47" s="740"/>
      <c r="AQ47" s="740"/>
    </row>
    <row r="48" spans="2:43" ht="15">
      <c r="B48" s="765" t="s">
        <v>1611</v>
      </c>
      <c r="C48" s="765"/>
      <c r="D48" s="755">
        <f aca="true" t="shared" si="13" ref="D48:M48">D47/12</f>
        <v>2055.25</v>
      </c>
      <c r="E48" s="773">
        <f t="shared" si="13"/>
        <v>-11.666666666666666</v>
      </c>
      <c r="F48" s="773">
        <f t="shared" si="13"/>
        <v>2043.5833333333333</v>
      </c>
      <c r="G48" s="773">
        <f t="shared" si="13"/>
        <v>132.33333333333334</v>
      </c>
      <c r="H48" s="773">
        <f t="shared" si="13"/>
        <v>199.59999999999994</v>
      </c>
      <c r="I48" s="773">
        <f t="shared" si="13"/>
        <v>45.5</v>
      </c>
      <c r="J48" s="773">
        <f t="shared" si="13"/>
        <v>0.25</v>
      </c>
      <c r="K48" s="773">
        <f t="shared" si="13"/>
        <v>0</v>
      </c>
      <c r="L48" s="773">
        <f t="shared" si="13"/>
        <v>2.9166666666666665</v>
      </c>
      <c r="M48" s="773">
        <f t="shared" si="13"/>
        <v>2062.683333333333</v>
      </c>
      <c r="Z48" s="740"/>
      <c r="AA48" s="740"/>
      <c r="AB48" s="740"/>
      <c r="AC48" s="740"/>
      <c r="AD48" s="740"/>
      <c r="AE48" s="740"/>
      <c r="AF48" s="740"/>
      <c r="AG48" s="740"/>
      <c r="AH48" s="740"/>
      <c r="AI48" s="740"/>
      <c r="AJ48" s="740"/>
      <c r="AK48" s="740"/>
      <c r="AL48" s="740"/>
      <c r="AM48" s="740"/>
      <c r="AN48" s="740"/>
      <c r="AO48" s="740"/>
      <c r="AP48" s="740"/>
      <c r="AQ48" s="740"/>
    </row>
    <row r="49" spans="2:43" ht="15">
      <c r="B49" s="735"/>
      <c r="C49" s="736"/>
      <c r="D49" s="737"/>
      <c r="E49" s="779"/>
      <c r="F49" s="737"/>
      <c r="H49" s="739"/>
      <c r="I49" s="739"/>
      <c r="J49" s="739"/>
      <c r="K49" s="739"/>
      <c r="L49" s="739"/>
      <c r="M49" s="739"/>
      <c r="AB49" s="740"/>
      <c r="AC49" s="740"/>
      <c r="AD49" s="740"/>
      <c r="AE49" s="740"/>
      <c r="AF49" s="740"/>
      <c r="AG49" s="740"/>
      <c r="AH49" s="740"/>
      <c r="AI49" s="740"/>
      <c r="AJ49" s="740"/>
      <c r="AK49" s="740"/>
      <c r="AL49" s="740"/>
      <c r="AM49" s="740"/>
      <c r="AN49" s="740"/>
      <c r="AO49" s="740"/>
      <c r="AP49" s="740"/>
      <c r="AQ49" s="740"/>
    </row>
    <row r="50" spans="2:43" ht="18">
      <c r="B50" s="205" t="s">
        <v>1500</v>
      </c>
      <c r="C50" s="697"/>
      <c r="D50" s="740"/>
      <c r="E50" s="738"/>
      <c r="F50" s="740"/>
      <c r="H50" s="740"/>
      <c r="I50" s="740"/>
      <c r="J50" s="740"/>
      <c r="K50" s="740"/>
      <c r="L50" s="740"/>
      <c r="M50" s="740"/>
      <c r="AB50" s="740"/>
      <c r="AC50" s="740"/>
      <c r="AD50" s="740"/>
      <c r="AE50" s="740"/>
      <c r="AF50" s="740"/>
      <c r="AG50" s="740"/>
      <c r="AH50" s="740"/>
      <c r="AI50" s="740"/>
      <c r="AJ50" s="740"/>
      <c r="AK50" s="740"/>
      <c r="AL50" s="740"/>
      <c r="AM50" s="740"/>
      <c r="AN50" s="740"/>
      <c r="AO50" s="740"/>
      <c r="AP50" s="740"/>
      <c r="AQ50" s="740"/>
    </row>
    <row r="51" spans="2:43" ht="15">
      <c r="B51" s="52"/>
      <c r="C51" s="697"/>
      <c r="D51" s="740"/>
      <c r="E51" s="740"/>
      <c r="F51" s="740"/>
      <c r="H51" s="740"/>
      <c r="I51" s="740"/>
      <c r="J51" s="740"/>
      <c r="K51" s="740"/>
      <c r="L51" s="740"/>
      <c r="M51" s="740"/>
      <c r="AB51" s="740"/>
      <c r="AC51" s="740"/>
      <c r="AD51" s="740"/>
      <c r="AE51" s="740"/>
      <c r="AF51" s="740"/>
      <c r="AG51" s="740"/>
      <c r="AH51" s="740"/>
      <c r="AI51" s="740"/>
      <c r="AJ51" s="740"/>
      <c r="AK51" s="740"/>
      <c r="AL51" s="740"/>
      <c r="AM51" s="740"/>
      <c r="AN51" s="740"/>
      <c r="AO51" s="740"/>
      <c r="AP51" s="740"/>
      <c r="AQ51" s="740"/>
    </row>
    <row r="52" spans="2:43" ht="65.25">
      <c r="B52" s="53" t="s">
        <v>1612</v>
      </c>
      <c r="C52" s="54" t="s">
        <v>1613</v>
      </c>
      <c r="D52" s="54" t="s">
        <v>1614</v>
      </c>
      <c r="E52" s="55" t="s">
        <v>1615</v>
      </c>
      <c r="F52" s="54" t="s">
        <v>1617</v>
      </c>
      <c r="G52" s="54" t="s">
        <v>403</v>
      </c>
      <c r="H52" s="54" t="s">
        <v>404</v>
      </c>
      <c r="I52" s="54" t="s">
        <v>958</v>
      </c>
      <c r="J52" s="54" t="s">
        <v>959</v>
      </c>
      <c r="K52" s="54" t="s">
        <v>960</v>
      </c>
      <c r="L52" s="54" t="s">
        <v>979</v>
      </c>
      <c r="M52" s="54" t="s">
        <v>1451</v>
      </c>
      <c r="AB52" s="740"/>
      <c r="AC52" s="740"/>
      <c r="AD52" s="740"/>
      <c r="AE52" s="740"/>
      <c r="AF52" s="740"/>
      <c r="AG52" s="740"/>
      <c r="AH52" s="740"/>
      <c r="AI52" s="740"/>
      <c r="AJ52" s="740"/>
      <c r="AK52" s="740"/>
      <c r="AL52" s="740"/>
      <c r="AM52" s="740"/>
      <c r="AN52" s="740"/>
      <c r="AO52" s="740"/>
      <c r="AP52" s="740"/>
      <c r="AQ52" s="740"/>
    </row>
    <row r="53" spans="2:43" ht="15.75" thickBot="1">
      <c r="B53" s="742" t="s">
        <v>1697</v>
      </c>
      <c r="C53" s="1325" t="s">
        <v>1698</v>
      </c>
      <c r="D53" s="746" t="s">
        <v>1450</v>
      </c>
      <c r="E53" s="745" t="s">
        <v>1700</v>
      </c>
      <c r="F53" s="746" t="s">
        <v>1701</v>
      </c>
      <c r="G53" s="746" t="s">
        <v>1702</v>
      </c>
      <c r="H53" s="746" t="s">
        <v>891</v>
      </c>
      <c r="I53" s="746" t="s">
        <v>892</v>
      </c>
      <c r="J53" s="746" t="s">
        <v>893</v>
      </c>
      <c r="K53" s="746" t="s">
        <v>894</v>
      </c>
      <c r="L53" s="746" t="s">
        <v>895</v>
      </c>
      <c r="M53" s="746" t="s">
        <v>902</v>
      </c>
      <c r="AB53" s="740"/>
      <c r="AC53" s="740"/>
      <c r="AD53" s="740"/>
      <c r="AE53" s="740"/>
      <c r="AF53" s="740"/>
      <c r="AG53" s="740"/>
      <c r="AH53" s="740"/>
      <c r="AI53" s="740"/>
      <c r="AJ53" s="740"/>
      <c r="AK53" s="740"/>
      <c r="AL53" s="740"/>
      <c r="AM53" s="740"/>
      <c r="AN53" s="740"/>
      <c r="AO53" s="740"/>
      <c r="AP53" s="740"/>
      <c r="AQ53" s="740"/>
    </row>
    <row r="54" spans="2:43" ht="15">
      <c r="B54" s="1318">
        <v>39471</v>
      </c>
      <c r="C54" s="1320">
        <v>800</v>
      </c>
      <c r="D54" s="772">
        <v>1770</v>
      </c>
      <c r="E54" s="1335">
        <v>0</v>
      </c>
      <c r="F54" s="773">
        <f aca="true" t="shared" si="14" ref="F54:F65">D54+E54</f>
        <v>1770</v>
      </c>
      <c r="G54" s="773">
        <f aca="true" t="shared" si="15" ref="G54:G65">Q87/2</f>
        <v>156</v>
      </c>
      <c r="H54" s="773">
        <f aca="true" t="shared" si="16" ref="H54:H65">Q105/2</f>
        <v>199.6</v>
      </c>
      <c r="I54" s="773">
        <f>K134</f>
        <v>124</v>
      </c>
      <c r="J54" s="773">
        <f>K155</f>
        <v>0</v>
      </c>
      <c r="K54" s="773">
        <f>K183</f>
        <v>0</v>
      </c>
      <c r="L54" s="773">
        <f>K203</f>
        <v>0</v>
      </c>
      <c r="M54" s="773">
        <f aca="true" t="shared" si="17" ref="M54:M65">F54-G54+H54-I54+J54+K54-L54</f>
        <v>1689.6</v>
      </c>
      <c r="AB54" s="740"/>
      <c r="AC54" s="740"/>
      <c r="AD54" s="740"/>
      <c r="AE54" s="740"/>
      <c r="AF54" s="740"/>
      <c r="AG54" s="740"/>
      <c r="AH54" s="740"/>
      <c r="AI54" s="740"/>
      <c r="AJ54" s="740"/>
      <c r="AK54" s="740"/>
      <c r="AL54" s="740"/>
      <c r="AM54" s="740"/>
      <c r="AN54" s="740"/>
      <c r="AO54" s="740"/>
      <c r="AP54" s="740"/>
      <c r="AQ54" s="740"/>
    </row>
    <row r="55" spans="2:43" ht="15">
      <c r="B55" s="1337">
        <v>39499</v>
      </c>
      <c r="C55" s="1338">
        <v>1900</v>
      </c>
      <c r="D55" s="772">
        <v>1704</v>
      </c>
      <c r="E55" s="1335">
        <f>+F12-D36-D55</f>
        <v>-45</v>
      </c>
      <c r="F55" s="773">
        <f t="shared" si="14"/>
        <v>1659</v>
      </c>
      <c r="G55" s="773">
        <f t="shared" si="15"/>
        <v>142.5</v>
      </c>
      <c r="H55" s="773">
        <f t="shared" si="16"/>
        <v>199.6</v>
      </c>
      <c r="I55" s="773">
        <f aca="true" t="shared" si="18" ref="I55:I65">K135</f>
        <v>102</v>
      </c>
      <c r="J55" s="773">
        <f aca="true" t="shared" si="19" ref="J55:J65">K156</f>
        <v>0</v>
      </c>
      <c r="K55" s="773">
        <f aca="true" t="shared" si="20" ref="K55:K65">K184</f>
        <v>0</v>
      </c>
      <c r="L55" s="773">
        <f aca="true" t="shared" si="21" ref="L55:L65">K204</f>
        <v>0</v>
      </c>
      <c r="M55" s="773">
        <f t="shared" si="17"/>
        <v>1614.1</v>
      </c>
      <c r="AB55" s="740"/>
      <c r="AC55" s="740"/>
      <c r="AD55" s="740"/>
      <c r="AE55" s="740"/>
      <c r="AF55" s="740"/>
      <c r="AG55" s="740"/>
      <c r="AH55" s="740"/>
      <c r="AI55" s="740"/>
      <c r="AJ55" s="740"/>
      <c r="AK55" s="740"/>
      <c r="AL55" s="740"/>
      <c r="AM55" s="740"/>
      <c r="AN55" s="740"/>
      <c r="AO55" s="740"/>
      <c r="AP55" s="740"/>
      <c r="AQ55" s="740"/>
    </row>
    <row r="56" spans="2:43" ht="15">
      <c r="B56" s="1318">
        <v>39514</v>
      </c>
      <c r="C56" s="1320">
        <v>2000</v>
      </c>
      <c r="D56" s="772">
        <v>1603</v>
      </c>
      <c r="E56" s="1335">
        <v>0</v>
      </c>
      <c r="F56" s="773">
        <f t="shared" si="14"/>
        <v>1603</v>
      </c>
      <c r="G56" s="773">
        <f t="shared" si="15"/>
        <v>116.5</v>
      </c>
      <c r="H56" s="773">
        <f t="shared" si="16"/>
        <v>199.6</v>
      </c>
      <c r="I56" s="773">
        <f t="shared" si="18"/>
        <v>99</v>
      </c>
      <c r="J56" s="773">
        <f t="shared" si="19"/>
        <v>0</v>
      </c>
      <c r="K56" s="773">
        <f t="shared" si="20"/>
        <v>0</v>
      </c>
      <c r="L56" s="773">
        <f t="shared" si="21"/>
        <v>0</v>
      </c>
      <c r="M56" s="773">
        <f t="shared" si="17"/>
        <v>1587.1</v>
      </c>
      <c r="AB56" s="740"/>
      <c r="AC56" s="740"/>
      <c r="AD56" s="740"/>
      <c r="AE56" s="740"/>
      <c r="AF56" s="740"/>
      <c r="AG56" s="740"/>
      <c r="AH56" s="740"/>
      <c r="AI56" s="740"/>
      <c r="AJ56" s="740"/>
      <c r="AK56" s="740"/>
      <c r="AL56" s="740"/>
      <c r="AM56" s="740"/>
      <c r="AN56" s="740"/>
      <c r="AO56" s="740"/>
      <c r="AP56" s="740"/>
      <c r="AQ56" s="740"/>
    </row>
    <row r="57" spans="2:43" ht="15">
      <c r="B57" s="1318">
        <v>39559</v>
      </c>
      <c r="C57" s="1320">
        <v>1700</v>
      </c>
      <c r="D57" s="772">
        <v>1649</v>
      </c>
      <c r="E57" s="1335">
        <v>0</v>
      </c>
      <c r="F57" s="773">
        <f t="shared" si="14"/>
        <v>1649</v>
      </c>
      <c r="G57" s="773">
        <f t="shared" si="15"/>
        <v>107.5</v>
      </c>
      <c r="H57" s="773">
        <f t="shared" si="16"/>
        <v>199.6</v>
      </c>
      <c r="I57" s="773">
        <f t="shared" si="18"/>
        <v>111</v>
      </c>
      <c r="J57" s="773">
        <f t="shared" si="19"/>
        <v>0</v>
      </c>
      <c r="K57" s="773">
        <f t="shared" si="20"/>
        <v>0</v>
      </c>
      <c r="L57" s="773">
        <f t="shared" si="21"/>
        <v>0</v>
      </c>
      <c r="M57" s="773">
        <f t="shared" si="17"/>
        <v>1630.1</v>
      </c>
      <c r="AB57" s="740"/>
      <c r="AC57" s="740"/>
      <c r="AD57" s="740"/>
      <c r="AE57" s="740"/>
      <c r="AF57" s="740"/>
      <c r="AG57" s="740"/>
      <c r="AH57" s="740"/>
      <c r="AI57" s="740"/>
      <c r="AJ57" s="740"/>
      <c r="AK57" s="740"/>
      <c r="AL57" s="740"/>
      <c r="AM57" s="740"/>
      <c r="AN57" s="740"/>
      <c r="AO57" s="740"/>
      <c r="AP57" s="740"/>
      <c r="AQ57" s="740"/>
    </row>
    <row r="58" spans="2:43" ht="15">
      <c r="B58" s="1318">
        <v>39598</v>
      </c>
      <c r="C58" s="1338">
        <v>1600</v>
      </c>
      <c r="D58" s="772">
        <v>2065</v>
      </c>
      <c r="E58" s="1335">
        <v>0</v>
      </c>
      <c r="F58" s="773">
        <f t="shared" si="14"/>
        <v>2065</v>
      </c>
      <c r="G58" s="773">
        <f t="shared" si="15"/>
        <v>145</v>
      </c>
      <c r="H58" s="773">
        <f t="shared" si="16"/>
        <v>199.6</v>
      </c>
      <c r="I58" s="773">
        <f t="shared" si="18"/>
        <v>142</v>
      </c>
      <c r="J58" s="773">
        <f t="shared" si="19"/>
        <v>0</v>
      </c>
      <c r="K58" s="773">
        <f t="shared" si="20"/>
        <v>0</v>
      </c>
      <c r="L58" s="773">
        <f t="shared" si="21"/>
        <v>0</v>
      </c>
      <c r="M58" s="773">
        <f t="shared" si="17"/>
        <v>1977.6</v>
      </c>
      <c r="AB58" s="740"/>
      <c r="AC58" s="740"/>
      <c r="AD58" s="740"/>
      <c r="AE58" s="740"/>
      <c r="AF58" s="740"/>
      <c r="AG58" s="740"/>
      <c r="AH58" s="740"/>
      <c r="AI58" s="740"/>
      <c r="AJ58" s="740"/>
      <c r="AK58" s="740"/>
      <c r="AL58" s="740"/>
      <c r="AM58" s="740"/>
      <c r="AN58" s="740"/>
      <c r="AO58" s="740"/>
      <c r="AP58" s="740"/>
      <c r="AQ58" s="740"/>
    </row>
    <row r="59" spans="2:43" ht="15">
      <c r="B59" s="1337">
        <v>39617</v>
      </c>
      <c r="C59" s="1338">
        <v>1700</v>
      </c>
      <c r="D59" s="772">
        <v>2468</v>
      </c>
      <c r="E59" s="1335">
        <f>+F16-D40-D59</f>
        <v>-149</v>
      </c>
      <c r="F59" s="773">
        <f t="shared" si="14"/>
        <v>2319</v>
      </c>
      <c r="G59" s="773">
        <f t="shared" si="15"/>
        <v>136.5</v>
      </c>
      <c r="H59" s="773">
        <f t="shared" si="16"/>
        <v>199.6</v>
      </c>
      <c r="I59" s="773">
        <f t="shared" si="18"/>
        <v>122</v>
      </c>
      <c r="J59" s="773">
        <f t="shared" si="19"/>
        <v>0</v>
      </c>
      <c r="K59" s="773">
        <f t="shared" si="20"/>
        <v>0</v>
      </c>
      <c r="L59" s="773">
        <f t="shared" si="21"/>
        <v>0</v>
      </c>
      <c r="M59" s="773">
        <f t="shared" si="17"/>
        <v>2260.1</v>
      </c>
      <c r="AB59" s="740"/>
      <c r="AC59" s="740"/>
      <c r="AD59" s="740"/>
      <c r="AE59" s="740"/>
      <c r="AF59" s="740"/>
      <c r="AG59" s="740"/>
      <c r="AH59" s="740"/>
      <c r="AI59" s="740"/>
      <c r="AJ59" s="740"/>
      <c r="AK59" s="740"/>
      <c r="AL59" s="740"/>
      <c r="AM59" s="740"/>
      <c r="AN59" s="740"/>
      <c r="AO59" s="740"/>
      <c r="AP59" s="740"/>
      <c r="AQ59" s="740"/>
    </row>
    <row r="60" spans="2:43" ht="15">
      <c r="B60" s="1337">
        <v>39651</v>
      </c>
      <c r="C60" s="1338">
        <v>1700</v>
      </c>
      <c r="D60" s="772">
        <v>2543</v>
      </c>
      <c r="E60" s="1335">
        <f>+F17-D41-D60</f>
        <v>-66</v>
      </c>
      <c r="F60" s="773">
        <f t="shared" si="14"/>
        <v>2477</v>
      </c>
      <c r="G60" s="773">
        <f t="shared" si="15"/>
        <v>153.5</v>
      </c>
      <c r="H60" s="773">
        <f t="shared" si="16"/>
        <v>199.6</v>
      </c>
      <c r="I60" s="773">
        <f t="shared" si="18"/>
        <v>115</v>
      </c>
      <c r="J60" s="773">
        <f t="shared" si="19"/>
        <v>4</v>
      </c>
      <c r="K60" s="773">
        <f t="shared" si="20"/>
        <v>0</v>
      </c>
      <c r="L60" s="773">
        <f t="shared" si="21"/>
        <v>0</v>
      </c>
      <c r="M60" s="773">
        <f>F60-G60+H60-I60+J60+K60-L60</f>
        <v>2412.1</v>
      </c>
      <c r="AB60" s="740"/>
      <c r="AC60" s="740"/>
      <c r="AD60" s="740"/>
      <c r="AE60" s="740"/>
      <c r="AF60" s="740"/>
      <c r="AG60" s="740"/>
      <c r="AH60" s="740"/>
      <c r="AI60" s="740"/>
      <c r="AJ60" s="740"/>
      <c r="AK60" s="740"/>
      <c r="AL60" s="740"/>
      <c r="AM60" s="740"/>
      <c r="AN60" s="740"/>
      <c r="AO60" s="740"/>
      <c r="AP60" s="740"/>
      <c r="AQ60" s="740"/>
    </row>
    <row r="61" spans="2:43" ht="15">
      <c r="B61" s="1337">
        <v>39665</v>
      </c>
      <c r="C61" s="1338">
        <v>1700</v>
      </c>
      <c r="D61" s="772">
        <v>2628</v>
      </c>
      <c r="E61" s="1335">
        <f>+F18-D42-D61</f>
        <v>-9</v>
      </c>
      <c r="F61" s="773">
        <f t="shared" si="14"/>
        <v>2619</v>
      </c>
      <c r="G61" s="773">
        <f t="shared" si="15"/>
        <v>143.5</v>
      </c>
      <c r="H61" s="773">
        <f t="shared" si="16"/>
        <v>199.6</v>
      </c>
      <c r="I61" s="773">
        <f t="shared" si="18"/>
        <v>116</v>
      </c>
      <c r="J61" s="773">
        <f t="shared" si="19"/>
        <v>5</v>
      </c>
      <c r="K61" s="773">
        <f t="shared" si="20"/>
        <v>0</v>
      </c>
      <c r="L61" s="773">
        <f t="shared" si="21"/>
        <v>0</v>
      </c>
      <c r="M61" s="773">
        <f t="shared" si="17"/>
        <v>2564.1</v>
      </c>
      <c r="Z61" s="740"/>
      <c r="AA61" s="740"/>
      <c r="AB61" s="740"/>
      <c r="AC61" s="740"/>
      <c r="AD61" s="740"/>
      <c r="AE61" s="740"/>
      <c r="AF61" s="740"/>
      <c r="AG61" s="740"/>
      <c r="AH61" s="740"/>
      <c r="AI61" s="740"/>
      <c r="AJ61" s="740"/>
      <c r="AK61" s="740"/>
      <c r="AL61" s="740"/>
      <c r="AM61" s="740"/>
      <c r="AN61" s="740"/>
      <c r="AO61" s="740"/>
      <c r="AP61" s="740"/>
      <c r="AQ61" s="740"/>
    </row>
    <row r="62" spans="2:43" ht="15">
      <c r="B62" s="1337">
        <v>39693</v>
      </c>
      <c r="C62" s="1338">
        <v>1400</v>
      </c>
      <c r="D62" s="772">
        <v>2091</v>
      </c>
      <c r="E62" s="1335">
        <f>+F19-D43-D62</f>
        <v>-61</v>
      </c>
      <c r="F62" s="773">
        <f t="shared" si="14"/>
        <v>2030</v>
      </c>
      <c r="G62" s="773">
        <f t="shared" si="15"/>
        <v>118</v>
      </c>
      <c r="H62" s="773">
        <f t="shared" si="16"/>
        <v>199.6</v>
      </c>
      <c r="I62" s="773">
        <f t="shared" si="18"/>
        <v>117</v>
      </c>
      <c r="J62" s="773">
        <f t="shared" si="19"/>
        <v>0</v>
      </c>
      <c r="K62" s="773">
        <f t="shared" si="20"/>
        <v>0</v>
      </c>
      <c r="L62" s="773">
        <f t="shared" si="21"/>
        <v>0</v>
      </c>
      <c r="M62" s="773">
        <f t="shared" si="17"/>
        <v>1994.6</v>
      </c>
      <c r="Z62" s="740"/>
      <c r="AA62" s="740"/>
      <c r="AB62" s="740"/>
      <c r="AC62" s="740"/>
      <c r="AD62" s="740"/>
      <c r="AE62" s="740"/>
      <c r="AF62" s="740"/>
      <c r="AG62" s="740"/>
      <c r="AH62" s="740"/>
      <c r="AI62" s="740"/>
      <c r="AJ62" s="740"/>
      <c r="AK62" s="740"/>
      <c r="AL62" s="740"/>
      <c r="AM62" s="740"/>
      <c r="AN62" s="740"/>
      <c r="AO62" s="740"/>
      <c r="AP62" s="740"/>
      <c r="AQ62" s="740"/>
    </row>
    <row r="63" spans="2:43" ht="15">
      <c r="B63" s="1337">
        <v>39722</v>
      </c>
      <c r="C63" s="1338">
        <v>1700</v>
      </c>
      <c r="D63" s="772">
        <v>1609</v>
      </c>
      <c r="E63" s="1335">
        <f>+F20-D44-D63</f>
        <v>-31</v>
      </c>
      <c r="F63" s="773">
        <f t="shared" si="14"/>
        <v>1578</v>
      </c>
      <c r="G63" s="773">
        <f t="shared" si="15"/>
        <v>115</v>
      </c>
      <c r="H63" s="773">
        <f t="shared" si="16"/>
        <v>199.6</v>
      </c>
      <c r="I63" s="773">
        <f t="shared" si="18"/>
        <v>113</v>
      </c>
      <c r="J63" s="773">
        <f t="shared" si="19"/>
        <v>0</v>
      </c>
      <c r="K63" s="773">
        <f t="shared" si="20"/>
        <v>0</v>
      </c>
      <c r="L63" s="773">
        <f t="shared" si="21"/>
        <v>0</v>
      </c>
      <c r="M63" s="773">
        <f t="shared" si="17"/>
        <v>1549.6</v>
      </c>
      <c r="Z63" s="740"/>
      <c r="AA63" s="740"/>
      <c r="AB63" s="740"/>
      <c r="AC63" s="740"/>
      <c r="AD63" s="740"/>
      <c r="AE63" s="740"/>
      <c r="AF63" s="740"/>
      <c r="AG63" s="740"/>
      <c r="AH63" s="740"/>
      <c r="AI63" s="740"/>
      <c r="AJ63" s="740"/>
      <c r="AK63" s="740"/>
      <c r="AL63" s="740"/>
      <c r="AM63" s="740"/>
      <c r="AN63" s="740"/>
      <c r="AO63" s="740"/>
      <c r="AP63" s="740"/>
      <c r="AQ63" s="740"/>
    </row>
    <row r="64" spans="2:43" ht="15">
      <c r="B64" s="1318">
        <v>39772</v>
      </c>
      <c r="C64" s="1320">
        <v>1900</v>
      </c>
      <c r="D64" s="772">
        <v>1550</v>
      </c>
      <c r="E64" s="1335">
        <v>0</v>
      </c>
      <c r="F64" s="773">
        <f t="shared" si="14"/>
        <v>1550</v>
      </c>
      <c r="G64" s="773">
        <f t="shared" si="15"/>
        <v>117</v>
      </c>
      <c r="H64" s="773">
        <f t="shared" si="16"/>
        <v>199.6</v>
      </c>
      <c r="I64" s="773">
        <f t="shared" si="18"/>
        <v>102</v>
      </c>
      <c r="J64" s="773">
        <f t="shared" si="19"/>
        <v>0</v>
      </c>
      <c r="K64" s="773">
        <f t="shared" si="20"/>
        <v>0</v>
      </c>
      <c r="L64" s="773">
        <f t="shared" si="21"/>
        <v>0</v>
      </c>
      <c r="M64" s="773">
        <f t="shared" si="17"/>
        <v>1530.6</v>
      </c>
      <c r="Z64" s="740"/>
      <c r="AA64" s="740"/>
      <c r="AB64" s="740"/>
      <c r="AC64" s="740"/>
      <c r="AD64" s="740"/>
      <c r="AE64" s="740"/>
      <c r="AF64" s="740"/>
      <c r="AG64" s="740"/>
      <c r="AH64" s="740"/>
      <c r="AI64" s="740"/>
      <c r="AJ64" s="740"/>
      <c r="AK64" s="740"/>
      <c r="AL64" s="740"/>
      <c r="AM64" s="740"/>
      <c r="AN64" s="740"/>
      <c r="AO64" s="740"/>
      <c r="AP64" s="740"/>
      <c r="AQ64" s="740"/>
    </row>
    <row r="65" spans="2:43" ht="15.75" thickBot="1">
      <c r="B65" s="1319">
        <v>39797</v>
      </c>
      <c r="C65" s="1321">
        <v>1900</v>
      </c>
      <c r="D65" s="775">
        <v>1839</v>
      </c>
      <c r="E65" s="1336">
        <v>0</v>
      </c>
      <c r="F65" s="776">
        <f t="shared" si="14"/>
        <v>1839</v>
      </c>
      <c r="G65" s="776">
        <f t="shared" si="15"/>
        <v>137</v>
      </c>
      <c r="H65" s="776">
        <f t="shared" si="16"/>
        <v>199.6</v>
      </c>
      <c r="I65" s="776">
        <f t="shared" si="18"/>
        <v>115</v>
      </c>
      <c r="J65" s="776">
        <f t="shared" si="19"/>
        <v>0</v>
      </c>
      <c r="K65" s="776">
        <f t="shared" si="20"/>
        <v>0</v>
      </c>
      <c r="L65" s="776">
        <f t="shared" si="21"/>
        <v>0</v>
      </c>
      <c r="M65" s="776">
        <f t="shared" si="17"/>
        <v>1786.6</v>
      </c>
      <c r="Z65" s="740"/>
      <c r="AA65" s="740"/>
      <c r="AB65" s="740"/>
      <c r="AC65" s="740"/>
      <c r="AD65" s="740"/>
      <c r="AE65" s="740"/>
      <c r="AF65" s="740"/>
      <c r="AG65" s="740"/>
      <c r="AH65" s="740"/>
      <c r="AI65" s="740"/>
      <c r="AJ65" s="740"/>
      <c r="AK65" s="740"/>
      <c r="AL65" s="740"/>
      <c r="AM65" s="740"/>
      <c r="AN65" s="740"/>
      <c r="AO65" s="740"/>
      <c r="AP65" s="740"/>
      <c r="AQ65" s="740"/>
    </row>
    <row r="66" spans="2:43" ht="15">
      <c r="B66" s="761" t="s">
        <v>1106</v>
      </c>
      <c r="C66" s="780"/>
      <c r="D66" s="750">
        <f aca="true" t="shared" si="22" ref="D66:M66">SUM(D54:D65)</f>
        <v>23519</v>
      </c>
      <c r="E66" s="778">
        <f t="shared" si="22"/>
        <v>-361</v>
      </c>
      <c r="F66" s="778">
        <f t="shared" si="22"/>
        <v>23158</v>
      </c>
      <c r="G66" s="778">
        <f t="shared" si="22"/>
        <v>1588</v>
      </c>
      <c r="H66" s="778">
        <f t="shared" si="22"/>
        <v>2395.1999999999994</v>
      </c>
      <c r="I66" s="778">
        <f t="shared" si="22"/>
        <v>1378</v>
      </c>
      <c r="J66" s="778">
        <f t="shared" si="22"/>
        <v>9</v>
      </c>
      <c r="K66" s="778">
        <f t="shared" si="22"/>
        <v>0</v>
      </c>
      <c r="L66" s="778">
        <f t="shared" si="22"/>
        <v>0</v>
      </c>
      <c r="M66" s="778">
        <f t="shared" si="22"/>
        <v>22596.199999999997</v>
      </c>
      <c r="AH66" s="740"/>
      <c r="AI66" s="740"/>
      <c r="AJ66" s="740"/>
      <c r="AK66" s="740"/>
      <c r="AL66" s="740"/>
      <c r="AM66" s="740"/>
      <c r="AN66" s="740"/>
      <c r="AO66" s="740"/>
      <c r="AP66" s="740"/>
      <c r="AQ66" s="740"/>
    </row>
    <row r="67" spans="2:43" ht="15">
      <c r="B67" s="765" t="s">
        <v>1611</v>
      </c>
      <c r="C67" s="781"/>
      <c r="D67" s="755">
        <f aca="true" t="shared" si="23" ref="D67:L67">D66/12</f>
        <v>1959.9166666666667</v>
      </c>
      <c r="E67" s="773">
        <f t="shared" si="23"/>
        <v>-30.083333333333332</v>
      </c>
      <c r="F67" s="773">
        <f t="shared" si="23"/>
        <v>1929.8333333333333</v>
      </c>
      <c r="G67" s="773">
        <f t="shared" si="23"/>
        <v>132.33333333333334</v>
      </c>
      <c r="H67" s="773">
        <f t="shared" si="23"/>
        <v>199.59999999999994</v>
      </c>
      <c r="I67" s="773">
        <f t="shared" si="23"/>
        <v>114.83333333333333</v>
      </c>
      <c r="J67" s="773">
        <f t="shared" si="23"/>
        <v>0.75</v>
      </c>
      <c r="K67" s="773">
        <f t="shared" si="23"/>
        <v>0</v>
      </c>
      <c r="L67" s="773">
        <f t="shared" si="23"/>
        <v>0</v>
      </c>
      <c r="M67" s="773">
        <f>ROUND(M66/12,2)</f>
        <v>1883.02</v>
      </c>
      <c r="AH67" s="740"/>
      <c r="AI67" s="740"/>
      <c r="AJ67" s="740"/>
      <c r="AK67" s="740"/>
      <c r="AL67" s="740"/>
      <c r="AM67" s="740"/>
      <c r="AN67" s="740"/>
      <c r="AO67" s="740"/>
      <c r="AP67" s="740"/>
      <c r="AQ67" s="740"/>
    </row>
    <row r="68" spans="1:42" ht="20.25">
      <c r="A68" s="96" t="str">
        <f>A1</f>
        <v>Worksheet A-2 - WE Divisor</v>
      </c>
      <c r="B68" s="52"/>
      <c r="C68" s="52"/>
      <c r="M68" s="741"/>
      <c r="N68" s="741"/>
      <c r="O68" s="741"/>
      <c r="P68" s="741"/>
      <c r="Q68" s="769" t="s">
        <v>25</v>
      </c>
      <c r="AG68" s="740"/>
      <c r="AH68" s="740"/>
      <c r="AI68" s="740"/>
      <c r="AJ68" s="740"/>
      <c r="AK68" s="740"/>
      <c r="AL68" s="740"/>
      <c r="AM68" s="740"/>
      <c r="AN68" s="740"/>
      <c r="AO68" s="740"/>
      <c r="AP68" s="740"/>
    </row>
    <row r="69" spans="2:42" ht="15">
      <c r="B69" s="52"/>
      <c r="C69" s="52"/>
      <c r="M69" s="741"/>
      <c r="N69" s="741"/>
      <c r="O69" s="741"/>
      <c r="P69" s="741"/>
      <c r="Q69" s="741"/>
      <c r="AG69" s="740"/>
      <c r="AH69" s="740"/>
      <c r="AI69" s="740"/>
      <c r="AJ69" s="740"/>
      <c r="AK69" s="740"/>
      <c r="AL69" s="740"/>
      <c r="AM69" s="740"/>
      <c r="AN69" s="740"/>
      <c r="AO69" s="740"/>
      <c r="AP69" s="740"/>
    </row>
    <row r="70" spans="2:42" ht="18">
      <c r="B70" s="1417" t="s">
        <v>1603</v>
      </c>
      <c r="C70" s="1403"/>
      <c r="D70" s="1403"/>
      <c r="E70" s="1403"/>
      <c r="F70" s="1403"/>
      <c r="G70" s="1403"/>
      <c r="H70" s="1403"/>
      <c r="I70" s="1403"/>
      <c r="J70" s="1403"/>
      <c r="K70" s="1403"/>
      <c r="L70" s="1433"/>
      <c r="M70" s="1433"/>
      <c r="N70" s="1433"/>
      <c r="O70" s="1433"/>
      <c r="P70" s="1433"/>
      <c r="Q70" s="1433"/>
      <c r="AG70" s="740"/>
      <c r="AH70" s="740"/>
      <c r="AI70" s="740"/>
      <c r="AJ70" s="740"/>
      <c r="AK70" s="740"/>
      <c r="AL70" s="740"/>
      <c r="AM70" s="740"/>
      <c r="AN70" s="740"/>
      <c r="AO70" s="740"/>
      <c r="AP70" s="740"/>
    </row>
    <row r="71" spans="2:42" ht="18">
      <c r="B71" s="1417" t="s">
        <v>189</v>
      </c>
      <c r="C71" s="1403"/>
      <c r="D71" s="1403"/>
      <c r="E71" s="1403"/>
      <c r="F71" s="1403"/>
      <c r="G71" s="1403"/>
      <c r="H71" s="1403"/>
      <c r="I71" s="1403"/>
      <c r="J71" s="1403"/>
      <c r="K71" s="1403"/>
      <c r="L71" s="1433"/>
      <c r="M71" s="1433"/>
      <c r="N71" s="1433"/>
      <c r="O71" s="1433"/>
      <c r="P71" s="1433"/>
      <c r="Q71" s="1433"/>
      <c r="AG71" s="740"/>
      <c r="AH71" s="740"/>
      <c r="AI71" s="740"/>
      <c r="AJ71" s="740"/>
      <c r="AK71" s="740"/>
      <c r="AL71" s="740"/>
      <c r="AM71" s="740"/>
      <c r="AN71" s="740"/>
      <c r="AO71" s="740"/>
      <c r="AP71" s="740"/>
    </row>
    <row r="72" spans="2:42" ht="18">
      <c r="B72" s="88"/>
      <c r="C72" s="699"/>
      <c r="D72" s="699"/>
      <c r="E72" s="699"/>
      <c r="F72" s="699"/>
      <c r="G72" s="699"/>
      <c r="H72" s="699"/>
      <c r="I72" s="89" t="str">
        <f>G5</f>
        <v>For the 12 months ended - December 31, 2008</v>
      </c>
      <c r="K72" s="207"/>
      <c r="L72" s="543"/>
      <c r="M72" s="543"/>
      <c r="N72" s="543"/>
      <c r="O72" s="543"/>
      <c r="P72" s="543"/>
      <c r="Q72" s="543"/>
      <c r="AG72" s="740"/>
      <c r="AH72" s="740"/>
      <c r="AI72" s="740"/>
      <c r="AJ72" s="740"/>
      <c r="AK72" s="740"/>
      <c r="AL72" s="740"/>
      <c r="AM72" s="740"/>
      <c r="AN72" s="740"/>
      <c r="AO72" s="740"/>
      <c r="AP72" s="740"/>
    </row>
    <row r="73" spans="2:42" ht="15.75">
      <c r="B73" s="1413" t="s">
        <v>266</v>
      </c>
      <c r="C73" s="1403"/>
      <c r="D73" s="1403"/>
      <c r="E73" s="1403"/>
      <c r="F73" s="1403"/>
      <c r="G73" s="1403"/>
      <c r="H73" s="1403"/>
      <c r="I73" s="1403"/>
      <c r="J73" s="1403"/>
      <c r="K73" s="1403"/>
      <c r="L73" s="1403"/>
      <c r="M73" s="1403"/>
      <c r="N73" s="1403"/>
      <c r="O73" s="1403"/>
      <c r="P73" s="1403"/>
      <c r="Q73" s="1403"/>
      <c r="AG73" s="740"/>
      <c r="AH73" s="740"/>
      <c r="AI73" s="740"/>
      <c r="AJ73" s="740"/>
      <c r="AK73" s="740"/>
      <c r="AL73" s="740"/>
      <c r="AM73" s="740"/>
      <c r="AN73" s="740"/>
      <c r="AO73" s="740"/>
      <c r="AP73" s="740"/>
    </row>
    <row r="74" spans="2:42" ht="15">
      <c r="B74" s="699"/>
      <c r="AG74" s="740"/>
      <c r="AH74" s="740"/>
      <c r="AI74" s="740"/>
      <c r="AJ74" s="740"/>
      <c r="AK74" s="740"/>
      <c r="AL74" s="740"/>
      <c r="AM74" s="740"/>
      <c r="AN74" s="740"/>
      <c r="AO74" s="740"/>
      <c r="AP74" s="740"/>
    </row>
    <row r="75" spans="2:42" ht="15">
      <c r="B75" s="782" t="s">
        <v>1752</v>
      </c>
      <c r="C75" s="733" t="s">
        <v>667</v>
      </c>
      <c r="D75" s="32"/>
      <c r="E75" s="32"/>
      <c r="F75" s="32"/>
      <c r="G75" s="32"/>
      <c r="H75" s="35"/>
      <c r="I75" s="35"/>
      <c r="J75" s="35"/>
      <c r="K75" s="35"/>
      <c r="L75" s="35"/>
      <c r="M75" s="35"/>
      <c r="N75" s="35"/>
      <c r="O75" s="35"/>
      <c r="P75" s="35"/>
      <c r="Q75" s="35"/>
      <c r="AG75" s="740"/>
      <c r="AH75" s="740"/>
      <c r="AI75" s="740"/>
      <c r="AJ75" s="740"/>
      <c r="AK75" s="740"/>
      <c r="AL75" s="740"/>
      <c r="AM75" s="740"/>
      <c r="AN75" s="740"/>
      <c r="AO75" s="740"/>
      <c r="AP75" s="740"/>
    </row>
    <row r="76" spans="2:42" ht="15">
      <c r="B76" s="46"/>
      <c r="C76" s="32"/>
      <c r="D76" s="32"/>
      <c r="E76" s="32"/>
      <c r="F76" s="32"/>
      <c r="G76" s="32"/>
      <c r="H76" s="35"/>
      <c r="I76" s="35"/>
      <c r="J76" s="35"/>
      <c r="K76" s="35"/>
      <c r="L76" s="35"/>
      <c r="M76" s="35"/>
      <c r="N76" s="35"/>
      <c r="O76" s="35"/>
      <c r="P76" s="35"/>
      <c r="Q76" s="35"/>
      <c r="AG76" s="740"/>
      <c r="AH76" s="740"/>
      <c r="AI76" s="740"/>
      <c r="AJ76" s="740"/>
      <c r="AK76" s="740"/>
      <c r="AL76" s="740"/>
      <c r="AM76" s="740"/>
      <c r="AN76" s="740"/>
      <c r="AO76" s="740"/>
      <c r="AP76" s="740"/>
    </row>
    <row r="77" spans="2:42" ht="15">
      <c r="B77" s="782" t="s">
        <v>1456</v>
      </c>
      <c r="C77" s="733" t="s">
        <v>426</v>
      </c>
      <c r="D77" s="32"/>
      <c r="E77" s="32"/>
      <c r="F77" s="32"/>
      <c r="G77" s="32"/>
      <c r="H77" s="35"/>
      <c r="I77" s="35"/>
      <c r="J77" s="35"/>
      <c r="K77" s="35"/>
      <c r="L77" s="35"/>
      <c r="M77" s="35"/>
      <c r="N77" s="35"/>
      <c r="O77" s="35"/>
      <c r="P77" s="35"/>
      <c r="Q77" s="35"/>
      <c r="AG77" s="740"/>
      <c r="AH77" s="740"/>
      <c r="AI77" s="740"/>
      <c r="AJ77" s="740"/>
      <c r="AK77" s="740"/>
      <c r="AL77" s="740"/>
      <c r="AM77" s="740"/>
      <c r="AN77" s="740"/>
      <c r="AO77" s="740"/>
      <c r="AP77" s="740"/>
    </row>
    <row r="78" spans="2:42" ht="15">
      <c r="B78" s="46"/>
      <c r="C78" s="32"/>
      <c r="D78" s="32"/>
      <c r="E78" s="32"/>
      <c r="F78" s="32"/>
      <c r="G78" s="32"/>
      <c r="H78" s="35"/>
      <c r="I78" s="35"/>
      <c r="J78" s="35"/>
      <c r="K78" s="35"/>
      <c r="L78" s="35"/>
      <c r="M78" s="35"/>
      <c r="N78" s="35"/>
      <c r="O78" s="35"/>
      <c r="P78" s="35"/>
      <c r="Q78" s="35"/>
      <c r="AG78" s="740"/>
      <c r="AH78" s="740"/>
      <c r="AI78" s="740"/>
      <c r="AJ78" s="740"/>
      <c r="AK78" s="740"/>
      <c r="AL78" s="740"/>
      <c r="AM78" s="740"/>
      <c r="AN78" s="740"/>
      <c r="AO78" s="740"/>
      <c r="AP78" s="740"/>
    </row>
    <row r="79" spans="2:42" ht="15">
      <c r="B79" s="782" t="s">
        <v>1457</v>
      </c>
      <c r="C79" s="733" t="s">
        <v>267</v>
      </c>
      <c r="D79" s="32"/>
      <c r="E79" s="32"/>
      <c r="F79" s="32"/>
      <c r="G79" s="32"/>
      <c r="H79" s="35"/>
      <c r="I79" s="35"/>
      <c r="J79" s="35"/>
      <c r="K79" s="35"/>
      <c r="L79" s="35"/>
      <c r="M79" s="35"/>
      <c r="N79" s="35"/>
      <c r="O79" s="35"/>
      <c r="P79" s="35"/>
      <c r="Q79" s="35"/>
      <c r="AG79" s="740"/>
      <c r="AH79" s="740"/>
      <c r="AI79" s="740"/>
      <c r="AJ79" s="740"/>
      <c r="AK79" s="740"/>
      <c r="AL79" s="740"/>
      <c r="AM79" s="740"/>
      <c r="AN79" s="740"/>
      <c r="AO79" s="740"/>
      <c r="AP79" s="740"/>
    </row>
    <row r="80" spans="2:42" ht="15">
      <c r="B80" s="46"/>
      <c r="C80" s="32"/>
      <c r="D80" s="32"/>
      <c r="E80" s="32"/>
      <c r="F80" s="32"/>
      <c r="G80" s="32"/>
      <c r="H80" s="35"/>
      <c r="I80" s="35"/>
      <c r="J80" s="35"/>
      <c r="K80" s="35"/>
      <c r="L80" s="35"/>
      <c r="M80" s="35"/>
      <c r="N80" s="35"/>
      <c r="O80" s="35"/>
      <c r="P80" s="35"/>
      <c r="Q80" s="35"/>
      <c r="Y80" s="740"/>
      <c r="Z80" s="740"/>
      <c r="AA80" s="740"/>
      <c r="AB80" s="740"/>
      <c r="AC80" s="740"/>
      <c r="AD80" s="740"/>
      <c r="AE80" s="740"/>
      <c r="AF80" s="740"/>
      <c r="AG80" s="740"/>
      <c r="AH80" s="740"/>
      <c r="AI80" s="740"/>
      <c r="AJ80" s="740"/>
      <c r="AK80" s="740"/>
      <c r="AL80" s="740"/>
      <c r="AM80" s="740"/>
      <c r="AN80" s="740"/>
      <c r="AO80" s="740"/>
      <c r="AP80" s="740"/>
    </row>
    <row r="81" spans="2:42" ht="15">
      <c r="B81" s="782" t="s">
        <v>1458</v>
      </c>
      <c r="C81" s="733" t="s">
        <v>212</v>
      </c>
      <c r="D81" s="32"/>
      <c r="E81" s="32"/>
      <c r="F81" s="32"/>
      <c r="G81" s="32"/>
      <c r="H81" s="35"/>
      <c r="I81" s="35"/>
      <c r="J81" s="35"/>
      <c r="K81" s="35"/>
      <c r="L81" s="35"/>
      <c r="M81" s="35"/>
      <c r="N81" s="35"/>
      <c r="O81" s="35"/>
      <c r="P81" s="35"/>
      <c r="Q81" s="35"/>
      <c r="Y81" s="740"/>
      <c r="Z81" s="740"/>
      <c r="AA81" s="740"/>
      <c r="AB81" s="740"/>
      <c r="AC81" s="740"/>
      <c r="AD81" s="740"/>
      <c r="AE81" s="740"/>
      <c r="AF81" s="740"/>
      <c r="AG81" s="740"/>
      <c r="AH81" s="740"/>
      <c r="AI81" s="740"/>
      <c r="AJ81" s="740"/>
      <c r="AK81" s="740"/>
      <c r="AL81" s="740"/>
      <c r="AM81" s="740"/>
      <c r="AN81" s="740"/>
      <c r="AO81" s="740"/>
      <c r="AP81" s="740"/>
    </row>
    <row r="82" spans="2:42" ht="15">
      <c r="B82" s="782"/>
      <c r="C82" s="733" t="s">
        <v>247</v>
      </c>
      <c r="D82" s="32"/>
      <c r="E82" s="32"/>
      <c r="F82" s="32"/>
      <c r="G82" s="32"/>
      <c r="H82" s="35"/>
      <c r="I82" s="35"/>
      <c r="J82" s="35"/>
      <c r="K82" s="35"/>
      <c r="L82" s="35"/>
      <c r="M82" s="35"/>
      <c r="N82" s="35"/>
      <c r="O82" s="35"/>
      <c r="P82" s="35"/>
      <c r="Q82" s="35"/>
      <c r="Y82" s="740"/>
      <c r="Z82" s="740"/>
      <c r="AA82" s="740"/>
      <c r="AB82" s="740"/>
      <c r="AC82" s="740"/>
      <c r="AD82" s="740"/>
      <c r="AE82" s="740"/>
      <c r="AF82" s="740"/>
      <c r="AG82" s="740"/>
      <c r="AH82" s="740"/>
      <c r="AI82" s="740"/>
      <c r="AJ82" s="740"/>
      <c r="AK82" s="740"/>
      <c r="AL82" s="740"/>
      <c r="AM82" s="740"/>
      <c r="AN82" s="740"/>
      <c r="AO82" s="740"/>
      <c r="AP82" s="740"/>
    </row>
    <row r="83" spans="2:42" ht="15">
      <c r="B83" s="782"/>
      <c r="D83" s="32"/>
      <c r="E83" s="32"/>
      <c r="F83" s="32"/>
      <c r="G83" s="32"/>
      <c r="H83" s="35"/>
      <c r="I83" s="35"/>
      <c r="J83" s="35"/>
      <c r="K83" s="35"/>
      <c r="L83" s="35"/>
      <c r="M83" s="35"/>
      <c r="N83" s="35"/>
      <c r="O83" s="35"/>
      <c r="P83" s="35"/>
      <c r="Q83" s="35"/>
      <c r="Y83" s="740"/>
      <c r="Z83" s="740"/>
      <c r="AA83" s="740"/>
      <c r="AB83" s="740"/>
      <c r="AC83" s="740"/>
      <c r="AD83" s="740"/>
      <c r="AE83" s="740"/>
      <c r="AF83" s="740"/>
      <c r="AG83" s="740"/>
      <c r="AH83" s="740"/>
      <c r="AI83" s="740"/>
      <c r="AJ83" s="740"/>
      <c r="AK83" s="740"/>
      <c r="AL83" s="740"/>
      <c r="AM83" s="740"/>
      <c r="AN83" s="740"/>
      <c r="AO83" s="740"/>
      <c r="AP83" s="740"/>
    </row>
    <row r="84" spans="2:42" ht="15">
      <c r="B84" s="46"/>
      <c r="C84" s="32"/>
      <c r="D84" s="32"/>
      <c r="E84" s="32"/>
      <c r="F84" s="670"/>
      <c r="G84" s="670"/>
      <c r="H84" s="801" t="s">
        <v>1620</v>
      </c>
      <c r="I84" s="671"/>
      <c r="J84" s="671"/>
      <c r="K84" s="671"/>
      <c r="L84" s="671"/>
      <c r="M84" s="671"/>
      <c r="N84" s="671"/>
      <c r="O84" s="1329" t="s">
        <v>1623</v>
      </c>
      <c r="P84" s="801" t="s">
        <v>1623</v>
      </c>
      <c r="Q84" s="668" t="s">
        <v>1618</v>
      </c>
      <c r="Y84" s="740"/>
      <c r="Z84" s="740"/>
      <c r="AA84" s="740"/>
      <c r="AB84" s="740"/>
      <c r="AC84" s="740"/>
      <c r="AD84" s="740"/>
      <c r="AE84" s="740"/>
      <c r="AF84" s="740"/>
      <c r="AG84" s="740"/>
      <c r="AH84" s="740"/>
      <c r="AI84" s="740"/>
      <c r="AJ84" s="740"/>
      <c r="AK84" s="740"/>
      <c r="AL84" s="740"/>
      <c r="AM84" s="740"/>
      <c r="AN84" s="740"/>
      <c r="AO84" s="740"/>
      <c r="AP84" s="740"/>
    </row>
    <row r="85" spans="2:42" ht="15">
      <c r="B85" s="46"/>
      <c r="C85" s="32"/>
      <c r="D85" s="32"/>
      <c r="E85" s="32"/>
      <c r="F85" s="672"/>
      <c r="G85" s="672" t="s">
        <v>1619</v>
      </c>
      <c r="H85" s="672" t="s">
        <v>350</v>
      </c>
      <c r="I85" s="672" t="s">
        <v>1621</v>
      </c>
      <c r="J85" s="672" t="s">
        <v>788</v>
      </c>
      <c r="K85" s="673" t="s">
        <v>1622</v>
      </c>
      <c r="L85" s="673" t="s">
        <v>349</v>
      </c>
      <c r="M85" s="803" t="s">
        <v>1208</v>
      </c>
      <c r="N85" s="674"/>
      <c r="O85" s="673" t="s">
        <v>383</v>
      </c>
      <c r="P85" s="673" t="s">
        <v>383</v>
      </c>
      <c r="Q85" s="56" t="s">
        <v>1624</v>
      </c>
      <c r="Y85" s="740"/>
      <c r="Z85" s="740"/>
      <c r="AA85" s="740"/>
      <c r="AB85" s="740"/>
      <c r="AC85" s="740"/>
      <c r="AD85" s="740"/>
      <c r="AE85" s="740"/>
      <c r="AF85" s="740"/>
      <c r="AG85" s="740"/>
      <c r="AH85" s="740"/>
      <c r="AI85" s="740"/>
      <c r="AJ85" s="740"/>
      <c r="AK85" s="740"/>
      <c r="AL85" s="740"/>
      <c r="AM85" s="740"/>
      <c r="AN85" s="740"/>
      <c r="AO85" s="740"/>
      <c r="AP85" s="740"/>
    </row>
    <row r="86" spans="2:42" ht="15">
      <c r="B86" s="46"/>
      <c r="C86" s="57"/>
      <c r="D86" s="783"/>
      <c r="E86" s="57"/>
      <c r="F86" s="784" t="s">
        <v>1610</v>
      </c>
      <c r="G86" s="785" t="s">
        <v>1625</v>
      </c>
      <c r="H86" s="785" t="s">
        <v>1626</v>
      </c>
      <c r="I86" s="785" t="s">
        <v>1627</v>
      </c>
      <c r="J86" s="785" t="s">
        <v>1628</v>
      </c>
      <c r="K86" s="785" t="s">
        <v>381</v>
      </c>
      <c r="L86" s="784" t="s">
        <v>381</v>
      </c>
      <c r="M86" s="785" t="s">
        <v>1209</v>
      </c>
      <c r="N86" s="785" t="s">
        <v>382</v>
      </c>
      <c r="O86" s="785" t="s">
        <v>351</v>
      </c>
      <c r="P86" s="784" t="s">
        <v>352</v>
      </c>
      <c r="Q86" s="786" t="s">
        <v>384</v>
      </c>
      <c r="Y86" s="740"/>
      <c r="Z86" s="740"/>
      <c r="AA86" s="740"/>
      <c r="AB86" s="740"/>
      <c r="AC86" s="740"/>
      <c r="AD86" s="740"/>
      <c r="AE86" s="740"/>
      <c r="AF86" s="740"/>
      <c r="AG86" s="740"/>
      <c r="AH86" s="740"/>
      <c r="AI86" s="740"/>
      <c r="AJ86" s="740"/>
      <c r="AK86" s="740"/>
      <c r="AL86" s="740"/>
      <c r="AM86" s="740"/>
      <c r="AN86" s="740"/>
      <c r="AO86" s="740"/>
      <c r="AP86" s="740"/>
    </row>
    <row r="87" spans="2:54" ht="15">
      <c r="B87" s="46"/>
      <c r="C87" s="59" t="s">
        <v>385</v>
      </c>
      <c r="D87" s="103">
        <f aca="true" t="shared" si="24" ref="D87:D98">+C11</f>
        <v>800</v>
      </c>
      <c r="E87" s="102">
        <f aca="true" t="shared" si="25" ref="E87:E98">+B11</f>
        <v>39471</v>
      </c>
      <c r="F87" s="787"/>
      <c r="G87" s="787">
        <v>0</v>
      </c>
      <c r="H87" s="787">
        <v>4</v>
      </c>
      <c r="I87" s="787">
        <v>42</v>
      </c>
      <c r="J87" s="787">
        <v>18</v>
      </c>
      <c r="K87" s="788">
        <v>0</v>
      </c>
      <c r="L87" s="788">
        <v>0</v>
      </c>
      <c r="M87" s="787">
        <v>0</v>
      </c>
      <c r="N87" s="787">
        <v>110</v>
      </c>
      <c r="O87" s="787">
        <v>20</v>
      </c>
      <c r="P87" s="787">
        <v>118</v>
      </c>
      <c r="Q87" s="669">
        <f aca="true" t="shared" si="26" ref="Q87:Q98">ROUND(SUM(F87:P87),1)</f>
        <v>312</v>
      </c>
      <c r="AA87" s="60"/>
      <c r="AB87" s="60"/>
      <c r="AC87" s="60"/>
      <c r="AD87" s="60"/>
      <c r="AE87" s="60"/>
      <c r="AF87" s="60"/>
      <c r="AG87" s="60"/>
      <c r="AH87" s="60"/>
      <c r="AI87" s="60"/>
      <c r="AJ87" s="60"/>
      <c r="AK87" s="60"/>
      <c r="AL87" s="60"/>
      <c r="AM87" s="60"/>
      <c r="AN87" s="60"/>
      <c r="AO87" s="60"/>
      <c r="AP87" s="60"/>
      <c r="AQ87" s="57"/>
      <c r="AR87" s="57"/>
      <c r="AS87" s="57"/>
      <c r="AT87" s="57"/>
      <c r="AU87" s="57"/>
      <c r="AV87" s="57"/>
      <c r="AW87" s="57"/>
      <c r="AX87" s="57"/>
      <c r="AY87" s="57"/>
      <c r="AZ87" s="57"/>
      <c r="BA87" s="57"/>
      <c r="BB87" s="57"/>
    </row>
    <row r="88" spans="2:42" ht="15">
      <c r="B88" s="46"/>
      <c r="C88" s="59" t="s">
        <v>386</v>
      </c>
      <c r="D88" s="103">
        <f t="shared" si="24"/>
        <v>1900</v>
      </c>
      <c r="E88" s="102">
        <f t="shared" si="25"/>
        <v>39498</v>
      </c>
      <c r="F88" s="789"/>
      <c r="G88" s="789">
        <v>0</v>
      </c>
      <c r="H88" s="789">
        <v>4</v>
      </c>
      <c r="I88" s="789">
        <v>42</v>
      </c>
      <c r="J88" s="789">
        <v>18</v>
      </c>
      <c r="K88" s="790">
        <v>0</v>
      </c>
      <c r="L88" s="790">
        <v>0</v>
      </c>
      <c r="M88" s="789">
        <v>3</v>
      </c>
      <c r="N88" s="789">
        <v>108</v>
      </c>
      <c r="O88" s="789">
        <v>0</v>
      </c>
      <c r="P88" s="789">
        <v>110</v>
      </c>
      <c r="Q88" s="293">
        <f t="shared" si="26"/>
        <v>285</v>
      </c>
      <c r="AA88" s="740"/>
      <c r="AB88" s="740"/>
      <c r="AC88" s="740"/>
      <c r="AD88" s="740"/>
      <c r="AE88" s="740"/>
      <c r="AF88" s="740"/>
      <c r="AG88" s="740"/>
      <c r="AH88" s="740"/>
      <c r="AI88" s="740"/>
      <c r="AJ88" s="740"/>
      <c r="AK88" s="740"/>
      <c r="AL88" s="740"/>
      <c r="AM88" s="740"/>
      <c r="AN88" s="740"/>
      <c r="AO88" s="740"/>
      <c r="AP88" s="740"/>
    </row>
    <row r="89" spans="2:42" ht="15">
      <c r="B89" s="46"/>
      <c r="C89" s="59" t="s">
        <v>387</v>
      </c>
      <c r="D89" s="103">
        <f t="shared" si="24"/>
        <v>2000</v>
      </c>
      <c r="E89" s="102">
        <f t="shared" si="25"/>
        <v>39514</v>
      </c>
      <c r="F89" s="789"/>
      <c r="G89" s="789">
        <v>0</v>
      </c>
      <c r="H89" s="789">
        <v>4</v>
      </c>
      <c r="I89" s="789">
        <v>28</v>
      </c>
      <c r="J89" s="789">
        <v>12</v>
      </c>
      <c r="K89" s="790">
        <v>0</v>
      </c>
      <c r="L89" s="790">
        <v>0</v>
      </c>
      <c r="M89" s="789">
        <v>3</v>
      </c>
      <c r="N89" s="789">
        <v>103</v>
      </c>
      <c r="O89" s="789">
        <v>0</v>
      </c>
      <c r="P89" s="789">
        <v>83</v>
      </c>
      <c r="Q89" s="293">
        <f t="shared" si="26"/>
        <v>233</v>
      </c>
      <c r="AA89" s="740"/>
      <c r="AB89" s="740"/>
      <c r="AC89" s="740"/>
      <c r="AD89" s="740"/>
      <c r="AE89" s="740"/>
      <c r="AF89" s="740"/>
      <c r="AG89" s="740"/>
      <c r="AH89" s="740"/>
      <c r="AI89" s="740"/>
      <c r="AJ89" s="740"/>
      <c r="AK89" s="740"/>
      <c r="AL89" s="740"/>
      <c r="AM89" s="740"/>
      <c r="AN89" s="740"/>
      <c r="AO89" s="740"/>
      <c r="AP89" s="740"/>
    </row>
    <row r="90" spans="2:42" ht="15">
      <c r="B90" s="46"/>
      <c r="C90" s="59" t="s">
        <v>388</v>
      </c>
      <c r="D90" s="103">
        <f t="shared" si="24"/>
        <v>1700</v>
      </c>
      <c r="E90" s="102">
        <f t="shared" si="25"/>
        <v>39559</v>
      </c>
      <c r="F90" s="789"/>
      <c r="G90" s="789">
        <v>1</v>
      </c>
      <c r="H90" s="789">
        <v>4</v>
      </c>
      <c r="I90" s="789">
        <v>28</v>
      </c>
      <c r="J90" s="789">
        <v>12</v>
      </c>
      <c r="K90" s="790">
        <v>0</v>
      </c>
      <c r="L90" s="790">
        <v>0</v>
      </c>
      <c r="M90" s="789">
        <v>3</v>
      </c>
      <c r="N90" s="789">
        <v>96</v>
      </c>
      <c r="O90" s="789">
        <v>0</v>
      </c>
      <c r="P90" s="789">
        <v>71</v>
      </c>
      <c r="Q90" s="293">
        <f t="shared" si="26"/>
        <v>215</v>
      </c>
      <c r="AA90" s="740"/>
      <c r="AB90" s="740"/>
      <c r="AC90" s="740"/>
      <c r="AD90" s="740"/>
      <c r="AE90" s="740"/>
      <c r="AF90" s="740"/>
      <c r="AG90" s="740"/>
      <c r="AH90" s="740"/>
      <c r="AI90" s="740"/>
      <c r="AJ90" s="740"/>
      <c r="AK90" s="740"/>
      <c r="AL90" s="740"/>
      <c r="AM90" s="740"/>
      <c r="AN90" s="740"/>
      <c r="AO90" s="740"/>
      <c r="AP90" s="740"/>
    </row>
    <row r="91" spans="2:42" ht="15">
      <c r="B91" s="46"/>
      <c r="C91" s="59" t="s">
        <v>30</v>
      </c>
      <c r="D91" s="103">
        <f t="shared" si="24"/>
        <v>1700</v>
      </c>
      <c r="E91" s="102">
        <f t="shared" si="25"/>
        <v>39598</v>
      </c>
      <c r="F91" s="789"/>
      <c r="G91" s="789">
        <v>2</v>
      </c>
      <c r="H91" s="789">
        <v>4</v>
      </c>
      <c r="I91" s="789">
        <v>42</v>
      </c>
      <c r="J91" s="789">
        <v>18</v>
      </c>
      <c r="K91" s="790">
        <v>0</v>
      </c>
      <c r="L91" s="790">
        <v>0</v>
      </c>
      <c r="M91" s="789">
        <v>3</v>
      </c>
      <c r="N91" s="789">
        <v>114</v>
      </c>
      <c r="O91" s="789">
        <v>0</v>
      </c>
      <c r="P91" s="789">
        <v>107</v>
      </c>
      <c r="Q91" s="293">
        <f t="shared" si="26"/>
        <v>290</v>
      </c>
      <c r="AA91" s="740"/>
      <c r="AB91" s="740"/>
      <c r="AC91" s="740"/>
      <c r="AD91" s="740"/>
      <c r="AE91" s="740"/>
      <c r="AF91" s="740"/>
      <c r="AG91" s="740"/>
      <c r="AH91" s="740"/>
      <c r="AI91" s="740"/>
      <c r="AJ91" s="740"/>
      <c r="AK91" s="740"/>
      <c r="AL91" s="740"/>
      <c r="AM91" s="740"/>
      <c r="AN91" s="740"/>
      <c r="AO91" s="740"/>
      <c r="AP91" s="740"/>
    </row>
    <row r="92" spans="2:42" ht="15">
      <c r="B92" s="46"/>
      <c r="C92" s="59" t="s">
        <v>389</v>
      </c>
      <c r="D92" s="103">
        <f t="shared" si="24"/>
        <v>1700</v>
      </c>
      <c r="E92" s="102">
        <f t="shared" si="25"/>
        <v>39624</v>
      </c>
      <c r="F92" s="789"/>
      <c r="G92" s="789">
        <v>1</v>
      </c>
      <c r="H92" s="789">
        <v>4</v>
      </c>
      <c r="I92" s="789">
        <v>0</v>
      </c>
      <c r="J92" s="789">
        <v>9</v>
      </c>
      <c r="K92" s="790">
        <v>1</v>
      </c>
      <c r="L92" s="790">
        <v>1</v>
      </c>
      <c r="M92" s="789">
        <v>3</v>
      </c>
      <c r="N92" s="789">
        <v>127</v>
      </c>
      <c r="O92" s="789">
        <v>25</v>
      </c>
      <c r="P92" s="789">
        <v>102</v>
      </c>
      <c r="Q92" s="293">
        <f t="shared" si="26"/>
        <v>273</v>
      </c>
      <c r="AA92" s="740"/>
      <c r="AB92" s="740"/>
      <c r="AC92" s="740"/>
      <c r="AD92" s="740"/>
      <c r="AE92" s="740"/>
      <c r="AF92" s="740"/>
      <c r="AG92" s="740"/>
      <c r="AH92" s="740"/>
      <c r="AI92" s="740"/>
      <c r="AJ92" s="740"/>
      <c r="AK92" s="740"/>
      <c r="AL92" s="740"/>
      <c r="AM92" s="740"/>
      <c r="AN92" s="740"/>
      <c r="AO92" s="740"/>
      <c r="AP92" s="740"/>
    </row>
    <row r="93" spans="2:42" ht="15">
      <c r="B93" s="46"/>
      <c r="C93" s="59" t="s">
        <v>390</v>
      </c>
      <c r="D93" s="103">
        <f t="shared" si="24"/>
        <v>1700</v>
      </c>
      <c r="E93" s="102">
        <f t="shared" si="25"/>
        <v>39650</v>
      </c>
      <c r="F93" s="789"/>
      <c r="G93" s="789">
        <v>2</v>
      </c>
      <c r="H93" s="789">
        <v>4</v>
      </c>
      <c r="I93" s="789">
        <v>10</v>
      </c>
      <c r="J93" s="789">
        <v>9</v>
      </c>
      <c r="K93" s="790">
        <v>0</v>
      </c>
      <c r="L93" s="790">
        <v>0</v>
      </c>
      <c r="M93" s="789">
        <v>3</v>
      </c>
      <c r="N93" s="789">
        <v>126</v>
      </c>
      <c r="O93" s="789">
        <v>45</v>
      </c>
      <c r="P93" s="789">
        <v>108</v>
      </c>
      <c r="Q93" s="293">
        <f t="shared" si="26"/>
        <v>307</v>
      </c>
      <c r="AA93" s="740"/>
      <c r="AB93" s="740"/>
      <c r="AC93" s="740"/>
      <c r="AD93" s="740"/>
      <c r="AE93" s="740"/>
      <c r="AF93" s="740"/>
      <c r="AG93" s="740"/>
      <c r="AH93" s="740"/>
      <c r="AI93" s="740"/>
      <c r="AJ93" s="740"/>
      <c r="AK93" s="740"/>
      <c r="AL93" s="740"/>
      <c r="AM93" s="740"/>
      <c r="AN93" s="740"/>
      <c r="AO93" s="740"/>
      <c r="AP93" s="740"/>
    </row>
    <row r="94" spans="2:42" ht="15">
      <c r="B94" s="46"/>
      <c r="C94" s="59" t="s">
        <v>391</v>
      </c>
      <c r="D94" s="103">
        <f t="shared" si="24"/>
        <v>1700</v>
      </c>
      <c r="E94" s="102">
        <f t="shared" si="25"/>
        <v>39664</v>
      </c>
      <c r="F94" s="789"/>
      <c r="G94" s="789">
        <v>2</v>
      </c>
      <c r="H94" s="789">
        <v>4</v>
      </c>
      <c r="I94" s="789">
        <v>0</v>
      </c>
      <c r="J94" s="789">
        <v>9</v>
      </c>
      <c r="K94" s="790">
        <v>0</v>
      </c>
      <c r="L94" s="790">
        <v>0</v>
      </c>
      <c r="M94" s="789">
        <v>3</v>
      </c>
      <c r="N94" s="789">
        <v>129</v>
      </c>
      <c r="O94" s="789">
        <v>40</v>
      </c>
      <c r="P94" s="789">
        <v>100</v>
      </c>
      <c r="Q94" s="293">
        <f t="shared" si="26"/>
        <v>287</v>
      </c>
      <c r="AA94" s="740"/>
      <c r="AB94" s="740"/>
      <c r="AC94" s="740"/>
      <c r="AD94" s="740"/>
      <c r="AE94" s="740"/>
      <c r="AF94" s="740"/>
      <c r="AG94" s="740"/>
      <c r="AH94" s="740"/>
      <c r="AI94" s="740"/>
      <c r="AJ94" s="740"/>
      <c r="AK94" s="740"/>
      <c r="AL94" s="740"/>
      <c r="AM94" s="740"/>
      <c r="AN94" s="740"/>
      <c r="AO94" s="740"/>
      <c r="AP94" s="740"/>
    </row>
    <row r="95" spans="2:42" ht="15">
      <c r="B95" s="46"/>
      <c r="C95" s="59" t="s">
        <v>392</v>
      </c>
      <c r="D95" s="103">
        <f t="shared" si="24"/>
        <v>1800</v>
      </c>
      <c r="E95" s="102">
        <f t="shared" si="25"/>
        <v>39692</v>
      </c>
      <c r="F95" s="789"/>
      <c r="G95" s="789">
        <v>0</v>
      </c>
      <c r="H95" s="789">
        <v>4</v>
      </c>
      <c r="I95" s="789">
        <v>28</v>
      </c>
      <c r="J95" s="789">
        <v>12</v>
      </c>
      <c r="K95" s="790">
        <v>0</v>
      </c>
      <c r="L95" s="790">
        <v>0</v>
      </c>
      <c r="M95" s="789">
        <v>3</v>
      </c>
      <c r="N95" s="789">
        <v>113</v>
      </c>
      <c r="O95" s="789">
        <v>0</v>
      </c>
      <c r="P95" s="789">
        <v>76</v>
      </c>
      <c r="Q95" s="293">
        <f t="shared" si="26"/>
        <v>236</v>
      </c>
      <c r="AA95" s="740"/>
      <c r="AB95" s="740"/>
      <c r="AC95" s="740"/>
      <c r="AD95" s="740"/>
      <c r="AE95" s="740"/>
      <c r="AF95" s="740"/>
      <c r="AG95" s="740"/>
      <c r="AH95" s="740"/>
      <c r="AI95" s="740"/>
      <c r="AJ95" s="740"/>
      <c r="AK95" s="740"/>
      <c r="AL95" s="740"/>
      <c r="AM95" s="740"/>
      <c r="AN95" s="740"/>
      <c r="AO95" s="740"/>
      <c r="AP95" s="740"/>
    </row>
    <row r="96" spans="2:42" ht="15">
      <c r="B96" s="46"/>
      <c r="C96" s="59" t="s">
        <v>393</v>
      </c>
      <c r="D96" s="103">
        <f t="shared" si="24"/>
        <v>1700</v>
      </c>
      <c r="E96" s="102">
        <f t="shared" si="25"/>
        <v>39730</v>
      </c>
      <c r="F96" s="789"/>
      <c r="G96" s="789">
        <v>2</v>
      </c>
      <c r="H96" s="789">
        <v>4</v>
      </c>
      <c r="I96" s="789">
        <v>28</v>
      </c>
      <c r="J96" s="789">
        <v>12</v>
      </c>
      <c r="K96" s="790">
        <v>0</v>
      </c>
      <c r="L96" s="790">
        <v>0</v>
      </c>
      <c r="M96" s="789">
        <v>3</v>
      </c>
      <c r="N96" s="789">
        <v>103</v>
      </c>
      <c r="O96" s="789">
        <v>0</v>
      </c>
      <c r="P96" s="789">
        <v>78</v>
      </c>
      <c r="Q96" s="293">
        <f t="shared" si="26"/>
        <v>230</v>
      </c>
      <c r="AA96" s="740"/>
      <c r="AB96" s="740"/>
      <c r="AC96" s="740"/>
      <c r="AD96" s="740"/>
      <c r="AE96" s="740"/>
      <c r="AF96" s="740"/>
      <c r="AG96" s="740"/>
      <c r="AH96" s="740"/>
      <c r="AI96" s="740"/>
      <c r="AJ96" s="740"/>
      <c r="AK96" s="740"/>
      <c r="AL96" s="740"/>
      <c r="AM96" s="740"/>
      <c r="AN96" s="740"/>
      <c r="AO96" s="740"/>
      <c r="AP96" s="740"/>
    </row>
    <row r="97" spans="2:42" ht="15">
      <c r="B97" s="46"/>
      <c r="C97" s="59" t="s">
        <v>394</v>
      </c>
      <c r="D97" s="103">
        <f t="shared" si="24"/>
        <v>1900</v>
      </c>
      <c r="E97" s="102">
        <f t="shared" si="25"/>
        <v>39772</v>
      </c>
      <c r="F97" s="789"/>
      <c r="G97" s="789">
        <v>1</v>
      </c>
      <c r="H97" s="789">
        <v>4</v>
      </c>
      <c r="I97" s="789">
        <v>14</v>
      </c>
      <c r="J97" s="789">
        <v>12</v>
      </c>
      <c r="K97" s="790">
        <v>0</v>
      </c>
      <c r="L97" s="790">
        <v>0</v>
      </c>
      <c r="M97" s="789">
        <v>3</v>
      </c>
      <c r="N97" s="789">
        <v>106</v>
      </c>
      <c r="O97" s="789">
        <v>0</v>
      </c>
      <c r="P97" s="789">
        <v>94</v>
      </c>
      <c r="Q97" s="293">
        <f t="shared" si="26"/>
        <v>234</v>
      </c>
      <c r="AA97" s="740"/>
      <c r="AB97" s="740"/>
      <c r="AC97" s="740"/>
      <c r="AD97" s="740"/>
      <c r="AE97" s="740"/>
      <c r="AF97" s="740"/>
      <c r="AG97" s="740"/>
      <c r="AH97" s="740"/>
      <c r="AI97" s="740"/>
      <c r="AJ97" s="740"/>
      <c r="AK97" s="740"/>
      <c r="AL97" s="740"/>
      <c r="AM97" s="740"/>
      <c r="AN97" s="740"/>
      <c r="AO97" s="740"/>
      <c r="AP97" s="740"/>
    </row>
    <row r="98" spans="2:42" ht="15">
      <c r="B98" s="46"/>
      <c r="C98" s="59" t="s">
        <v>395</v>
      </c>
      <c r="D98" s="103">
        <f t="shared" si="24"/>
        <v>1900</v>
      </c>
      <c r="E98" s="102">
        <f t="shared" si="25"/>
        <v>39797</v>
      </c>
      <c r="F98" s="789"/>
      <c r="G98" s="789">
        <v>2</v>
      </c>
      <c r="H98" s="789">
        <v>4</v>
      </c>
      <c r="I98" s="789">
        <v>38</v>
      </c>
      <c r="J98" s="789">
        <v>17</v>
      </c>
      <c r="K98" s="790">
        <v>0</v>
      </c>
      <c r="L98" s="790">
        <v>0</v>
      </c>
      <c r="M98" s="789">
        <v>3</v>
      </c>
      <c r="N98" s="789">
        <v>111</v>
      </c>
      <c r="O98" s="789">
        <v>0</v>
      </c>
      <c r="P98" s="789">
        <v>99</v>
      </c>
      <c r="Q98" s="293">
        <f t="shared" si="26"/>
        <v>274</v>
      </c>
      <c r="AA98" s="740"/>
      <c r="AB98" s="740"/>
      <c r="AC98" s="740"/>
      <c r="AD98" s="740"/>
      <c r="AE98" s="740"/>
      <c r="AF98" s="740"/>
      <c r="AG98" s="740"/>
      <c r="AH98" s="740"/>
      <c r="AI98" s="740"/>
      <c r="AJ98" s="740"/>
      <c r="AK98" s="740"/>
      <c r="AL98" s="740"/>
      <c r="AM98" s="740"/>
      <c r="AN98" s="740"/>
      <c r="AO98" s="740"/>
      <c r="AP98" s="740"/>
    </row>
    <row r="99" spans="27:42" ht="15">
      <c r="AA99" s="740"/>
      <c r="AB99" s="740"/>
      <c r="AC99" s="740"/>
      <c r="AD99" s="740"/>
      <c r="AE99" s="740"/>
      <c r="AF99" s="740"/>
      <c r="AG99" s="740"/>
      <c r="AH99" s="740"/>
      <c r="AI99" s="740"/>
      <c r="AJ99" s="740"/>
      <c r="AK99" s="740"/>
      <c r="AL99" s="740"/>
      <c r="AM99" s="740"/>
      <c r="AN99" s="740"/>
      <c r="AO99" s="740"/>
      <c r="AP99" s="740"/>
    </row>
    <row r="100" spans="2:42" ht="18">
      <c r="B100" s="90"/>
      <c r="C100" s="89"/>
      <c r="D100" s="89"/>
      <c r="E100" s="89"/>
      <c r="F100" s="89"/>
      <c r="G100" s="89"/>
      <c r="H100" s="89"/>
      <c r="I100" s="89"/>
      <c r="J100" s="89"/>
      <c r="K100" s="89"/>
      <c r="L100" s="89"/>
      <c r="M100" s="89"/>
      <c r="N100" s="89"/>
      <c r="O100" s="89"/>
      <c r="P100" s="89"/>
      <c r="Q100" s="89"/>
      <c r="AA100" s="740"/>
      <c r="AB100" s="740"/>
      <c r="AC100" s="740"/>
      <c r="AD100" s="740"/>
      <c r="AE100" s="740"/>
      <c r="AF100" s="740"/>
      <c r="AG100" s="740"/>
      <c r="AH100" s="740"/>
      <c r="AI100" s="740"/>
      <c r="AJ100" s="740"/>
      <c r="AK100" s="740"/>
      <c r="AL100" s="740"/>
      <c r="AM100" s="740"/>
      <c r="AN100" s="740"/>
      <c r="AO100" s="740"/>
      <c r="AP100" s="740"/>
    </row>
    <row r="101" spans="2:42" ht="15">
      <c r="B101" s="782" t="s">
        <v>1460</v>
      </c>
      <c r="C101" s="733" t="s">
        <v>335</v>
      </c>
      <c r="D101" s="61"/>
      <c r="E101" s="62"/>
      <c r="F101" s="63"/>
      <c r="G101" s="63"/>
      <c r="H101" s="63"/>
      <c r="I101" s="63"/>
      <c r="J101" s="63"/>
      <c r="K101" s="63"/>
      <c r="L101" s="63"/>
      <c r="M101" s="63"/>
      <c r="N101" s="63"/>
      <c r="O101" s="63"/>
      <c r="P101" s="63"/>
      <c r="Q101" s="63"/>
      <c r="AA101" s="740"/>
      <c r="AB101" s="740"/>
      <c r="AC101" s="740"/>
      <c r="AD101" s="740"/>
      <c r="AE101" s="740"/>
      <c r="AF101" s="740"/>
      <c r="AG101" s="740"/>
      <c r="AH101" s="740"/>
      <c r="AI101" s="740"/>
      <c r="AJ101" s="740"/>
      <c r="AK101" s="740"/>
      <c r="AL101" s="740"/>
      <c r="AM101" s="740"/>
      <c r="AN101" s="740"/>
      <c r="AO101" s="740"/>
      <c r="AP101" s="740"/>
    </row>
    <row r="102" spans="2:42" ht="15">
      <c r="B102" s="782"/>
      <c r="D102" s="61"/>
      <c r="E102" s="62"/>
      <c r="F102" s="670"/>
      <c r="G102" s="670"/>
      <c r="H102" s="801" t="s">
        <v>1620</v>
      </c>
      <c r="I102" s="671"/>
      <c r="J102" s="671"/>
      <c r="K102" s="671"/>
      <c r="L102" s="671"/>
      <c r="M102" s="671"/>
      <c r="N102" s="671"/>
      <c r="O102" s="1329" t="s">
        <v>1623</v>
      </c>
      <c r="P102" s="801" t="s">
        <v>1623</v>
      </c>
      <c r="Q102" s="668" t="s">
        <v>1618</v>
      </c>
      <c r="AA102" s="740"/>
      <c r="AB102" s="740"/>
      <c r="AC102" s="740"/>
      <c r="AD102" s="740"/>
      <c r="AE102" s="740"/>
      <c r="AF102" s="740"/>
      <c r="AG102" s="740"/>
      <c r="AH102" s="740"/>
      <c r="AI102" s="740"/>
      <c r="AJ102" s="740"/>
      <c r="AK102" s="740"/>
      <c r="AL102" s="740"/>
      <c r="AM102" s="740"/>
      <c r="AN102" s="740"/>
      <c r="AO102" s="740"/>
      <c r="AP102" s="740"/>
    </row>
    <row r="103" spans="2:42" ht="15">
      <c r="B103" s="782"/>
      <c r="C103" s="32"/>
      <c r="D103" s="32"/>
      <c r="E103" s="32"/>
      <c r="F103" s="672"/>
      <c r="G103" s="672" t="s">
        <v>1619</v>
      </c>
      <c r="H103" s="672" t="s">
        <v>350</v>
      </c>
      <c r="I103" s="672" t="s">
        <v>1621</v>
      </c>
      <c r="J103" s="672" t="s">
        <v>788</v>
      </c>
      <c r="K103" s="673" t="s">
        <v>1622</v>
      </c>
      <c r="L103" s="1393" t="s">
        <v>349</v>
      </c>
      <c r="M103" s="803" t="s">
        <v>1208</v>
      </c>
      <c r="N103" s="1394"/>
      <c r="O103" s="673" t="s">
        <v>383</v>
      </c>
      <c r="P103" s="673" t="s">
        <v>383</v>
      </c>
      <c r="Q103" s="56" t="s">
        <v>1624</v>
      </c>
      <c r="AA103" s="740"/>
      <c r="AB103" s="740"/>
      <c r="AC103" s="740"/>
      <c r="AD103" s="740"/>
      <c r="AE103" s="740"/>
      <c r="AF103" s="740"/>
      <c r="AG103" s="740"/>
      <c r="AH103" s="740"/>
      <c r="AI103" s="740"/>
      <c r="AJ103" s="740"/>
      <c r="AK103" s="740"/>
      <c r="AL103" s="740"/>
      <c r="AM103" s="740"/>
      <c r="AN103" s="740"/>
      <c r="AO103" s="740"/>
      <c r="AP103" s="740"/>
    </row>
    <row r="104" spans="2:42" ht="15">
      <c r="B104" s="782"/>
      <c r="C104" s="57"/>
      <c r="D104" s="783"/>
      <c r="E104" s="57"/>
      <c r="F104" s="784" t="s">
        <v>1610</v>
      </c>
      <c r="G104" s="785" t="s">
        <v>1625</v>
      </c>
      <c r="H104" s="785" t="s">
        <v>1626</v>
      </c>
      <c r="I104" s="785" t="s">
        <v>1627</v>
      </c>
      <c r="J104" s="785" t="s">
        <v>1628</v>
      </c>
      <c r="K104" s="785" t="s">
        <v>381</v>
      </c>
      <c r="L104" s="784" t="s">
        <v>381</v>
      </c>
      <c r="M104" s="785" t="s">
        <v>1209</v>
      </c>
      <c r="N104" s="785" t="s">
        <v>382</v>
      </c>
      <c r="O104" s="785" t="s">
        <v>351</v>
      </c>
      <c r="P104" s="784" t="s">
        <v>352</v>
      </c>
      <c r="Q104" s="786" t="s">
        <v>384</v>
      </c>
      <c r="AA104" s="740"/>
      <c r="AB104" s="740"/>
      <c r="AC104" s="740"/>
      <c r="AD104" s="740"/>
      <c r="AE104" s="740"/>
      <c r="AF104" s="740"/>
      <c r="AG104" s="740"/>
      <c r="AH104" s="740"/>
      <c r="AI104" s="740"/>
      <c r="AJ104" s="740"/>
      <c r="AK104" s="740"/>
      <c r="AL104" s="740"/>
      <c r="AM104" s="740"/>
      <c r="AN104" s="740"/>
      <c r="AO104" s="740"/>
      <c r="AP104" s="740"/>
    </row>
    <row r="105" spans="2:42" ht="15">
      <c r="B105" s="782"/>
      <c r="C105" s="59" t="s">
        <v>385</v>
      </c>
      <c r="D105" s="103">
        <f aca="true" t="shared" si="27" ref="D105:E116">+D87</f>
        <v>800</v>
      </c>
      <c r="E105" s="102">
        <f t="shared" si="27"/>
        <v>39471</v>
      </c>
      <c r="F105" s="791">
        <v>0</v>
      </c>
      <c r="G105" s="791">
        <v>1.6</v>
      </c>
      <c r="H105" s="791">
        <v>4</v>
      </c>
      <c r="I105" s="791">
        <v>42.4</v>
      </c>
      <c r="J105" s="791">
        <v>18.4</v>
      </c>
      <c r="K105" s="792">
        <v>1</v>
      </c>
      <c r="L105" s="791">
        <v>1</v>
      </c>
      <c r="M105" s="791">
        <v>3</v>
      </c>
      <c r="N105" s="791">
        <v>142.3</v>
      </c>
      <c r="O105" s="791">
        <v>60.5</v>
      </c>
      <c r="P105" s="791">
        <v>125</v>
      </c>
      <c r="Q105" s="294">
        <f aca="true" t="shared" si="28" ref="Q105:Q116">ROUND(SUM(F105:P105),1)</f>
        <v>399.2</v>
      </c>
      <c r="AA105" s="740"/>
      <c r="AB105" s="740"/>
      <c r="AC105" s="740"/>
      <c r="AD105" s="740"/>
      <c r="AE105" s="740"/>
      <c r="AF105" s="740"/>
      <c r="AG105" s="740"/>
      <c r="AH105" s="740"/>
      <c r="AI105" s="740"/>
      <c r="AJ105" s="740"/>
      <c r="AK105" s="740"/>
      <c r="AL105" s="740"/>
      <c r="AM105" s="740"/>
      <c r="AN105" s="740"/>
      <c r="AO105" s="740"/>
      <c r="AP105" s="740"/>
    </row>
    <row r="106" spans="2:42" ht="15">
      <c r="B106" s="782"/>
      <c r="C106" s="59" t="s">
        <v>386</v>
      </c>
      <c r="D106" s="103">
        <f t="shared" si="27"/>
        <v>1900</v>
      </c>
      <c r="E106" s="102">
        <f t="shared" si="27"/>
        <v>39498</v>
      </c>
      <c r="F106" s="791">
        <v>0</v>
      </c>
      <c r="G106" s="791">
        <v>1.6</v>
      </c>
      <c r="H106" s="791">
        <v>4</v>
      </c>
      <c r="I106" s="791">
        <v>42.4</v>
      </c>
      <c r="J106" s="791">
        <v>18.4</v>
      </c>
      <c r="K106" s="792">
        <v>1</v>
      </c>
      <c r="L106" s="791">
        <v>1</v>
      </c>
      <c r="M106" s="791">
        <v>3</v>
      </c>
      <c r="N106" s="791">
        <v>142.3</v>
      </c>
      <c r="O106" s="791">
        <v>60.5</v>
      </c>
      <c r="P106" s="791">
        <v>125</v>
      </c>
      <c r="Q106" s="294">
        <f t="shared" si="28"/>
        <v>399.2</v>
      </c>
      <c r="AA106" s="740"/>
      <c r="AB106" s="740"/>
      <c r="AC106" s="740"/>
      <c r="AD106" s="740"/>
      <c r="AE106" s="740"/>
      <c r="AF106" s="740"/>
      <c r="AG106" s="740"/>
      <c r="AH106" s="740"/>
      <c r="AI106" s="740"/>
      <c r="AJ106" s="740"/>
      <c r="AK106" s="740"/>
      <c r="AL106" s="740"/>
      <c r="AM106" s="740"/>
      <c r="AN106" s="740"/>
      <c r="AO106" s="740"/>
      <c r="AP106" s="740"/>
    </row>
    <row r="107" spans="2:42" ht="15">
      <c r="B107" s="782"/>
      <c r="C107" s="59" t="s">
        <v>387</v>
      </c>
      <c r="D107" s="103">
        <f t="shared" si="27"/>
        <v>2000</v>
      </c>
      <c r="E107" s="102">
        <f t="shared" si="27"/>
        <v>39514</v>
      </c>
      <c r="F107" s="791">
        <v>0</v>
      </c>
      <c r="G107" s="791">
        <v>1.6</v>
      </c>
      <c r="H107" s="791">
        <v>4</v>
      </c>
      <c r="I107" s="791">
        <v>42.4</v>
      </c>
      <c r="J107" s="791">
        <v>18.4</v>
      </c>
      <c r="K107" s="792">
        <v>1</v>
      </c>
      <c r="L107" s="791">
        <v>1</v>
      </c>
      <c r="M107" s="791">
        <v>3</v>
      </c>
      <c r="N107" s="791">
        <v>142.3</v>
      </c>
      <c r="O107" s="791">
        <v>60.5</v>
      </c>
      <c r="P107" s="791">
        <v>125</v>
      </c>
      <c r="Q107" s="294">
        <f t="shared" si="28"/>
        <v>399.2</v>
      </c>
      <c r="AA107" s="740"/>
      <c r="AB107" s="740"/>
      <c r="AC107" s="740"/>
      <c r="AD107" s="740"/>
      <c r="AE107" s="740"/>
      <c r="AF107" s="740"/>
      <c r="AG107" s="740"/>
      <c r="AH107" s="740"/>
      <c r="AI107" s="740"/>
      <c r="AJ107" s="740"/>
      <c r="AK107" s="740"/>
      <c r="AL107" s="740"/>
      <c r="AM107" s="740"/>
      <c r="AN107" s="740"/>
      <c r="AO107" s="740"/>
      <c r="AP107" s="740"/>
    </row>
    <row r="108" spans="2:42" ht="15">
      <c r="B108" s="782"/>
      <c r="C108" s="59" t="s">
        <v>388</v>
      </c>
      <c r="D108" s="103">
        <f t="shared" si="27"/>
        <v>1700</v>
      </c>
      <c r="E108" s="102">
        <f t="shared" si="27"/>
        <v>39559</v>
      </c>
      <c r="F108" s="791">
        <v>0</v>
      </c>
      <c r="G108" s="791">
        <v>1.6</v>
      </c>
      <c r="H108" s="791">
        <v>4</v>
      </c>
      <c r="I108" s="791">
        <v>42.4</v>
      </c>
      <c r="J108" s="791">
        <v>18.4</v>
      </c>
      <c r="K108" s="792">
        <v>1</v>
      </c>
      <c r="L108" s="791">
        <v>1</v>
      </c>
      <c r="M108" s="791">
        <v>3</v>
      </c>
      <c r="N108" s="791">
        <v>142.3</v>
      </c>
      <c r="O108" s="791">
        <v>60.5</v>
      </c>
      <c r="P108" s="791">
        <v>125</v>
      </c>
      <c r="Q108" s="294">
        <f t="shared" si="28"/>
        <v>399.2</v>
      </c>
      <c r="AA108" s="740"/>
      <c r="AB108" s="740"/>
      <c r="AC108" s="740"/>
      <c r="AD108" s="740"/>
      <c r="AE108" s="740"/>
      <c r="AF108" s="740"/>
      <c r="AG108" s="740"/>
      <c r="AH108" s="740"/>
      <c r="AI108" s="740"/>
      <c r="AJ108" s="740"/>
      <c r="AK108" s="740"/>
      <c r="AL108" s="740"/>
      <c r="AM108" s="740"/>
      <c r="AN108" s="740"/>
      <c r="AO108" s="740"/>
      <c r="AP108" s="740"/>
    </row>
    <row r="109" spans="2:42" ht="15">
      <c r="B109" s="782"/>
      <c r="C109" s="59" t="s">
        <v>30</v>
      </c>
      <c r="D109" s="103">
        <f t="shared" si="27"/>
        <v>1700</v>
      </c>
      <c r="E109" s="102">
        <f t="shared" si="27"/>
        <v>39598</v>
      </c>
      <c r="F109" s="791">
        <v>0</v>
      </c>
      <c r="G109" s="791">
        <v>1.6</v>
      </c>
      <c r="H109" s="791">
        <v>4</v>
      </c>
      <c r="I109" s="791">
        <v>42.4</v>
      </c>
      <c r="J109" s="791">
        <v>18.4</v>
      </c>
      <c r="K109" s="792">
        <v>1</v>
      </c>
      <c r="L109" s="791">
        <v>1</v>
      </c>
      <c r="M109" s="791">
        <v>3</v>
      </c>
      <c r="N109" s="791">
        <v>142.3</v>
      </c>
      <c r="O109" s="791">
        <v>60.5</v>
      </c>
      <c r="P109" s="791">
        <v>125</v>
      </c>
      <c r="Q109" s="294">
        <f t="shared" si="28"/>
        <v>399.2</v>
      </c>
      <c r="AA109" s="740"/>
      <c r="AB109" s="740"/>
      <c r="AC109" s="740"/>
      <c r="AD109" s="740"/>
      <c r="AE109" s="740"/>
      <c r="AF109" s="740"/>
      <c r="AG109" s="740"/>
      <c r="AH109" s="740"/>
      <c r="AI109" s="740"/>
      <c r="AJ109" s="740"/>
      <c r="AK109" s="740"/>
      <c r="AL109" s="740"/>
      <c r="AM109" s="740"/>
      <c r="AN109" s="740"/>
      <c r="AO109" s="740"/>
      <c r="AP109" s="740"/>
    </row>
    <row r="110" spans="2:42" ht="15">
      <c r="B110" s="782"/>
      <c r="C110" s="59" t="s">
        <v>389</v>
      </c>
      <c r="D110" s="103">
        <f t="shared" si="27"/>
        <v>1700</v>
      </c>
      <c r="E110" s="102">
        <f t="shared" si="27"/>
        <v>39624</v>
      </c>
      <c r="F110" s="791">
        <v>0</v>
      </c>
      <c r="G110" s="791">
        <v>1.6</v>
      </c>
      <c r="H110" s="791">
        <v>4</v>
      </c>
      <c r="I110" s="791">
        <v>42.4</v>
      </c>
      <c r="J110" s="791">
        <v>18.4</v>
      </c>
      <c r="K110" s="792">
        <v>1</v>
      </c>
      <c r="L110" s="791">
        <v>1</v>
      </c>
      <c r="M110" s="791">
        <v>3</v>
      </c>
      <c r="N110" s="791">
        <v>142.3</v>
      </c>
      <c r="O110" s="791">
        <v>60.5</v>
      </c>
      <c r="P110" s="791">
        <v>125</v>
      </c>
      <c r="Q110" s="294">
        <f t="shared" si="28"/>
        <v>399.2</v>
      </c>
      <c r="AA110" s="740"/>
      <c r="AB110" s="740"/>
      <c r="AC110" s="740"/>
      <c r="AD110" s="740"/>
      <c r="AE110" s="740"/>
      <c r="AF110" s="740"/>
      <c r="AG110" s="740"/>
      <c r="AH110" s="740"/>
      <c r="AI110" s="740"/>
      <c r="AJ110" s="740"/>
      <c r="AK110" s="740"/>
      <c r="AL110" s="740"/>
      <c r="AM110" s="740"/>
      <c r="AN110" s="740"/>
      <c r="AO110" s="740"/>
      <c r="AP110" s="740"/>
    </row>
    <row r="111" spans="2:42" ht="15">
      <c r="B111" s="782"/>
      <c r="C111" s="59" t="s">
        <v>390</v>
      </c>
      <c r="D111" s="103">
        <f t="shared" si="27"/>
        <v>1700</v>
      </c>
      <c r="E111" s="102">
        <f t="shared" si="27"/>
        <v>39650</v>
      </c>
      <c r="F111" s="791">
        <v>0</v>
      </c>
      <c r="G111" s="791">
        <v>1.6</v>
      </c>
      <c r="H111" s="791">
        <v>4</v>
      </c>
      <c r="I111" s="791">
        <v>42.4</v>
      </c>
      <c r="J111" s="791">
        <v>18.4</v>
      </c>
      <c r="K111" s="792">
        <v>1</v>
      </c>
      <c r="L111" s="791">
        <v>1</v>
      </c>
      <c r="M111" s="791">
        <v>3</v>
      </c>
      <c r="N111" s="791">
        <v>142.3</v>
      </c>
      <c r="O111" s="791">
        <v>60.5</v>
      </c>
      <c r="P111" s="791">
        <v>125</v>
      </c>
      <c r="Q111" s="294">
        <f t="shared" si="28"/>
        <v>399.2</v>
      </c>
      <c r="AA111" s="740"/>
      <c r="AB111" s="740"/>
      <c r="AC111" s="740"/>
      <c r="AD111" s="740"/>
      <c r="AE111" s="740"/>
      <c r="AF111" s="740"/>
      <c r="AG111" s="740"/>
      <c r="AH111" s="740"/>
      <c r="AI111" s="740"/>
      <c r="AJ111" s="740"/>
      <c r="AK111" s="740"/>
      <c r="AL111" s="740"/>
      <c r="AM111" s="740"/>
      <c r="AN111" s="740"/>
      <c r="AO111" s="740"/>
      <c r="AP111" s="740"/>
    </row>
    <row r="112" spans="2:42" ht="15">
      <c r="B112" s="782"/>
      <c r="C112" s="59" t="s">
        <v>391</v>
      </c>
      <c r="D112" s="103">
        <f t="shared" si="27"/>
        <v>1700</v>
      </c>
      <c r="E112" s="102">
        <f t="shared" si="27"/>
        <v>39664</v>
      </c>
      <c r="F112" s="791">
        <v>0</v>
      </c>
      <c r="G112" s="791">
        <v>1.6</v>
      </c>
      <c r="H112" s="791">
        <v>4</v>
      </c>
      <c r="I112" s="791">
        <v>42.4</v>
      </c>
      <c r="J112" s="791">
        <v>18.4</v>
      </c>
      <c r="K112" s="792">
        <v>1</v>
      </c>
      <c r="L112" s="791">
        <v>1</v>
      </c>
      <c r="M112" s="791">
        <v>3</v>
      </c>
      <c r="N112" s="791">
        <v>142.3</v>
      </c>
      <c r="O112" s="791">
        <v>60.5</v>
      </c>
      <c r="P112" s="791">
        <v>125</v>
      </c>
      <c r="Q112" s="294">
        <f t="shared" si="28"/>
        <v>399.2</v>
      </c>
      <c r="AA112" s="740"/>
      <c r="AB112" s="740"/>
      <c r="AC112" s="740"/>
      <c r="AD112" s="740"/>
      <c r="AE112" s="740"/>
      <c r="AF112" s="740"/>
      <c r="AG112" s="740"/>
      <c r="AH112" s="740"/>
      <c r="AI112" s="740"/>
      <c r="AJ112" s="740"/>
      <c r="AK112" s="740"/>
      <c r="AL112" s="740"/>
      <c r="AM112" s="740"/>
      <c r="AN112" s="740"/>
      <c r="AO112" s="740"/>
      <c r="AP112" s="740"/>
    </row>
    <row r="113" spans="2:42" ht="15">
      <c r="B113" s="782"/>
      <c r="C113" s="59" t="s">
        <v>392</v>
      </c>
      <c r="D113" s="103">
        <f t="shared" si="27"/>
        <v>1800</v>
      </c>
      <c r="E113" s="102">
        <f t="shared" si="27"/>
        <v>39692</v>
      </c>
      <c r="F113" s="791">
        <v>0</v>
      </c>
      <c r="G113" s="791">
        <v>1.6</v>
      </c>
      <c r="H113" s="791">
        <v>4</v>
      </c>
      <c r="I113" s="791">
        <v>42.4</v>
      </c>
      <c r="J113" s="791">
        <v>18.4</v>
      </c>
      <c r="K113" s="792">
        <v>1</v>
      </c>
      <c r="L113" s="791">
        <v>1</v>
      </c>
      <c r="M113" s="791">
        <v>3</v>
      </c>
      <c r="N113" s="791">
        <v>142.3</v>
      </c>
      <c r="O113" s="791">
        <v>60.5</v>
      </c>
      <c r="P113" s="791">
        <v>125</v>
      </c>
      <c r="Q113" s="294">
        <f t="shared" si="28"/>
        <v>399.2</v>
      </c>
      <c r="AA113" s="740"/>
      <c r="AB113" s="740"/>
      <c r="AC113" s="740"/>
      <c r="AD113" s="740"/>
      <c r="AE113" s="740"/>
      <c r="AF113" s="740"/>
      <c r="AG113" s="740"/>
      <c r="AH113" s="740"/>
      <c r="AI113" s="740"/>
      <c r="AJ113" s="740"/>
      <c r="AK113" s="740"/>
      <c r="AL113" s="740"/>
      <c r="AM113" s="740"/>
      <c r="AN113" s="740"/>
      <c r="AO113" s="740"/>
      <c r="AP113" s="740"/>
    </row>
    <row r="114" spans="2:42" ht="15">
      <c r="B114" s="782"/>
      <c r="C114" s="59" t="s">
        <v>393</v>
      </c>
      <c r="D114" s="103">
        <f t="shared" si="27"/>
        <v>1700</v>
      </c>
      <c r="E114" s="102">
        <f t="shared" si="27"/>
        <v>39730</v>
      </c>
      <c r="F114" s="791">
        <v>0</v>
      </c>
      <c r="G114" s="791">
        <v>1.6</v>
      </c>
      <c r="H114" s="791">
        <v>4</v>
      </c>
      <c r="I114" s="791">
        <v>42.4</v>
      </c>
      <c r="J114" s="791">
        <v>18.4</v>
      </c>
      <c r="K114" s="792">
        <v>1</v>
      </c>
      <c r="L114" s="791">
        <v>1</v>
      </c>
      <c r="M114" s="791">
        <v>3</v>
      </c>
      <c r="N114" s="791">
        <v>142.3</v>
      </c>
      <c r="O114" s="791">
        <v>60.5</v>
      </c>
      <c r="P114" s="791">
        <v>125</v>
      </c>
      <c r="Q114" s="294">
        <f t="shared" si="28"/>
        <v>399.2</v>
      </c>
      <c r="AA114" s="740"/>
      <c r="AB114" s="740"/>
      <c r="AC114" s="740"/>
      <c r="AD114" s="740"/>
      <c r="AE114" s="740"/>
      <c r="AF114" s="740"/>
      <c r="AG114" s="740"/>
      <c r="AH114" s="740"/>
      <c r="AI114" s="740"/>
      <c r="AJ114" s="740"/>
      <c r="AK114" s="740"/>
      <c r="AL114" s="740"/>
      <c r="AM114" s="740"/>
      <c r="AN114" s="740"/>
      <c r="AO114" s="740"/>
      <c r="AP114" s="740"/>
    </row>
    <row r="115" spans="2:42" ht="15">
      <c r="B115" s="782"/>
      <c r="C115" s="59" t="s">
        <v>394</v>
      </c>
      <c r="D115" s="103">
        <f t="shared" si="27"/>
        <v>1900</v>
      </c>
      <c r="E115" s="102">
        <f t="shared" si="27"/>
        <v>39772</v>
      </c>
      <c r="F115" s="791">
        <v>0</v>
      </c>
      <c r="G115" s="791">
        <v>1.6</v>
      </c>
      <c r="H115" s="791">
        <v>4</v>
      </c>
      <c r="I115" s="791">
        <v>42.4</v>
      </c>
      <c r="J115" s="791">
        <v>18.4</v>
      </c>
      <c r="K115" s="792">
        <v>1</v>
      </c>
      <c r="L115" s="791">
        <v>1</v>
      </c>
      <c r="M115" s="791">
        <v>3</v>
      </c>
      <c r="N115" s="791">
        <v>142.3</v>
      </c>
      <c r="O115" s="791">
        <v>60.5</v>
      </c>
      <c r="P115" s="791">
        <v>125</v>
      </c>
      <c r="Q115" s="294">
        <f t="shared" si="28"/>
        <v>399.2</v>
      </c>
      <c r="AA115" s="740"/>
      <c r="AB115" s="740"/>
      <c r="AC115" s="740"/>
      <c r="AD115" s="740"/>
      <c r="AE115" s="740"/>
      <c r="AF115" s="740"/>
      <c r="AG115" s="740"/>
      <c r="AH115" s="740"/>
      <c r="AI115" s="740"/>
      <c r="AJ115" s="740"/>
      <c r="AK115" s="740"/>
      <c r="AL115" s="740"/>
      <c r="AM115" s="740"/>
      <c r="AN115" s="740"/>
      <c r="AO115" s="740"/>
      <c r="AP115" s="740"/>
    </row>
    <row r="116" spans="2:42" ht="15">
      <c r="B116" s="782"/>
      <c r="C116" s="59" t="s">
        <v>395</v>
      </c>
      <c r="D116" s="103">
        <f t="shared" si="27"/>
        <v>1900</v>
      </c>
      <c r="E116" s="102">
        <f t="shared" si="27"/>
        <v>39797</v>
      </c>
      <c r="F116" s="791">
        <v>0</v>
      </c>
      <c r="G116" s="791">
        <v>1.6</v>
      </c>
      <c r="H116" s="791">
        <v>4</v>
      </c>
      <c r="I116" s="791">
        <v>42.4</v>
      </c>
      <c r="J116" s="791">
        <v>18.4</v>
      </c>
      <c r="K116" s="792">
        <v>1</v>
      </c>
      <c r="L116" s="791">
        <v>1</v>
      </c>
      <c r="M116" s="791">
        <v>3</v>
      </c>
      <c r="N116" s="791">
        <v>142.3</v>
      </c>
      <c r="O116" s="791">
        <v>60.5</v>
      </c>
      <c r="P116" s="791">
        <v>125</v>
      </c>
      <c r="Q116" s="294">
        <f t="shared" si="28"/>
        <v>399.2</v>
      </c>
      <c r="AA116" s="740"/>
      <c r="AB116" s="740"/>
      <c r="AC116" s="740"/>
      <c r="AD116" s="740"/>
      <c r="AE116" s="740"/>
      <c r="AF116" s="740"/>
      <c r="AG116" s="740"/>
      <c r="AH116" s="740"/>
      <c r="AI116" s="740"/>
      <c r="AJ116" s="740"/>
      <c r="AK116" s="740"/>
      <c r="AL116" s="740"/>
      <c r="AM116" s="740"/>
      <c r="AN116" s="740"/>
      <c r="AO116" s="740"/>
      <c r="AP116" s="740"/>
    </row>
    <row r="117" spans="27:42" ht="15">
      <c r="AA117" s="740"/>
      <c r="AB117" s="740"/>
      <c r="AC117" s="740"/>
      <c r="AD117" s="740"/>
      <c r="AE117" s="740"/>
      <c r="AF117" s="740"/>
      <c r="AG117" s="740"/>
      <c r="AH117" s="740"/>
      <c r="AI117" s="740"/>
      <c r="AJ117" s="740"/>
      <c r="AK117" s="740"/>
      <c r="AL117" s="740"/>
      <c r="AM117" s="740"/>
      <c r="AN117" s="740"/>
      <c r="AO117" s="740"/>
      <c r="AP117" s="740"/>
    </row>
    <row r="118" spans="27:42" ht="15">
      <c r="AA118" s="740"/>
      <c r="AB118" s="740"/>
      <c r="AC118" s="740"/>
      <c r="AD118" s="740"/>
      <c r="AE118" s="740"/>
      <c r="AF118" s="740"/>
      <c r="AG118" s="740"/>
      <c r="AH118" s="740"/>
      <c r="AI118" s="740"/>
      <c r="AJ118" s="740"/>
      <c r="AK118" s="740"/>
      <c r="AL118" s="740"/>
      <c r="AM118" s="740"/>
      <c r="AN118" s="740"/>
      <c r="AO118" s="740"/>
      <c r="AP118" s="740"/>
    </row>
    <row r="119" spans="1:42" ht="20.25">
      <c r="A119" s="96" t="str">
        <f>A1</f>
        <v>Worksheet A-2 - WE Divisor</v>
      </c>
      <c r="B119" s="782"/>
      <c r="D119" s="61"/>
      <c r="E119" s="62"/>
      <c r="F119" s="63"/>
      <c r="G119" s="63"/>
      <c r="H119" s="63"/>
      <c r="I119" s="63"/>
      <c r="J119" s="63"/>
      <c r="K119" s="63"/>
      <c r="L119" s="63"/>
      <c r="M119" s="63"/>
      <c r="N119" s="63"/>
      <c r="O119" s="63"/>
      <c r="P119" s="63"/>
      <c r="Q119" s="769" t="s">
        <v>26</v>
      </c>
      <c r="AA119" s="740"/>
      <c r="AB119" s="740"/>
      <c r="AC119" s="740"/>
      <c r="AD119" s="740"/>
      <c r="AE119" s="740"/>
      <c r="AF119" s="740"/>
      <c r="AG119" s="740"/>
      <c r="AH119" s="740"/>
      <c r="AI119" s="740"/>
      <c r="AJ119" s="740"/>
      <c r="AK119" s="740"/>
      <c r="AL119" s="740"/>
      <c r="AM119" s="740"/>
      <c r="AN119" s="740"/>
      <c r="AO119" s="740"/>
      <c r="AP119" s="740"/>
    </row>
    <row r="120" spans="2:42" ht="15">
      <c r="B120" s="782"/>
      <c r="D120" s="61"/>
      <c r="E120" s="62"/>
      <c r="F120" s="63"/>
      <c r="G120" s="63"/>
      <c r="H120" s="63"/>
      <c r="I120" s="63"/>
      <c r="J120" s="63"/>
      <c r="K120" s="63"/>
      <c r="L120" s="63"/>
      <c r="M120" s="63"/>
      <c r="N120" s="63"/>
      <c r="O120" s="63"/>
      <c r="P120" s="63"/>
      <c r="Q120" s="63"/>
      <c r="AA120" s="740"/>
      <c r="AB120" s="740"/>
      <c r="AC120" s="740"/>
      <c r="AD120" s="740"/>
      <c r="AE120" s="740"/>
      <c r="AF120" s="740"/>
      <c r="AG120" s="740"/>
      <c r="AH120" s="740"/>
      <c r="AI120" s="740"/>
      <c r="AJ120" s="740"/>
      <c r="AK120" s="740"/>
      <c r="AL120" s="740"/>
      <c r="AM120" s="740"/>
      <c r="AN120" s="740"/>
      <c r="AO120" s="740"/>
      <c r="AP120" s="740"/>
    </row>
    <row r="121" spans="2:42" ht="18">
      <c r="B121" s="1418" t="str">
        <f>B70</f>
        <v>Westar Energy, Inc.</v>
      </c>
      <c r="C121" s="1409"/>
      <c r="D121" s="1409"/>
      <c r="E121" s="1409"/>
      <c r="F121" s="1409"/>
      <c r="G121" s="1409"/>
      <c r="H121" s="1409"/>
      <c r="I121" s="1409"/>
      <c r="J121" s="1409"/>
      <c r="K121" s="1409"/>
      <c r="L121" s="1409"/>
      <c r="M121" s="1409"/>
      <c r="N121" s="1409"/>
      <c r="O121" s="1409"/>
      <c r="P121" s="1409"/>
      <c r="Q121" s="1409"/>
      <c r="AA121" s="740"/>
      <c r="AB121" s="740"/>
      <c r="AC121" s="740"/>
      <c r="AD121" s="740"/>
      <c r="AE121" s="740"/>
      <c r="AF121" s="740"/>
      <c r="AG121" s="740"/>
      <c r="AH121" s="740"/>
      <c r="AI121" s="740"/>
      <c r="AJ121" s="740"/>
      <c r="AK121" s="740"/>
      <c r="AL121" s="740"/>
      <c r="AM121" s="740"/>
      <c r="AN121" s="740"/>
      <c r="AO121" s="740"/>
      <c r="AP121" s="740"/>
    </row>
    <row r="122" spans="2:42" ht="18">
      <c r="B122" s="1418" t="str">
        <f>B71</f>
        <v>Notes to the Determination of WEN's and WES' Contribution to Transmission Network Load (MW, unless otherwise noted)</v>
      </c>
      <c r="C122" s="1409"/>
      <c r="D122" s="1409"/>
      <c r="E122" s="1409"/>
      <c r="F122" s="1409"/>
      <c r="G122" s="1409"/>
      <c r="H122" s="1409"/>
      <c r="I122" s="1409"/>
      <c r="J122" s="1409"/>
      <c r="K122" s="1409"/>
      <c r="L122" s="1409"/>
      <c r="M122" s="1409"/>
      <c r="N122" s="1409"/>
      <c r="O122" s="1409"/>
      <c r="P122" s="1409"/>
      <c r="Q122" s="1409"/>
      <c r="AA122" s="740"/>
      <c r="AB122" s="740"/>
      <c r="AC122" s="740"/>
      <c r="AD122" s="740"/>
      <c r="AE122" s="740"/>
      <c r="AF122" s="740"/>
      <c r="AG122" s="740"/>
      <c r="AH122" s="740"/>
      <c r="AI122" s="740"/>
      <c r="AJ122" s="740"/>
      <c r="AK122" s="740"/>
      <c r="AL122" s="740"/>
      <c r="AM122" s="740"/>
      <c r="AN122" s="740"/>
      <c r="AO122" s="740"/>
      <c r="AP122" s="740"/>
    </row>
    <row r="123" spans="2:42" ht="18">
      <c r="B123" s="90"/>
      <c r="C123" s="89"/>
      <c r="D123" s="91"/>
      <c r="E123" s="91"/>
      <c r="F123" s="92"/>
      <c r="G123" s="92"/>
      <c r="H123" s="92"/>
      <c r="I123" s="92" t="str">
        <f>I72</f>
        <v>For the 12 months ended - December 31, 2008</v>
      </c>
      <c r="J123" s="92"/>
      <c r="K123" s="93"/>
      <c r="L123" s="92"/>
      <c r="M123" s="92"/>
      <c r="N123" s="92"/>
      <c r="O123" s="92"/>
      <c r="P123" s="92"/>
      <c r="Q123" s="92"/>
      <c r="AA123" s="740"/>
      <c r="AB123" s="740"/>
      <c r="AC123" s="740"/>
      <c r="AD123" s="740"/>
      <c r="AE123" s="740"/>
      <c r="AF123" s="740"/>
      <c r="AG123" s="740"/>
      <c r="AH123" s="740"/>
      <c r="AI123" s="740"/>
      <c r="AJ123" s="740"/>
      <c r="AK123" s="740"/>
      <c r="AL123" s="740"/>
      <c r="AM123" s="740"/>
      <c r="AN123" s="740"/>
      <c r="AO123" s="740"/>
      <c r="AP123" s="740"/>
    </row>
    <row r="124" spans="2:42" ht="15.75">
      <c r="B124" s="1406" t="str">
        <f>B73</f>
        <v>(all load data in these notes comes from Westar's "NETWORK BILLING DETERMINANTS" spreadsheet or successor spreadsheet)</v>
      </c>
      <c r="C124" s="1395"/>
      <c r="D124" s="1395"/>
      <c r="E124" s="1395"/>
      <c r="F124" s="1395"/>
      <c r="G124" s="1395"/>
      <c r="H124" s="1395"/>
      <c r="I124" s="1395"/>
      <c r="J124" s="1395"/>
      <c r="K124" s="1395"/>
      <c r="L124" s="1395"/>
      <c r="M124" s="1395"/>
      <c r="N124" s="1395"/>
      <c r="O124" s="1395"/>
      <c r="P124" s="1395"/>
      <c r="Q124" s="1395"/>
      <c r="AA124" s="740"/>
      <c r="AB124" s="740"/>
      <c r="AC124" s="740"/>
      <c r="AD124" s="740"/>
      <c r="AE124" s="740"/>
      <c r="AF124" s="740"/>
      <c r="AG124" s="740"/>
      <c r="AH124" s="740"/>
      <c r="AI124" s="740"/>
      <c r="AJ124" s="740"/>
      <c r="AK124" s="740"/>
      <c r="AL124" s="740"/>
      <c r="AM124" s="740"/>
      <c r="AN124" s="740"/>
      <c r="AO124" s="740"/>
      <c r="AP124" s="740"/>
    </row>
    <row r="125" spans="27:42" ht="15">
      <c r="AA125" s="740"/>
      <c r="AB125" s="740"/>
      <c r="AC125" s="740"/>
      <c r="AD125" s="740"/>
      <c r="AE125" s="740"/>
      <c r="AF125" s="740"/>
      <c r="AG125" s="740"/>
      <c r="AH125" s="740"/>
      <c r="AI125" s="740"/>
      <c r="AJ125" s="740"/>
      <c r="AK125" s="740"/>
      <c r="AL125" s="740"/>
      <c r="AM125" s="740"/>
      <c r="AN125" s="740"/>
      <c r="AO125" s="740"/>
      <c r="AP125" s="740"/>
    </row>
    <row r="126" spans="27:42" ht="15">
      <c r="AA126" s="740"/>
      <c r="AB126" s="740"/>
      <c r="AC126" s="740"/>
      <c r="AD126" s="740"/>
      <c r="AE126" s="740"/>
      <c r="AF126" s="740"/>
      <c r="AG126" s="740"/>
      <c r="AH126" s="740"/>
      <c r="AI126" s="740"/>
      <c r="AJ126" s="740"/>
      <c r="AK126" s="740"/>
      <c r="AL126" s="740"/>
      <c r="AM126" s="740"/>
      <c r="AN126" s="740"/>
      <c r="AO126" s="740"/>
      <c r="AP126" s="740"/>
    </row>
    <row r="127" spans="27:42" ht="15">
      <c r="AA127" s="740"/>
      <c r="AB127" s="740"/>
      <c r="AC127" s="740"/>
      <c r="AD127" s="740"/>
      <c r="AE127" s="740"/>
      <c r="AF127" s="740"/>
      <c r="AG127" s="740"/>
      <c r="AH127" s="740"/>
      <c r="AI127" s="740"/>
      <c r="AJ127" s="740"/>
      <c r="AK127" s="740"/>
      <c r="AL127" s="740"/>
      <c r="AM127" s="740"/>
      <c r="AN127" s="740"/>
      <c r="AO127" s="740"/>
      <c r="AP127" s="740"/>
    </row>
    <row r="128" spans="2:69" ht="15">
      <c r="B128" s="782" t="s">
        <v>1459</v>
      </c>
      <c r="C128" s="733" t="s">
        <v>896</v>
      </c>
      <c r="D128" s="32"/>
      <c r="E128" s="64"/>
      <c r="F128" s="65"/>
      <c r="G128" s="65"/>
      <c r="H128" s="65"/>
      <c r="I128" s="65"/>
      <c r="J128" s="65"/>
      <c r="K128" s="65"/>
      <c r="L128" s="65"/>
      <c r="M128" s="65"/>
      <c r="N128" s="65"/>
      <c r="O128" s="65"/>
      <c r="P128" s="65"/>
      <c r="Q128" s="65"/>
      <c r="Y128" s="66"/>
      <c r="Z128" s="67"/>
      <c r="AA128" s="67"/>
      <c r="AB128" s="67"/>
      <c r="AC128" s="67"/>
      <c r="AD128" s="67"/>
      <c r="AE128" s="67"/>
      <c r="AF128" s="67"/>
      <c r="AG128" s="67"/>
      <c r="AH128" s="67"/>
      <c r="AI128" s="67"/>
      <c r="AJ128" s="67"/>
      <c r="AK128" s="67"/>
      <c r="AL128" s="67"/>
      <c r="AM128" s="67"/>
      <c r="AN128" s="67"/>
      <c r="AO128" s="67"/>
      <c r="AP128" s="67"/>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row>
    <row r="129" spans="2:70" ht="15">
      <c r="B129" s="782"/>
      <c r="D129" s="32"/>
      <c r="E129" s="64"/>
      <c r="F129" s="1414" t="s">
        <v>29</v>
      </c>
      <c r="G129" s="1415"/>
      <c r="H129" s="1415"/>
      <c r="I129" s="1415"/>
      <c r="J129" s="1415"/>
      <c r="K129" s="1416"/>
      <c r="L129" s="1414" t="s">
        <v>28</v>
      </c>
      <c r="M129" s="1415"/>
      <c r="N129" s="1415"/>
      <c r="O129" s="1415"/>
      <c r="P129" s="1416"/>
      <c r="Q129" s="664"/>
      <c r="R129" s="65"/>
      <c r="Z129" s="66"/>
      <c r="AA129" s="67"/>
      <c r="AB129" s="67"/>
      <c r="AC129" s="67"/>
      <c r="AD129" s="67"/>
      <c r="AE129" s="67"/>
      <c r="AF129" s="67"/>
      <c r="AG129" s="67"/>
      <c r="AH129" s="67"/>
      <c r="AI129" s="67"/>
      <c r="AJ129" s="67"/>
      <c r="AK129" s="67"/>
      <c r="AL129" s="67"/>
      <c r="AM129" s="67"/>
      <c r="AN129" s="67"/>
      <c r="AO129" s="67"/>
      <c r="AP129" s="67"/>
      <c r="AQ129" s="67"/>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row>
    <row r="130" spans="2:70" ht="15">
      <c r="B130" s="782"/>
      <c r="D130" s="32"/>
      <c r="E130" s="32" t="s">
        <v>897</v>
      </c>
      <c r="F130" s="793" t="s">
        <v>885</v>
      </c>
      <c r="G130" s="794" t="s">
        <v>886</v>
      </c>
      <c r="H130" s="794"/>
      <c r="I130" s="795"/>
      <c r="J130" s="663"/>
      <c r="K130" s="662"/>
      <c r="L130" s="794" t="s">
        <v>886</v>
      </c>
      <c r="M130" s="794"/>
      <c r="N130" s="795"/>
      <c r="O130" s="663"/>
      <c r="P130" s="662"/>
      <c r="Q130" s="796" t="s">
        <v>396</v>
      </c>
      <c r="R130" s="65"/>
      <c r="Z130" s="66"/>
      <c r="AA130" s="67"/>
      <c r="AB130" s="67"/>
      <c r="AC130" s="67"/>
      <c r="AD130" s="67"/>
      <c r="AE130" s="67"/>
      <c r="AF130" s="67"/>
      <c r="AG130" s="67"/>
      <c r="AH130" s="67"/>
      <c r="AI130" s="67"/>
      <c r="AJ130" s="67"/>
      <c r="AK130" s="67"/>
      <c r="AL130" s="67"/>
      <c r="AM130" s="67"/>
      <c r="AN130" s="67"/>
      <c r="AO130" s="67"/>
      <c r="AP130" s="67"/>
      <c r="AQ130" s="67"/>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row>
    <row r="131" spans="2:70" ht="15">
      <c r="B131" s="782"/>
      <c r="C131" s="797"/>
      <c r="D131" s="32"/>
      <c r="E131" s="32" t="s">
        <v>884</v>
      </c>
      <c r="F131" s="798" t="s">
        <v>898</v>
      </c>
      <c r="G131" s="672" t="s">
        <v>887</v>
      </c>
      <c r="H131" s="672" t="s">
        <v>888</v>
      </c>
      <c r="I131" s="799" t="s">
        <v>888</v>
      </c>
      <c r="J131" s="672" t="s">
        <v>888</v>
      </c>
      <c r="K131" s="800" t="s">
        <v>889</v>
      </c>
      <c r="L131" s="672" t="s">
        <v>887</v>
      </c>
      <c r="M131" s="801" t="s">
        <v>888</v>
      </c>
      <c r="N131" s="799" t="s">
        <v>888</v>
      </c>
      <c r="O131" s="672" t="s">
        <v>888</v>
      </c>
      <c r="P131" s="800" t="s">
        <v>889</v>
      </c>
      <c r="Q131" s="56" t="s">
        <v>398</v>
      </c>
      <c r="R131" s="65"/>
      <c r="Z131" s="66"/>
      <c r="AA131" s="67"/>
      <c r="AB131" s="67"/>
      <c r="AC131" s="67"/>
      <c r="AD131" s="67"/>
      <c r="AE131" s="67"/>
      <c r="AF131" s="67"/>
      <c r="AG131" s="67"/>
      <c r="AH131" s="67"/>
      <c r="AI131" s="67"/>
      <c r="AJ131" s="67"/>
      <c r="AK131" s="67"/>
      <c r="AL131" s="67"/>
      <c r="AM131" s="67"/>
      <c r="AN131" s="67"/>
      <c r="AO131" s="67"/>
      <c r="AP131" s="67"/>
      <c r="AQ131" s="67"/>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row>
    <row r="132" spans="2:70" ht="15">
      <c r="B132" s="782"/>
      <c r="C132" s="57"/>
      <c r="D132" s="783"/>
      <c r="E132" s="57"/>
      <c r="F132" s="802"/>
      <c r="G132" s="803"/>
      <c r="H132" s="803"/>
      <c r="I132" s="804"/>
      <c r="J132" s="803"/>
      <c r="K132" s="805" t="s">
        <v>903</v>
      </c>
      <c r="L132" s="802"/>
      <c r="M132" s="803"/>
      <c r="N132" s="804"/>
      <c r="O132" s="803"/>
      <c r="P132" s="805" t="s">
        <v>904</v>
      </c>
      <c r="Q132" s="806" t="s">
        <v>905</v>
      </c>
      <c r="R132" s="807"/>
      <c r="Z132" s="66"/>
      <c r="AA132" s="67"/>
      <c r="AB132" s="67"/>
      <c r="AC132" s="67"/>
      <c r="AD132" s="67"/>
      <c r="AE132" s="67"/>
      <c r="AF132" s="67"/>
      <c r="AG132" s="67"/>
      <c r="AH132" s="67"/>
      <c r="AI132" s="67"/>
      <c r="AJ132" s="67"/>
      <c r="AK132" s="67"/>
      <c r="AL132" s="67"/>
      <c r="AM132" s="67"/>
      <c r="AN132" s="67"/>
      <c r="AO132" s="67"/>
      <c r="AP132" s="67"/>
      <c r="AQ132" s="67"/>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row>
    <row r="133" spans="2:70" ht="15">
      <c r="B133" s="782"/>
      <c r="C133" s="57"/>
      <c r="D133" s="783"/>
      <c r="E133" s="57"/>
      <c r="F133" s="808" t="s">
        <v>1697</v>
      </c>
      <c r="G133" s="809" t="s">
        <v>1698</v>
      </c>
      <c r="H133" s="810" t="s">
        <v>890</v>
      </c>
      <c r="I133" s="809" t="s">
        <v>1700</v>
      </c>
      <c r="J133" s="831" t="s">
        <v>1701</v>
      </c>
      <c r="K133" s="812" t="s">
        <v>1702</v>
      </c>
      <c r="L133" s="813" t="s">
        <v>891</v>
      </c>
      <c r="M133" s="814" t="s">
        <v>892</v>
      </c>
      <c r="N133" s="813" t="s">
        <v>893</v>
      </c>
      <c r="O133" s="815" t="s">
        <v>894</v>
      </c>
      <c r="P133" s="58" t="s">
        <v>895</v>
      </c>
      <c r="Q133" s="58" t="s">
        <v>902</v>
      </c>
      <c r="R133" s="65"/>
      <c r="T133" s="816"/>
      <c r="U133" s="816"/>
      <c r="Z133" s="66"/>
      <c r="AA133" s="67"/>
      <c r="AB133" s="67"/>
      <c r="AC133" s="67"/>
      <c r="AD133" s="67"/>
      <c r="AE133" s="67"/>
      <c r="AF133" s="67"/>
      <c r="AG133" s="67"/>
      <c r="AH133" s="67"/>
      <c r="AI133" s="67"/>
      <c r="AJ133" s="67"/>
      <c r="AK133" s="67"/>
      <c r="AL133" s="67"/>
      <c r="AM133" s="67"/>
      <c r="AN133" s="67"/>
      <c r="AO133" s="67"/>
      <c r="AP133" s="67"/>
      <c r="AQ133" s="67"/>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row>
    <row r="134" spans="2:70" ht="15">
      <c r="B134" s="782"/>
      <c r="C134" s="59" t="s">
        <v>385</v>
      </c>
      <c r="D134" s="103">
        <f aca="true" t="shared" si="29" ref="D134:E145">+D105</f>
        <v>800</v>
      </c>
      <c r="E134" s="59">
        <f t="shared" si="29"/>
        <v>39471</v>
      </c>
      <c r="F134" s="1331">
        <v>40</v>
      </c>
      <c r="G134" s="1331">
        <v>84</v>
      </c>
      <c r="H134" s="1331"/>
      <c r="I134" s="1331"/>
      <c r="J134" s="1331"/>
      <c r="K134" s="1332">
        <f aca="true" t="shared" si="30" ref="K134:K145">SUM(F134:J134)</f>
        <v>124</v>
      </c>
      <c r="L134" s="1333">
        <v>44</v>
      </c>
      <c r="M134" s="1331"/>
      <c r="N134" s="1331"/>
      <c r="O134" s="1331"/>
      <c r="P134" s="1332">
        <f aca="true" t="shared" si="31" ref="P134:P145">SUM(L134:O134)</f>
        <v>44</v>
      </c>
      <c r="Q134" s="817">
        <f>K134+P134</f>
        <v>168</v>
      </c>
      <c r="R134" s="65"/>
      <c r="T134" s="818"/>
      <c r="U134" s="819"/>
      <c r="Z134" s="66"/>
      <c r="AA134" s="67"/>
      <c r="AB134" s="67"/>
      <c r="AC134" s="67"/>
      <c r="AD134" s="67"/>
      <c r="AE134" s="67"/>
      <c r="AF134" s="67"/>
      <c r="AG134" s="67"/>
      <c r="AH134" s="67"/>
      <c r="AI134" s="67"/>
      <c r="AJ134" s="67"/>
      <c r="AK134" s="67"/>
      <c r="AL134" s="67"/>
      <c r="AM134" s="67"/>
      <c r="AN134" s="67"/>
      <c r="AO134" s="67"/>
      <c r="AP134" s="67"/>
      <c r="AQ134" s="67"/>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row>
    <row r="135" spans="2:70" ht="15">
      <c r="B135" s="782"/>
      <c r="C135" s="59" t="s">
        <v>386</v>
      </c>
      <c r="D135" s="103">
        <f t="shared" si="29"/>
        <v>1900</v>
      </c>
      <c r="E135" s="59">
        <f t="shared" si="29"/>
        <v>39498</v>
      </c>
      <c r="F135" s="1331">
        <v>26</v>
      </c>
      <c r="G135" s="1331">
        <v>76</v>
      </c>
      <c r="H135" s="1331"/>
      <c r="I135" s="1331"/>
      <c r="J135" s="1331"/>
      <c r="K135" s="1332">
        <f t="shared" si="30"/>
        <v>102</v>
      </c>
      <c r="L135" s="1333">
        <v>41</v>
      </c>
      <c r="M135" s="1331"/>
      <c r="N135" s="1331"/>
      <c r="O135" s="1331"/>
      <c r="P135" s="1332">
        <f t="shared" si="31"/>
        <v>41</v>
      </c>
      <c r="Q135" s="817">
        <f aca="true" t="shared" si="32" ref="Q135:Q145">K135+P135</f>
        <v>143</v>
      </c>
      <c r="R135" s="65"/>
      <c r="T135" s="818"/>
      <c r="U135" s="819"/>
      <c r="Z135" s="66"/>
      <c r="AA135" s="67"/>
      <c r="AB135" s="67"/>
      <c r="AC135" s="67"/>
      <c r="AD135" s="67"/>
      <c r="AE135" s="67"/>
      <c r="AF135" s="67"/>
      <c r="AG135" s="67"/>
      <c r="AH135" s="67"/>
      <c r="AI135" s="67"/>
      <c r="AJ135" s="67"/>
      <c r="AK135" s="67"/>
      <c r="AL135" s="67"/>
      <c r="AM135" s="67"/>
      <c r="AN135" s="67"/>
      <c r="AO135" s="67"/>
      <c r="AP135" s="67"/>
      <c r="AQ135" s="67"/>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row>
    <row r="136" spans="2:70" ht="15">
      <c r="B136" s="782"/>
      <c r="C136" s="59" t="s">
        <v>387</v>
      </c>
      <c r="D136" s="103">
        <f t="shared" si="29"/>
        <v>2000</v>
      </c>
      <c r="E136" s="59">
        <f t="shared" si="29"/>
        <v>39514</v>
      </c>
      <c r="F136" s="1331">
        <v>27</v>
      </c>
      <c r="G136" s="1331">
        <v>72</v>
      </c>
      <c r="H136" s="1331"/>
      <c r="I136" s="1331"/>
      <c r="J136" s="1331"/>
      <c r="K136" s="1332">
        <f t="shared" si="30"/>
        <v>99</v>
      </c>
      <c r="L136" s="1333">
        <v>36</v>
      </c>
      <c r="M136" s="1331"/>
      <c r="N136" s="1331"/>
      <c r="O136" s="1331"/>
      <c r="P136" s="1332">
        <f t="shared" si="31"/>
        <v>36</v>
      </c>
      <c r="Q136" s="817">
        <f t="shared" si="32"/>
        <v>135</v>
      </c>
      <c r="R136" s="65"/>
      <c r="T136" s="818"/>
      <c r="U136" s="819"/>
      <c r="Z136" s="66"/>
      <c r="AA136" s="67"/>
      <c r="AB136" s="67"/>
      <c r="AC136" s="67"/>
      <c r="AD136" s="67"/>
      <c r="AE136" s="67"/>
      <c r="AF136" s="67"/>
      <c r="AG136" s="67"/>
      <c r="AH136" s="67"/>
      <c r="AI136" s="67"/>
      <c r="AJ136" s="67"/>
      <c r="AK136" s="67"/>
      <c r="AL136" s="67"/>
      <c r="AM136" s="67"/>
      <c r="AN136" s="67"/>
      <c r="AO136" s="67"/>
      <c r="AP136" s="67"/>
      <c r="AQ136" s="67"/>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row>
    <row r="137" spans="2:70" ht="15">
      <c r="B137" s="782"/>
      <c r="C137" s="59" t="s">
        <v>388</v>
      </c>
      <c r="D137" s="103">
        <f t="shared" si="29"/>
        <v>1700</v>
      </c>
      <c r="E137" s="59">
        <f t="shared" si="29"/>
        <v>39559</v>
      </c>
      <c r="F137" s="1331">
        <v>38</v>
      </c>
      <c r="G137" s="1331">
        <v>73</v>
      </c>
      <c r="H137" s="1331"/>
      <c r="I137" s="1331"/>
      <c r="J137" s="1331"/>
      <c r="K137" s="1332">
        <f t="shared" si="30"/>
        <v>111</v>
      </c>
      <c r="L137" s="1333">
        <v>33</v>
      </c>
      <c r="M137" s="1331"/>
      <c r="N137" s="1331"/>
      <c r="O137" s="1331"/>
      <c r="P137" s="1332">
        <f t="shared" si="31"/>
        <v>33</v>
      </c>
      <c r="Q137" s="817">
        <f t="shared" si="32"/>
        <v>144</v>
      </c>
      <c r="R137" s="65"/>
      <c r="T137" s="818"/>
      <c r="U137" s="819"/>
      <c r="Z137" s="66"/>
      <c r="AA137" s="67"/>
      <c r="AB137" s="67"/>
      <c r="AC137" s="67"/>
      <c r="AD137" s="67"/>
      <c r="AE137" s="67"/>
      <c r="AF137" s="67"/>
      <c r="AG137" s="67"/>
      <c r="AH137" s="67"/>
      <c r="AI137" s="67"/>
      <c r="AJ137" s="67"/>
      <c r="AK137" s="67"/>
      <c r="AL137" s="67"/>
      <c r="AM137" s="67"/>
      <c r="AN137" s="67"/>
      <c r="AO137" s="67"/>
      <c r="AP137" s="67"/>
      <c r="AQ137" s="67"/>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row>
    <row r="138" spans="2:70" ht="15">
      <c r="B138" s="782"/>
      <c r="C138" s="59" t="s">
        <v>30</v>
      </c>
      <c r="D138" s="103">
        <f t="shared" si="29"/>
        <v>1700</v>
      </c>
      <c r="E138" s="59">
        <f t="shared" si="29"/>
        <v>39598</v>
      </c>
      <c r="F138" s="1331">
        <v>45</v>
      </c>
      <c r="G138" s="1331">
        <v>97</v>
      </c>
      <c r="H138" s="1331"/>
      <c r="I138" s="1331"/>
      <c r="J138" s="1331"/>
      <c r="K138" s="1332">
        <f t="shared" si="30"/>
        <v>142</v>
      </c>
      <c r="L138" s="1331">
        <v>46</v>
      </c>
      <c r="M138" s="1331"/>
      <c r="N138" s="1331"/>
      <c r="O138" s="1331"/>
      <c r="P138" s="1332">
        <f t="shared" si="31"/>
        <v>46</v>
      </c>
      <c r="Q138" s="817">
        <f t="shared" si="32"/>
        <v>188</v>
      </c>
      <c r="R138" s="65"/>
      <c r="T138" s="818"/>
      <c r="U138" s="819"/>
      <c r="Z138" s="66"/>
      <c r="AA138" s="67"/>
      <c r="AB138" s="67"/>
      <c r="AC138" s="67"/>
      <c r="AD138" s="67"/>
      <c r="AE138" s="67"/>
      <c r="AF138" s="67"/>
      <c r="AG138" s="67"/>
      <c r="AH138" s="67"/>
      <c r="AI138" s="67"/>
      <c r="AJ138" s="67"/>
      <c r="AK138" s="67"/>
      <c r="AL138" s="67"/>
      <c r="AM138" s="67"/>
      <c r="AN138" s="67"/>
      <c r="AO138" s="67"/>
      <c r="AP138" s="67"/>
      <c r="AQ138" s="67"/>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row>
    <row r="139" spans="2:70" ht="15">
      <c r="B139" s="782"/>
      <c r="C139" s="59" t="s">
        <v>389</v>
      </c>
      <c r="D139" s="103">
        <f t="shared" si="29"/>
        <v>1700</v>
      </c>
      <c r="E139" s="59">
        <f t="shared" si="29"/>
        <v>39624</v>
      </c>
      <c r="F139" s="1331">
        <v>5</v>
      </c>
      <c r="G139" s="1331">
        <v>117</v>
      </c>
      <c r="H139" s="1331"/>
      <c r="I139" s="1331"/>
      <c r="J139" s="1331"/>
      <c r="K139" s="1332">
        <f t="shared" si="30"/>
        <v>122</v>
      </c>
      <c r="L139" s="1331">
        <v>55</v>
      </c>
      <c r="M139" s="1331"/>
      <c r="N139" s="1331"/>
      <c r="O139" s="1331"/>
      <c r="P139" s="1332">
        <f t="shared" si="31"/>
        <v>55</v>
      </c>
      <c r="Q139" s="817">
        <f t="shared" si="32"/>
        <v>177</v>
      </c>
      <c r="R139" s="65"/>
      <c r="T139" s="818"/>
      <c r="U139" s="819"/>
      <c r="Z139" s="66"/>
      <c r="AA139" s="67"/>
      <c r="AB139" s="67"/>
      <c r="AC139" s="67"/>
      <c r="AD139" s="67"/>
      <c r="AE139" s="67"/>
      <c r="AF139" s="67"/>
      <c r="AG139" s="67"/>
      <c r="AH139" s="67"/>
      <c r="AI139" s="67"/>
      <c r="AJ139" s="67"/>
      <c r="AK139" s="67"/>
      <c r="AL139" s="67"/>
      <c r="AM139" s="67"/>
      <c r="AN139" s="67"/>
      <c r="AO139" s="67"/>
      <c r="AP139" s="67"/>
      <c r="AQ139" s="67"/>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row>
    <row r="140" spans="2:70" ht="15">
      <c r="B140" s="782"/>
      <c r="C140" s="59" t="s">
        <v>390</v>
      </c>
      <c r="D140" s="103">
        <f t="shared" si="29"/>
        <v>1700</v>
      </c>
      <c r="E140" s="59">
        <f t="shared" si="29"/>
        <v>39650</v>
      </c>
      <c r="F140" s="1331">
        <v>7</v>
      </c>
      <c r="G140" s="1331">
        <v>108</v>
      </c>
      <c r="H140" s="1331"/>
      <c r="I140" s="1331"/>
      <c r="J140" s="1331"/>
      <c r="K140" s="1332">
        <f t="shared" si="30"/>
        <v>115</v>
      </c>
      <c r="L140" s="1331">
        <v>60</v>
      </c>
      <c r="M140" s="1331"/>
      <c r="N140" s="1331"/>
      <c r="O140" s="1331"/>
      <c r="P140" s="1332">
        <f t="shared" si="31"/>
        <v>60</v>
      </c>
      <c r="Q140" s="817">
        <f t="shared" si="32"/>
        <v>175</v>
      </c>
      <c r="R140" s="65"/>
      <c r="T140" s="818"/>
      <c r="U140" s="819"/>
      <c r="Z140" s="66"/>
      <c r="AA140" s="67"/>
      <c r="AB140" s="67"/>
      <c r="AC140" s="67"/>
      <c r="AD140" s="67"/>
      <c r="AE140" s="67"/>
      <c r="AF140" s="67"/>
      <c r="AG140" s="67"/>
      <c r="AH140" s="67"/>
      <c r="AI140" s="67"/>
      <c r="AJ140" s="67"/>
      <c r="AK140" s="67"/>
      <c r="AL140" s="67"/>
      <c r="AM140" s="67"/>
      <c r="AN140" s="67"/>
      <c r="AO140" s="67"/>
      <c r="AP140" s="67"/>
      <c r="AQ140" s="67"/>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row>
    <row r="141" spans="2:70" ht="15">
      <c r="B141" s="782"/>
      <c r="C141" s="59" t="s">
        <v>391</v>
      </c>
      <c r="D141" s="103">
        <f t="shared" si="29"/>
        <v>1700</v>
      </c>
      <c r="E141" s="59">
        <f t="shared" si="29"/>
        <v>39664</v>
      </c>
      <c r="F141" s="1331">
        <v>2</v>
      </c>
      <c r="G141" s="1331">
        <v>114</v>
      </c>
      <c r="H141" s="1331"/>
      <c r="I141" s="1331"/>
      <c r="J141" s="1331"/>
      <c r="K141" s="1332">
        <f t="shared" si="30"/>
        <v>116</v>
      </c>
      <c r="L141" s="1331">
        <v>61</v>
      </c>
      <c r="M141" s="1331"/>
      <c r="N141" s="1331"/>
      <c r="O141" s="1331"/>
      <c r="P141" s="1332">
        <f t="shared" si="31"/>
        <v>61</v>
      </c>
      <c r="Q141" s="817">
        <f t="shared" si="32"/>
        <v>177</v>
      </c>
      <c r="R141" s="65"/>
      <c r="T141" s="818"/>
      <c r="U141" s="819"/>
      <c r="Z141" s="66"/>
      <c r="AA141" s="67"/>
      <c r="AB141" s="67"/>
      <c r="AC141" s="67"/>
      <c r="AD141" s="67"/>
      <c r="AE141" s="67"/>
      <c r="AF141" s="67"/>
      <c r="AG141" s="67"/>
      <c r="AH141" s="67"/>
      <c r="AI141" s="67"/>
      <c r="AJ141" s="67"/>
      <c r="AK141" s="67"/>
      <c r="AL141" s="67"/>
      <c r="AM141" s="67"/>
      <c r="AN141" s="67"/>
      <c r="AO141" s="67"/>
      <c r="AP141" s="67"/>
      <c r="AQ141" s="67"/>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row>
    <row r="142" spans="2:70" ht="15">
      <c r="B142" s="782"/>
      <c r="C142" s="59" t="s">
        <v>392</v>
      </c>
      <c r="D142" s="103">
        <f t="shared" si="29"/>
        <v>1800</v>
      </c>
      <c r="E142" s="59">
        <f t="shared" si="29"/>
        <v>39692</v>
      </c>
      <c r="F142" s="1331">
        <v>27</v>
      </c>
      <c r="G142" s="1331">
        <v>90</v>
      </c>
      <c r="H142" s="1331"/>
      <c r="I142" s="1331"/>
      <c r="J142" s="1331"/>
      <c r="K142" s="1332">
        <f t="shared" si="30"/>
        <v>117</v>
      </c>
      <c r="L142" s="1331">
        <v>49</v>
      </c>
      <c r="M142" s="1331"/>
      <c r="N142" s="1331"/>
      <c r="O142" s="1331"/>
      <c r="P142" s="1332">
        <f t="shared" si="31"/>
        <v>49</v>
      </c>
      <c r="Q142" s="817">
        <f t="shared" si="32"/>
        <v>166</v>
      </c>
      <c r="R142" s="65"/>
      <c r="T142" s="818"/>
      <c r="U142" s="819"/>
      <c r="Z142" s="66"/>
      <c r="AA142" s="67"/>
      <c r="AB142" s="67"/>
      <c r="AC142" s="67"/>
      <c r="AD142" s="67"/>
      <c r="AE142" s="67"/>
      <c r="AF142" s="67"/>
      <c r="AG142" s="67"/>
      <c r="AH142" s="67"/>
      <c r="AI142" s="67"/>
      <c r="AJ142" s="67"/>
      <c r="AK142" s="67"/>
      <c r="AL142" s="67"/>
      <c r="AM142" s="67"/>
      <c r="AN142" s="67"/>
      <c r="AO142" s="67"/>
      <c r="AP142" s="67"/>
      <c r="AQ142" s="67"/>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row>
    <row r="143" spans="2:70" ht="15">
      <c r="B143" s="782"/>
      <c r="C143" s="59" t="s">
        <v>393</v>
      </c>
      <c r="D143" s="103">
        <f t="shared" si="29"/>
        <v>1700</v>
      </c>
      <c r="E143" s="59">
        <f t="shared" si="29"/>
        <v>39730</v>
      </c>
      <c r="F143" s="1331">
        <v>41</v>
      </c>
      <c r="G143" s="1331">
        <v>72</v>
      </c>
      <c r="H143" s="1331"/>
      <c r="I143" s="1331"/>
      <c r="J143" s="1331"/>
      <c r="K143" s="1332">
        <f t="shared" si="30"/>
        <v>113</v>
      </c>
      <c r="L143" s="1331">
        <v>36</v>
      </c>
      <c r="M143" s="1331"/>
      <c r="N143" s="1331"/>
      <c r="O143" s="1331"/>
      <c r="P143" s="1332">
        <f t="shared" si="31"/>
        <v>36</v>
      </c>
      <c r="Q143" s="817">
        <f t="shared" si="32"/>
        <v>149</v>
      </c>
      <c r="R143" s="65"/>
      <c r="T143" s="818"/>
      <c r="U143" s="819"/>
      <c r="Z143" s="66"/>
      <c r="AA143" s="67"/>
      <c r="AB143" s="67"/>
      <c r="AC143" s="67"/>
      <c r="AD143" s="67"/>
      <c r="AE143" s="67"/>
      <c r="AF143" s="67"/>
      <c r="AG143" s="67"/>
      <c r="AH143" s="67"/>
      <c r="AI143" s="67"/>
      <c r="AJ143" s="67"/>
      <c r="AK143" s="67"/>
      <c r="AL143" s="67"/>
      <c r="AM143" s="67"/>
      <c r="AN143" s="67"/>
      <c r="AO143" s="67"/>
      <c r="AP143" s="67"/>
      <c r="AQ143" s="67"/>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row>
    <row r="144" spans="2:70" ht="15">
      <c r="B144" s="782"/>
      <c r="C144" s="59" t="s">
        <v>394</v>
      </c>
      <c r="D144" s="103">
        <f t="shared" si="29"/>
        <v>1900</v>
      </c>
      <c r="E144" s="59">
        <f t="shared" si="29"/>
        <v>39772</v>
      </c>
      <c r="F144" s="1331">
        <v>35</v>
      </c>
      <c r="G144" s="1331">
        <v>67</v>
      </c>
      <c r="H144" s="1331"/>
      <c r="I144" s="1331"/>
      <c r="J144" s="1331"/>
      <c r="K144" s="1332">
        <f t="shared" si="30"/>
        <v>102</v>
      </c>
      <c r="L144" s="1331">
        <v>39</v>
      </c>
      <c r="M144" s="1331"/>
      <c r="N144" s="1331"/>
      <c r="O144" s="1331"/>
      <c r="P144" s="1332">
        <f t="shared" si="31"/>
        <v>39</v>
      </c>
      <c r="Q144" s="817">
        <f t="shared" si="32"/>
        <v>141</v>
      </c>
      <c r="R144" s="65"/>
      <c r="T144" s="818"/>
      <c r="U144" s="819"/>
      <c r="Z144" s="66"/>
      <c r="AA144" s="67"/>
      <c r="AB144" s="67"/>
      <c r="AC144" s="67"/>
      <c r="AD144" s="67"/>
      <c r="AE144" s="67"/>
      <c r="AF144" s="67"/>
      <c r="AG144" s="67"/>
      <c r="AH144" s="67"/>
      <c r="AI144" s="67"/>
      <c r="AJ144" s="67"/>
      <c r="AK144" s="67"/>
      <c r="AL144" s="67"/>
      <c r="AM144" s="67"/>
      <c r="AN144" s="67"/>
      <c r="AO144" s="67"/>
      <c r="AP144" s="67"/>
      <c r="AQ144" s="67"/>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row>
    <row r="145" spans="2:70" ht="15">
      <c r="B145" s="782"/>
      <c r="C145" s="59" t="s">
        <v>395</v>
      </c>
      <c r="D145" s="103">
        <f t="shared" si="29"/>
        <v>1900</v>
      </c>
      <c r="E145" s="59">
        <f t="shared" si="29"/>
        <v>39797</v>
      </c>
      <c r="F145" s="1331">
        <v>35</v>
      </c>
      <c r="G145" s="1331">
        <v>80</v>
      </c>
      <c r="H145" s="1331"/>
      <c r="I145" s="1331"/>
      <c r="J145" s="1331"/>
      <c r="K145" s="1332">
        <f t="shared" si="30"/>
        <v>115</v>
      </c>
      <c r="L145" s="1331">
        <v>46</v>
      </c>
      <c r="M145" s="1331"/>
      <c r="N145" s="1331"/>
      <c r="O145" s="1331"/>
      <c r="P145" s="1332">
        <f t="shared" si="31"/>
        <v>46</v>
      </c>
      <c r="Q145" s="817">
        <f t="shared" si="32"/>
        <v>161</v>
      </c>
      <c r="R145" s="65"/>
      <c r="T145" s="818"/>
      <c r="U145" s="819"/>
      <c r="Z145" s="66"/>
      <c r="AA145" s="67"/>
      <c r="AB145" s="67"/>
      <c r="AC145" s="67"/>
      <c r="AD145" s="67"/>
      <c r="AE145" s="67"/>
      <c r="AF145" s="67"/>
      <c r="AG145" s="67"/>
      <c r="AH145" s="67"/>
      <c r="AI145" s="67"/>
      <c r="AJ145" s="67"/>
      <c r="AK145" s="67"/>
      <c r="AL145" s="67"/>
      <c r="AM145" s="67"/>
      <c r="AN145" s="67"/>
      <c r="AO145" s="67"/>
      <c r="AP145" s="67"/>
      <c r="AQ145" s="67"/>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row>
    <row r="146" spans="19:69" ht="15">
      <c r="S146" s="816"/>
      <c r="T146" s="816"/>
      <c r="Y146" s="66"/>
      <c r="Z146" s="67"/>
      <c r="AA146" s="67"/>
      <c r="AB146" s="67"/>
      <c r="AC146" s="67"/>
      <c r="AD146" s="67"/>
      <c r="AE146" s="67"/>
      <c r="AF146" s="67"/>
      <c r="AG146" s="67"/>
      <c r="AH146" s="67"/>
      <c r="AI146" s="67"/>
      <c r="AJ146" s="67"/>
      <c r="AK146" s="67"/>
      <c r="AL146" s="67"/>
      <c r="AM146" s="67"/>
      <c r="AN146" s="67"/>
      <c r="AO146" s="67"/>
      <c r="AP146" s="67"/>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row>
    <row r="147" spans="2:69" ht="15">
      <c r="B147" s="782"/>
      <c r="D147" s="32"/>
      <c r="E147" s="64"/>
      <c r="F147" s="65"/>
      <c r="G147" s="65"/>
      <c r="H147" s="65"/>
      <c r="I147" s="65"/>
      <c r="J147" s="65"/>
      <c r="K147" s="65"/>
      <c r="L147" s="65"/>
      <c r="M147" s="65"/>
      <c r="N147" s="65"/>
      <c r="O147" s="65"/>
      <c r="P147" s="65"/>
      <c r="Q147" s="65"/>
      <c r="Y147" s="66"/>
      <c r="Z147" s="67"/>
      <c r="AA147" s="67"/>
      <c r="AB147" s="67"/>
      <c r="AC147" s="67"/>
      <c r="AD147" s="67"/>
      <c r="AE147" s="67"/>
      <c r="AF147" s="67"/>
      <c r="AG147" s="67"/>
      <c r="AH147" s="67"/>
      <c r="AI147" s="67"/>
      <c r="AJ147" s="67"/>
      <c r="AK147" s="67"/>
      <c r="AL147" s="67"/>
      <c r="AM147" s="67"/>
      <c r="AN147" s="67"/>
      <c r="AO147" s="67"/>
      <c r="AP147" s="67"/>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row>
    <row r="148" spans="2:69" ht="15">
      <c r="B148" s="782" t="s">
        <v>1448</v>
      </c>
      <c r="C148" s="733" t="s">
        <v>1446</v>
      </c>
      <c r="D148" s="32"/>
      <c r="E148" s="64"/>
      <c r="F148" s="65"/>
      <c r="G148" s="65"/>
      <c r="H148" s="65"/>
      <c r="I148" s="65"/>
      <c r="J148" s="65"/>
      <c r="K148" s="65"/>
      <c r="L148" s="65"/>
      <c r="M148" s="65"/>
      <c r="N148" s="65"/>
      <c r="O148" s="65"/>
      <c r="P148" s="65"/>
      <c r="Q148" s="65"/>
      <c r="Y148" s="67"/>
      <c r="Z148" s="67"/>
      <c r="AA148" s="67"/>
      <c r="AB148" s="67"/>
      <c r="AC148" s="67"/>
      <c r="AD148" s="67"/>
      <c r="AE148" s="67"/>
      <c r="AF148" s="67"/>
      <c r="AG148" s="67"/>
      <c r="AH148" s="67"/>
      <c r="AI148" s="67"/>
      <c r="AJ148" s="67"/>
      <c r="AK148" s="67"/>
      <c r="AL148" s="67"/>
      <c r="AM148" s="67"/>
      <c r="AN148" s="67"/>
      <c r="AO148" s="67"/>
      <c r="AP148" s="67"/>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row>
    <row r="149" spans="2:69" ht="15">
      <c r="B149" s="782"/>
      <c r="D149" s="32"/>
      <c r="E149" s="64"/>
      <c r="F149" s="65"/>
      <c r="G149" s="65"/>
      <c r="H149" s="65"/>
      <c r="I149" s="65"/>
      <c r="J149" s="65"/>
      <c r="K149" s="65"/>
      <c r="L149" s="65"/>
      <c r="M149" s="65"/>
      <c r="N149" s="65"/>
      <c r="O149" s="65"/>
      <c r="P149" s="65"/>
      <c r="Q149" s="65"/>
      <c r="Y149" s="67"/>
      <c r="Z149" s="67"/>
      <c r="AA149" s="67"/>
      <c r="AB149" s="67"/>
      <c r="AC149" s="67"/>
      <c r="AD149" s="67"/>
      <c r="AE149" s="67"/>
      <c r="AF149" s="67"/>
      <c r="AG149" s="67"/>
      <c r="AH149" s="67"/>
      <c r="AI149" s="67"/>
      <c r="AJ149" s="67"/>
      <c r="AK149" s="67"/>
      <c r="AL149" s="67"/>
      <c r="AM149" s="67"/>
      <c r="AN149" s="67"/>
      <c r="AO149" s="67"/>
      <c r="AP149" s="67"/>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row>
    <row r="150" spans="2:70" ht="15">
      <c r="B150" s="782"/>
      <c r="D150" s="32"/>
      <c r="E150" s="64"/>
      <c r="F150" s="1414" t="s">
        <v>29</v>
      </c>
      <c r="G150" s="1415"/>
      <c r="H150" s="1415"/>
      <c r="I150" s="1415"/>
      <c r="J150" s="1415"/>
      <c r="K150" s="1416"/>
      <c r="L150" s="1414" t="s">
        <v>28</v>
      </c>
      <c r="M150" s="1415"/>
      <c r="N150" s="1415"/>
      <c r="O150" s="1415"/>
      <c r="P150" s="1416"/>
      <c r="Q150" s="664"/>
      <c r="R150" s="65"/>
      <c r="Z150" s="67"/>
      <c r="AA150" s="67"/>
      <c r="AB150" s="67"/>
      <c r="AC150" s="67"/>
      <c r="AD150" s="67"/>
      <c r="AE150" s="67"/>
      <c r="AF150" s="67"/>
      <c r="AG150" s="67"/>
      <c r="AH150" s="67"/>
      <c r="AI150" s="67"/>
      <c r="AJ150" s="67"/>
      <c r="AK150" s="67"/>
      <c r="AL150" s="67"/>
      <c r="AM150" s="67"/>
      <c r="AN150" s="67"/>
      <c r="AO150" s="67"/>
      <c r="AP150" s="67"/>
      <c r="AQ150" s="67"/>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row>
    <row r="151" spans="2:75" ht="15">
      <c r="B151" s="46"/>
      <c r="C151" s="32"/>
      <c r="D151" s="32"/>
      <c r="E151" s="32" t="s">
        <v>897</v>
      </c>
      <c r="F151" s="794" t="s">
        <v>886</v>
      </c>
      <c r="G151" s="794" t="s">
        <v>899</v>
      </c>
      <c r="H151" s="794" t="s">
        <v>899</v>
      </c>
      <c r="I151" s="663"/>
      <c r="J151" s="663"/>
      <c r="K151" s="662"/>
      <c r="L151" s="794" t="s">
        <v>886</v>
      </c>
      <c r="M151" s="794" t="s">
        <v>899</v>
      </c>
      <c r="N151" s="795"/>
      <c r="O151" s="663"/>
      <c r="P151" s="662"/>
      <c r="Q151" s="796" t="s">
        <v>900</v>
      </c>
      <c r="R151" s="65"/>
      <c r="S151" s="65"/>
      <c r="T151" s="65"/>
      <c r="U151" s="65"/>
      <c r="V151" s="65"/>
      <c r="W151" s="65"/>
      <c r="AE151" s="67"/>
      <c r="AF151" s="67"/>
      <c r="AG151" s="67"/>
      <c r="AH151" s="67"/>
      <c r="AI151" s="67"/>
      <c r="AJ151" s="67"/>
      <c r="AK151" s="67"/>
      <c r="AL151" s="67"/>
      <c r="AM151" s="67"/>
      <c r="AN151" s="67"/>
      <c r="AO151" s="67"/>
      <c r="AP151" s="67"/>
      <c r="AQ151" s="67"/>
      <c r="AR151" s="67"/>
      <c r="AS151" s="67"/>
      <c r="AT151" s="67"/>
      <c r="AU151" s="67"/>
      <c r="AV151" s="67"/>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row>
    <row r="152" spans="2:75" ht="15">
      <c r="B152" s="46"/>
      <c r="C152" s="32"/>
      <c r="D152" s="32"/>
      <c r="E152" s="32" t="s">
        <v>884</v>
      </c>
      <c r="F152" s="672" t="s">
        <v>887</v>
      </c>
      <c r="G152" s="672" t="s">
        <v>887</v>
      </c>
      <c r="H152" s="672" t="s">
        <v>397</v>
      </c>
      <c r="I152" s="672" t="s">
        <v>888</v>
      </c>
      <c r="J152" s="672" t="s">
        <v>888</v>
      </c>
      <c r="K152" s="800" t="s">
        <v>889</v>
      </c>
      <c r="L152" s="672" t="s">
        <v>887</v>
      </c>
      <c r="M152" s="801" t="s">
        <v>919</v>
      </c>
      <c r="N152" s="799" t="s">
        <v>888</v>
      </c>
      <c r="O152" s="672" t="s">
        <v>888</v>
      </c>
      <c r="P152" s="800" t="s">
        <v>889</v>
      </c>
      <c r="Q152" s="56" t="s">
        <v>901</v>
      </c>
      <c r="R152" s="65"/>
      <c r="S152" s="65"/>
      <c r="T152" s="65"/>
      <c r="U152" s="65"/>
      <c r="V152" s="65"/>
      <c r="W152" s="65"/>
      <c r="AE152" s="67"/>
      <c r="AF152" s="67"/>
      <c r="AG152" s="67"/>
      <c r="AH152" s="67"/>
      <c r="AI152" s="67"/>
      <c r="AJ152" s="67"/>
      <c r="AK152" s="67"/>
      <c r="AL152" s="67"/>
      <c r="AM152" s="67"/>
      <c r="AN152" s="67"/>
      <c r="AO152" s="67"/>
      <c r="AP152" s="67"/>
      <c r="AQ152" s="67"/>
      <c r="AR152" s="67"/>
      <c r="AS152" s="67"/>
      <c r="AT152" s="67"/>
      <c r="AU152" s="67"/>
      <c r="AV152" s="67"/>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row>
    <row r="153" spans="2:75" ht="18.75" customHeight="1">
      <c r="B153" s="46"/>
      <c r="C153" s="32"/>
      <c r="D153" s="32"/>
      <c r="E153" s="32"/>
      <c r="F153" s="798"/>
      <c r="G153" s="672"/>
      <c r="H153" s="672"/>
      <c r="I153" s="672"/>
      <c r="J153" s="672"/>
      <c r="K153" s="796" t="s">
        <v>903</v>
      </c>
      <c r="L153" s="798"/>
      <c r="M153" s="672"/>
      <c r="N153" s="799"/>
      <c r="O153" s="672"/>
      <c r="P153" s="796" t="s">
        <v>904</v>
      </c>
      <c r="Q153" s="56" t="s">
        <v>905</v>
      </c>
      <c r="R153" s="65"/>
      <c r="S153" s="65"/>
      <c r="T153" s="65"/>
      <c r="U153" s="65"/>
      <c r="V153" s="65"/>
      <c r="W153" s="65"/>
      <c r="AE153" s="67"/>
      <c r="AF153" s="67"/>
      <c r="AG153" s="67"/>
      <c r="AH153" s="67"/>
      <c r="AI153" s="67"/>
      <c r="AJ153" s="67"/>
      <c r="AK153" s="67"/>
      <c r="AL153" s="67"/>
      <c r="AM153" s="67"/>
      <c r="AN153" s="67"/>
      <c r="AO153" s="67"/>
      <c r="AP153" s="67"/>
      <c r="AQ153" s="67"/>
      <c r="AR153" s="67"/>
      <c r="AS153" s="67"/>
      <c r="AT153" s="67"/>
      <c r="AU153" s="67"/>
      <c r="AV153" s="67"/>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row>
    <row r="154" spans="2:75" ht="18.75" customHeight="1">
      <c r="B154" s="46"/>
      <c r="C154" s="32"/>
      <c r="D154" s="32"/>
      <c r="E154" s="32"/>
      <c r="F154" s="812" t="s">
        <v>1697</v>
      </c>
      <c r="G154" s="813" t="s">
        <v>1698</v>
      </c>
      <c r="H154" s="820" t="s">
        <v>890</v>
      </c>
      <c r="I154" s="813" t="s">
        <v>1700</v>
      </c>
      <c r="J154" s="831" t="s">
        <v>1701</v>
      </c>
      <c r="K154" s="812" t="s">
        <v>1702</v>
      </c>
      <c r="L154" s="813" t="s">
        <v>891</v>
      </c>
      <c r="M154" s="814" t="s">
        <v>892</v>
      </c>
      <c r="N154" s="813" t="s">
        <v>893</v>
      </c>
      <c r="O154" s="815" t="s">
        <v>894</v>
      </c>
      <c r="P154" s="58" t="s">
        <v>895</v>
      </c>
      <c r="Q154" s="58" t="s">
        <v>902</v>
      </c>
      <c r="R154" s="65"/>
      <c r="S154" s="65"/>
      <c r="T154" s="65"/>
      <c r="U154" s="65"/>
      <c r="V154" s="65"/>
      <c r="W154" s="65"/>
      <c r="AE154" s="67"/>
      <c r="AF154" s="67"/>
      <c r="AG154" s="67"/>
      <c r="AH154" s="67"/>
      <c r="AI154" s="67"/>
      <c r="AJ154" s="67"/>
      <c r="AK154" s="67"/>
      <c r="AL154" s="67"/>
      <c r="AM154" s="67"/>
      <c r="AN154" s="67"/>
      <c r="AO154" s="67"/>
      <c r="AP154" s="67"/>
      <c r="AQ154" s="67"/>
      <c r="AR154" s="67"/>
      <c r="AS154" s="67"/>
      <c r="AT154" s="67"/>
      <c r="AU154" s="67"/>
      <c r="AV154" s="67"/>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row>
    <row r="155" spans="2:75" ht="15">
      <c r="B155" s="46"/>
      <c r="C155" s="59" t="s">
        <v>385</v>
      </c>
      <c r="D155" s="103">
        <f aca="true" t="shared" si="33" ref="D155:E166">+D134</f>
        <v>800</v>
      </c>
      <c r="E155" s="102">
        <f t="shared" si="33"/>
        <v>39471</v>
      </c>
      <c r="F155" s="821">
        <v>0</v>
      </c>
      <c r="G155" s="789">
        <v>0</v>
      </c>
      <c r="H155" s="789">
        <v>0</v>
      </c>
      <c r="I155" s="789"/>
      <c r="J155" s="789"/>
      <c r="K155" s="817">
        <f aca="true" t="shared" si="34" ref="K155:K166">SUM(F155:J155)</f>
        <v>0</v>
      </c>
      <c r="L155" s="789">
        <v>0</v>
      </c>
      <c r="M155" s="789">
        <v>0</v>
      </c>
      <c r="N155" s="789">
        <v>0</v>
      </c>
      <c r="O155" s="789">
        <v>0</v>
      </c>
      <c r="P155" s="817">
        <f aca="true" t="shared" si="35" ref="P155:P166">SUM(L155:O155)</f>
        <v>0</v>
      </c>
      <c r="Q155" s="817">
        <f>K155+P155</f>
        <v>0</v>
      </c>
      <c r="R155" s="65"/>
      <c r="S155" s="65"/>
      <c r="T155" s="65"/>
      <c r="U155" s="65"/>
      <c r="V155" s="65"/>
      <c r="W155" s="65"/>
      <c r="AE155" s="67"/>
      <c r="AF155" s="67"/>
      <c r="AG155" s="67"/>
      <c r="AH155" s="67"/>
      <c r="AI155" s="67"/>
      <c r="AJ155" s="67"/>
      <c r="AK155" s="67"/>
      <c r="AL155" s="67"/>
      <c r="AM155" s="67"/>
      <c r="AN155" s="67"/>
      <c r="AO155" s="67"/>
      <c r="AP155" s="67"/>
      <c r="AQ155" s="67"/>
      <c r="AR155" s="67"/>
      <c r="AS155" s="67"/>
      <c r="AT155" s="67"/>
      <c r="AU155" s="67"/>
      <c r="AV155" s="67"/>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row>
    <row r="156" spans="2:75" ht="15">
      <c r="B156" s="46"/>
      <c r="C156" s="59" t="s">
        <v>386</v>
      </c>
      <c r="D156" s="103">
        <f t="shared" si="33"/>
        <v>1900</v>
      </c>
      <c r="E156" s="102">
        <f t="shared" si="33"/>
        <v>39498</v>
      </c>
      <c r="F156" s="821">
        <v>0</v>
      </c>
      <c r="G156" s="789">
        <v>0</v>
      </c>
      <c r="H156" s="789">
        <v>0</v>
      </c>
      <c r="I156" s="789"/>
      <c r="J156" s="789"/>
      <c r="K156" s="817">
        <f t="shared" si="34"/>
        <v>0</v>
      </c>
      <c r="L156" s="789">
        <v>0</v>
      </c>
      <c r="M156" s="789">
        <v>0</v>
      </c>
      <c r="N156" s="789">
        <v>0</v>
      </c>
      <c r="O156" s="789">
        <v>0</v>
      </c>
      <c r="P156" s="817">
        <f t="shared" si="35"/>
        <v>0</v>
      </c>
      <c r="Q156" s="817">
        <f aca="true" t="shared" si="36" ref="Q156:Q166">K156+P156</f>
        <v>0</v>
      </c>
      <c r="R156" s="65"/>
      <c r="S156" s="65"/>
      <c r="T156" s="65"/>
      <c r="U156" s="65"/>
      <c r="V156" s="65"/>
      <c r="W156" s="65"/>
      <c r="AE156" s="67"/>
      <c r="AF156" s="67"/>
      <c r="AG156" s="67"/>
      <c r="AH156" s="67"/>
      <c r="AI156" s="67"/>
      <c r="AJ156" s="67"/>
      <c r="AK156" s="67"/>
      <c r="AL156" s="67"/>
      <c r="AM156" s="67"/>
      <c r="AN156" s="67"/>
      <c r="AO156" s="67"/>
      <c r="AP156" s="67"/>
      <c r="AQ156" s="67"/>
      <c r="AR156" s="67"/>
      <c r="AS156" s="67"/>
      <c r="AT156" s="67"/>
      <c r="AU156" s="67"/>
      <c r="AV156" s="67"/>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row>
    <row r="157" spans="2:75" ht="15">
      <c r="B157" s="46"/>
      <c r="C157" s="59" t="s">
        <v>387</v>
      </c>
      <c r="D157" s="103">
        <f t="shared" si="33"/>
        <v>2000</v>
      </c>
      <c r="E157" s="102">
        <f t="shared" si="33"/>
        <v>39514</v>
      </c>
      <c r="F157" s="821">
        <v>0</v>
      </c>
      <c r="G157" s="789">
        <v>0</v>
      </c>
      <c r="H157" s="789">
        <v>0</v>
      </c>
      <c r="I157" s="789"/>
      <c r="J157" s="789"/>
      <c r="K157" s="817">
        <f t="shared" si="34"/>
        <v>0</v>
      </c>
      <c r="L157" s="789">
        <v>0</v>
      </c>
      <c r="M157" s="789">
        <v>0</v>
      </c>
      <c r="N157" s="789">
        <v>0</v>
      </c>
      <c r="O157" s="789">
        <v>0</v>
      </c>
      <c r="P157" s="817">
        <f t="shared" si="35"/>
        <v>0</v>
      </c>
      <c r="Q157" s="817">
        <f t="shared" si="36"/>
        <v>0</v>
      </c>
      <c r="R157" s="65"/>
      <c r="S157" s="65"/>
      <c r="T157" s="65"/>
      <c r="U157" s="65"/>
      <c r="V157" s="65"/>
      <c r="W157" s="65"/>
      <c r="AE157" s="67"/>
      <c r="AF157" s="67"/>
      <c r="AG157" s="67"/>
      <c r="AH157" s="67"/>
      <c r="AI157" s="67"/>
      <c r="AJ157" s="67"/>
      <c r="AK157" s="67"/>
      <c r="AL157" s="67"/>
      <c r="AM157" s="67"/>
      <c r="AN157" s="67"/>
      <c r="AO157" s="67"/>
      <c r="AP157" s="67"/>
      <c r="AQ157" s="67"/>
      <c r="AR157" s="67"/>
      <c r="AS157" s="67"/>
      <c r="AT157" s="67"/>
      <c r="AU157" s="67"/>
      <c r="AV157" s="67"/>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row>
    <row r="158" spans="2:75" ht="15">
      <c r="B158" s="46"/>
      <c r="C158" s="59" t="s">
        <v>388</v>
      </c>
      <c r="D158" s="103">
        <f t="shared" si="33"/>
        <v>1700</v>
      </c>
      <c r="E158" s="102">
        <f t="shared" si="33"/>
        <v>39559</v>
      </c>
      <c r="F158" s="821">
        <v>0</v>
      </c>
      <c r="G158" s="789">
        <v>0</v>
      </c>
      <c r="H158" s="789">
        <v>0</v>
      </c>
      <c r="I158" s="789"/>
      <c r="J158" s="789"/>
      <c r="K158" s="817">
        <f t="shared" si="34"/>
        <v>0</v>
      </c>
      <c r="L158" s="789">
        <v>0</v>
      </c>
      <c r="M158" s="789">
        <v>0</v>
      </c>
      <c r="N158" s="789">
        <v>0</v>
      </c>
      <c r="O158" s="789">
        <v>0</v>
      </c>
      <c r="P158" s="817">
        <f t="shared" si="35"/>
        <v>0</v>
      </c>
      <c r="Q158" s="817">
        <f t="shared" si="36"/>
        <v>0</v>
      </c>
      <c r="R158" s="65"/>
      <c r="S158" s="65"/>
      <c r="T158" s="65"/>
      <c r="U158" s="65"/>
      <c r="V158" s="65"/>
      <c r="W158" s="65"/>
      <c r="AE158" s="67"/>
      <c r="AF158" s="67"/>
      <c r="AG158" s="67"/>
      <c r="AH158" s="67"/>
      <c r="AI158" s="67"/>
      <c r="AJ158" s="67"/>
      <c r="AK158" s="67"/>
      <c r="AL158" s="67"/>
      <c r="AM158" s="67"/>
      <c r="AN158" s="67"/>
      <c r="AO158" s="67"/>
      <c r="AP158" s="67"/>
      <c r="AQ158" s="67"/>
      <c r="AR158" s="67"/>
      <c r="AS158" s="67"/>
      <c r="AT158" s="67"/>
      <c r="AU158" s="67"/>
      <c r="AV158" s="67"/>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row>
    <row r="159" spans="2:75" ht="15">
      <c r="B159" s="46"/>
      <c r="C159" s="59" t="s">
        <v>30</v>
      </c>
      <c r="D159" s="103">
        <f t="shared" si="33"/>
        <v>1700</v>
      </c>
      <c r="E159" s="102">
        <f t="shared" si="33"/>
        <v>39598</v>
      </c>
      <c r="F159" s="821">
        <v>0</v>
      </c>
      <c r="G159" s="789">
        <v>0</v>
      </c>
      <c r="H159" s="789">
        <v>0</v>
      </c>
      <c r="I159" s="789"/>
      <c r="J159" s="789"/>
      <c r="K159" s="817">
        <f t="shared" si="34"/>
        <v>0</v>
      </c>
      <c r="L159" s="789">
        <v>0</v>
      </c>
      <c r="M159" s="789">
        <v>0</v>
      </c>
      <c r="N159" s="789">
        <v>0</v>
      </c>
      <c r="O159" s="789">
        <v>0</v>
      </c>
      <c r="P159" s="817">
        <f t="shared" si="35"/>
        <v>0</v>
      </c>
      <c r="Q159" s="817">
        <f t="shared" si="36"/>
        <v>0</v>
      </c>
      <c r="R159" s="65"/>
      <c r="S159" s="65"/>
      <c r="T159" s="65"/>
      <c r="U159" s="65"/>
      <c r="V159" s="65"/>
      <c r="W159" s="65"/>
      <c r="AE159" s="67"/>
      <c r="AF159" s="67"/>
      <c r="AG159" s="67"/>
      <c r="AH159" s="67"/>
      <c r="AI159" s="67"/>
      <c r="AJ159" s="67"/>
      <c r="AK159" s="67"/>
      <c r="AL159" s="67"/>
      <c r="AM159" s="67"/>
      <c r="AN159" s="67"/>
      <c r="AO159" s="67"/>
      <c r="AP159" s="67"/>
      <c r="AQ159" s="67"/>
      <c r="AR159" s="67"/>
      <c r="AS159" s="67"/>
      <c r="AT159" s="67"/>
      <c r="AU159" s="67"/>
      <c r="AV159" s="67"/>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row>
    <row r="160" spans="2:75" ht="15">
      <c r="B160" s="46"/>
      <c r="C160" s="59" t="s">
        <v>389</v>
      </c>
      <c r="D160" s="103">
        <f t="shared" si="33"/>
        <v>1700</v>
      </c>
      <c r="E160" s="102">
        <f t="shared" si="33"/>
        <v>39624</v>
      </c>
      <c r="F160" s="821">
        <v>0</v>
      </c>
      <c r="G160" s="789">
        <v>0</v>
      </c>
      <c r="H160" s="789">
        <v>0</v>
      </c>
      <c r="I160" s="789"/>
      <c r="J160" s="789"/>
      <c r="K160" s="817">
        <f t="shared" si="34"/>
        <v>0</v>
      </c>
      <c r="L160" s="789">
        <v>0</v>
      </c>
      <c r="M160" s="789">
        <v>0</v>
      </c>
      <c r="N160" s="789">
        <v>0</v>
      </c>
      <c r="O160" s="789">
        <v>0</v>
      </c>
      <c r="P160" s="817">
        <f t="shared" si="35"/>
        <v>0</v>
      </c>
      <c r="Q160" s="817">
        <f t="shared" si="36"/>
        <v>0</v>
      </c>
      <c r="R160" s="65"/>
      <c r="S160" s="65"/>
      <c r="T160" s="65"/>
      <c r="U160" s="65"/>
      <c r="V160" s="65"/>
      <c r="W160" s="65"/>
      <c r="AE160" s="67"/>
      <c r="AF160" s="67"/>
      <c r="AG160" s="67"/>
      <c r="AH160" s="67"/>
      <c r="AI160" s="67"/>
      <c r="AJ160" s="67"/>
      <c r="AK160" s="67"/>
      <c r="AL160" s="67"/>
      <c r="AM160" s="67"/>
      <c r="AN160" s="67"/>
      <c r="AO160" s="67"/>
      <c r="AP160" s="67"/>
      <c r="AQ160" s="67"/>
      <c r="AR160" s="67"/>
      <c r="AS160" s="67"/>
      <c r="AT160" s="67"/>
      <c r="AU160" s="67"/>
      <c r="AV160" s="67"/>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row>
    <row r="161" spans="2:75" ht="15">
      <c r="B161" s="46"/>
      <c r="C161" s="59" t="s">
        <v>390</v>
      </c>
      <c r="D161" s="103">
        <f t="shared" si="33"/>
        <v>1700</v>
      </c>
      <c r="E161" s="102">
        <f t="shared" si="33"/>
        <v>39650</v>
      </c>
      <c r="F161" s="821">
        <v>0</v>
      </c>
      <c r="G161" s="789">
        <v>0</v>
      </c>
      <c r="H161" s="789">
        <v>4</v>
      </c>
      <c r="I161" s="789"/>
      <c r="J161" s="789"/>
      <c r="K161" s="817">
        <f t="shared" si="34"/>
        <v>4</v>
      </c>
      <c r="L161" s="789">
        <v>0</v>
      </c>
      <c r="M161" s="789">
        <v>2</v>
      </c>
      <c r="N161" s="789">
        <v>0</v>
      </c>
      <c r="O161" s="789">
        <v>0</v>
      </c>
      <c r="P161" s="817">
        <f t="shared" si="35"/>
        <v>2</v>
      </c>
      <c r="Q161" s="817">
        <f t="shared" si="36"/>
        <v>6</v>
      </c>
      <c r="R161" s="65"/>
      <c r="S161" s="65"/>
      <c r="T161" s="65"/>
      <c r="U161" s="65"/>
      <c r="V161" s="65"/>
      <c r="W161" s="65"/>
      <c r="AE161" s="67"/>
      <c r="AF161" s="67"/>
      <c r="AG161" s="67"/>
      <c r="AH161" s="67"/>
      <c r="AI161" s="67"/>
      <c r="AJ161" s="67"/>
      <c r="AK161" s="67"/>
      <c r="AL161" s="67"/>
      <c r="AM161" s="67"/>
      <c r="AN161" s="67"/>
      <c r="AO161" s="67"/>
      <c r="AP161" s="67"/>
      <c r="AQ161" s="67"/>
      <c r="AR161" s="67"/>
      <c r="AS161" s="67"/>
      <c r="AT161" s="67"/>
      <c r="AU161" s="67"/>
      <c r="AV161" s="67"/>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row>
    <row r="162" spans="2:75" ht="15">
      <c r="B162" s="46"/>
      <c r="C162" s="59" t="s">
        <v>391</v>
      </c>
      <c r="D162" s="103">
        <f t="shared" si="33"/>
        <v>1700</v>
      </c>
      <c r="E162" s="102">
        <f t="shared" si="33"/>
        <v>39664</v>
      </c>
      <c r="F162" s="821">
        <v>0</v>
      </c>
      <c r="G162" s="789">
        <v>5</v>
      </c>
      <c r="H162" s="789">
        <v>0</v>
      </c>
      <c r="I162" s="789"/>
      <c r="J162" s="789"/>
      <c r="K162" s="817">
        <f t="shared" si="34"/>
        <v>5</v>
      </c>
      <c r="L162" s="789">
        <v>0</v>
      </c>
      <c r="M162" s="789">
        <v>1</v>
      </c>
      <c r="N162" s="789">
        <v>0</v>
      </c>
      <c r="O162" s="789">
        <v>0</v>
      </c>
      <c r="P162" s="817">
        <f t="shared" si="35"/>
        <v>1</v>
      </c>
      <c r="Q162" s="817">
        <f t="shared" si="36"/>
        <v>6</v>
      </c>
      <c r="R162" s="65"/>
      <c r="S162" s="65"/>
      <c r="T162" s="65"/>
      <c r="U162" s="65"/>
      <c r="V162" s="65"/>
      <c r="W162" s="65"/>
      <c r="AE162" s="67"/>
      <c r="AF162" s="67"/>
      <c r="AG162" s="67"/>
      <c r="AH162" s="67"/>
      <c r="AI162" s="67"/>
      <c r="AJ162" s="67"/>
      <c r="AK162" s="67"/>
      <c r="AL162" s="67"/>
      <c r="AM162" s="67"/>
      <c r="AN162" s="67"/>
      <c r="AO162" s="67"/>
      <c r="AP162" s="67"/>
      <c r="AQ162" s="67"/>
      <c r="AR162" s="67"/>
      <c r="AS162" s="67"/>
      <c r="AT162" s="67"/>
      <c r="AU162" s="67"/>
      <c r="AV162" s="67"/>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row>
    <row r="163" spans="2:75" ht="15">
      <c r="B163" s="46"/>
      <c r="C163" s="59" t="s">
        <v>392</v>
      </c>
      <c r="D163" s="103">
        <f t="shared" si="33"/>
        <v>1800</v>
      </c>
      <c r="E163" s="102">
        <f t="shared" si="33"/>
        <v>39692</v>
      </c>
      <c r="F163" s="821">
        <v>0</v>
      </c>
      <c r="G163" s="789">
        <v>0</v>
      </c>
      <c r="H163" s="789">
        <v>0</v>
      </c>
      <c r="I163" s="789"/>
      <c r="J163" s="789"/>
      <c r="K163" s="817">
        <f t="shared" si="34"/>
        <v>0</v>
      </c>
      <c r="L163" s="789">
        <v>0</v>
      </c>
      <c r="M163" s="789">
        <v>0</v>
      </c>
      <c r="N163" s="789">
        <v>0</v>
      </c>
      <c r="O163" s="789">
        <v>0</v>
      </c>
      <c r="P163" s="817">
        <f t="shared" si="35"/>
        <v>0</v>
      </c>
      <c r="Q163" s="817">
        <f t="shared" si="36"/>
        <v>0</v>
      </c>
      <c r="R163" s="65"/>
      <c r="S163" s="65"/>
      <c r="T163" s="65"/>
      <c r="U163" s="65"/>
      <c r="V163" s="65"/>
      <c r="W163" s="65"/>
      <c r="AE163" s="67"/>
      <c r="AF163" s="67"/>
      <c r="AG163" s="67"/>
      <c r="AH163" s="67"/>
      <c r="AI163" s="67"/>
      <c r="AJ163" s="67"/>
      <c r="AK163" s="67"/>
      <c r="AL163" s="67"/>
      <c r="AM163" s="67"/>
      <c r="AN163" s="67"/>
      <c r="AO163" s="67"/>
      <c r="AP163" s="67"/>
      <c r="AQ163" s="67"/>
      <c r="AR163" s="67"/>
      <c r="AS163" s="67"/>
      <c r="AT163" s="67"/>
      <c r="AU163" s="67"/>
      <c r="AV163" s="67"/>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row>
    <row r="164" spans="2:75" ht="15">
      <c r="B164" s="46"/>
      <c r="C164" s="59" t="s">
        <v>393</v>
      </c>
      <c r="D164" s="103">
        <f t="shared" si="33"/>
        <v>1700</v>
      </c>
      <c r="E164" s="102">
        <f t="shared" si="33"/>
        <v>39730</v>
      </c>
      <c r="F164" s="789">
        <v>0</v>
      </c>
      <c r="G164" s="789">
        <v>0</v>
      </c>
      <c r="H164" s="789">
        <v>0</v>
      </c>
      <c r="I164" s="789"/>
      <c r="J164" s="789"/>
      <c r="K164" s="817">
        <f t="shared" si="34"/>
        <v>0</v>
      </c>
      <c r="L164" s="789">
        <v>0</v>
      </c>
      <c r="M164" s="789">
        <v>0</v>
      </c>
      <c r="N164" s="789">
        <v>0</v>
      </c>
      <c r="O164" s="789">
        <v>0</v>
      </c>
      <c r="P164" s="817">
        <f t="shared" si="35"/>
        <v>0</v>
      </c>
      <c r="Q164" s="817">
        <f t="shared" si="36"/>
        <v>0</v>
      </c>
      <c r="R164" s="65"/>
      <c r="S164" s="65"/>
      <c r="T164" s="65"/>
      <c r="U164" s="65"/>
      <c r="V164" s="65"/>
      <c r="W164" s="65"/>
      <c r="AE164" s="67"/>
      <c r="AF164" s="67"/>
      <c r="AG164" s="67"/>
      <c r="AH164" s="67"/>
      <c r="AI164" s="67"/>
      <c r="AJ164" s="67"/>
      <c r="AK164" s="67"/>
      <c r="AL164" s="67"/>
      <c r="AM164" s="67"/>
      <c r="AN164" s="67"/>
      <c r="AO164" s="67"/>
      <c r="AP164" s="67"/>
      <c r="AQ164" s="67"/>
      <c r="AR164" s="67"/>
      <c r="AS164" s="67"/>
      <c r="AT164" s="67"/>
      <c r="AU164" s="67"/>
      <c r="AV164" s="67"/>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row>
    <row r="165" spans="2:75" ht="15">
      <c r="B165" s="46"/>
      <c r="C165" s="59" t="s">
        <v>394</v>
      </c>
      <c r="D165" s="103">
        <f t="shared" si="33"/>
        <v>1900</v>
      </c>
      <c r="E165" s="102">
        <f t="shared" si="33"/>
        <v>39772</v>
      </c>
      <c r="F165" s="789">
        <v>0</v>
      </c>
      <c r="G165" s="789">
        <v>0</v>
      </c>
      <c r="H165" s="789">
        <v>0</v>
      </c>
      <c r="I165" s="789"/>
      <c r="J165" s="789"/>
      <c r="K165" s="817">
        <f t="shared" si="34"/>
        <v>0</v>
      </c>
      <c r="L165" s="789">
        <v>0</v>
      </c>
      <c r="M165" s="789">
        <v>0</v>
      </c>
      <c r="N165" s="789">
        <v>0</v>
      </c>
      <c r="O165" s="789">
        <v>0</v>
      </c>
      <c r="P165" s="817">
        <f t="shared" si="35"/>
        <v>0</v>
      </c>
      <c r="Q165" s="817">
        <f t="shared" si="36"/>
        <v>0</v>
      </c>
      <c r="R165" s="65"/>
      <c r="S165" s="65"/>
      <c r="T165" s="65"/>
      <c r="U165" s="65"/>
      <c r="V165" s="65"/>
      <c r="W165" s="65"/>
      <c r="AE165" s="67"/>
      <c r="AF165" s="67"/>
      <c r="AG165" s="67"/>
      <c r="AH165" s="67"/>
      <c r="AI165" s="67"/>
      <c r="AJ165" s="67"/>
      <c r="AK165" s="67"/>
      <c r="AL165" s="67"/>
      <c r="AM165" s="67"/>
      <c r="AN165" s="67"/>
      <c r="AO165" s="67"/>
      <c r="AP165" s="67"/>
      <c r="AQ165" s="67"/>
      <c r="AR165" s="67"/>
      <c r="AS165" s="67"/>
      <c r="AT165" s="67"/>
      <c r="AU165" s="67"/>
      <c r="AV165" s="67"/>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row>
    <row r="166" spans="2:75" ht="15">
      <c r="B166" s="46"/>
      <c r="C166" s="59" t="s">
        <v>395</v>
      </c>
      <c r="D166" s="103">
        <f t="shared" si="33"/>
        <v>1900</v>
      </c>
      <c r="E166" s="102">
        <f t="shared" si="33"/>
        <v>39797</v>
      </c>
      <c r="F166" s="789">
        <v>0</v>
      </c>
      <c r="G166" s="789">
        <v>0</v>
      </c>
      <c r="H166" s="789">
        <v>0</v>
      </c>
      <c r="I166" s="789"/>
      <c r="J166" s="789"/>
      <c r="K166" s="817">
        <f t="shared" si="34"/>
        <v>0</v>
      </c>
      <c r="L166" s="789">
        <v>0</v>
      </c>
      <c r="M166" s="789">
        <v>0</v>
      </c>
      <c r="N166" s="789">
        <v>0</v>
      </c>
      <c r="O166" s="789">
        <v>0</v>
      </c>
      <c r="P166" s="817">
        <f t="shared" si="35"/>
        <v>0</v>
      </c>
      <c r="Q166" s="817">
        <f t="shared" si="36"/>
        <v>0</v>
      </c>
      <c r="R166" s="65"/>
      <c r="S166" s="65"/>
      <c r="T166" s="65"/>
      <c r="U166" s="65"/>
      <c r="V166" s="65"/>
      <c r="W166" s="65"/>
      <c r="AE166" s="67"/>
      <c r="AF166" s="67"/>
      <c r="AG166" s="67"/>
      <c r="AH166" s="67"/>
      <c r="AI166" s="67"/>
      <c r="AJ166" s="67"/>
      <c r="AK166" s="67"/>
      <c r="AL166" s="67"/>
      <c r="AM166" s="67"/>
      <c r="AN166" s="67"/>
      <c r="AO166" s="67"/>
      <c r="AP166" s="67"/>
      <c r="AQ166" s="67"/>
      <c r="AR166" s="67"/>
      <c r="AS166" s="67"/>
      <c r="AT166" s="67"/>
      <c r="AU166" s="67"/>
      <c r="AV166" s="67"/>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row>
    <row r="167" spans="2:69" ht="15">
      <c r="B167" s="46"/>
      <c r="C167" s="69"/>
      <c r="D167" s="70"/>
      <c r="E167" s="62"/>
      <c r="F167" s="200"/>
      <c r="G167" s="200"/>
      <c r="H167" s="200"/>
      <c r="I167" s="200"/>
      <c r="J167" s="200"/>
      <c r="K167" s="200"/>
      <c r="L167" s="65"/>
      <c r="M167" s="65"/>
      <c r="N167" s="65"/>
      <c r="O167" s="65"/>
      <c r="P167" s="65"/>
      <c r="Q167" s="65"/>
      <c r="Y167" s="67"/>
      <c r="Z167" s="67"/>
      <c r="AA167" s="67"/>
      <c r="AB167" s="67"/>
      <c r="AC167" s="67"/>
      <c r="AD167" s="67"/>
      <c r="AE167" s="67"/>
      <c r="AF167" s="67"/>
      <c r="AG167" s="67"/>
      <c r="AH167" s="67"/>
      <c r="AI167" s="67"/>
      <c r="AJ167" s="67"/>
      <c r="AK167" s="67"/>
      <c r="AL167" s="67"/>
      <c r="AM167" s="67"/>
      <c r="AN167" s="67"/>
      <c r="AO167" s="67"/>
      <c r="AP167" s="67"/>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row>
    <row r="168" spans="1:69" ht="20.25">
      <c r="A168" s="96" t="str">
        <f>A1</f>
        <v>Worksheet A-2 - WE Divisor</v>
      </c>
      <c r="B168" s="52"/>
      <c r="C168" s="52"/>
      <c r="M168" s="741"/>
      <c r="N168" s="741"/>
      <c r="O168" s="741"/>
      <c r="P168" s="741"/>
      <c r="Q168" s="769" t="s">
        <v>27</v>
      </c>
      <c r="Y168" s="67"/>
      <c r="Z168" s="67"/>
      <c r="AA168" s="67"/>
      <c r="AB168" s="67"/>
      <c r="AC168" s="67"/>
      <c r="AD168" s="67"/>
      <c r="AE168" s="67"/>
      <c r="AF168" s="67"/>
      <c r="AG168" s="67"/>
      <c r="AH168" s="67"/>
      <c r="AI168" s="67"/>
      <c r="AJ168" s="67"/>
      <c r="AK168" s="67"/>
      <c r="AL168" s="67"/>
      <c r="AM168" s="67"/>
      <c r="AN168" s="67"/>
      <c r="AO168" s="67"/>
      <c r="AP168" s="67"/>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row>
    <row r="169" spans="2:69" ht="15">
      <c r="B169" s="52"/>
      <c r="C169" s="52"/>
      <c r="M169" s="741"/>
      <c r="N169" s="741"/>
      <c r="O169" s="741"/>
      <c r="P169" s="741"/>
      <c r="Q169" s="741"/>
      <c r="Y169" s="67"/>
      <c r="Z169" s="67"/>
      <c r="AA169" s="67"/>
      <c r="AB169" s="67"/>
      <c r="AC169" s="67"/>
      <c r="AD169" s="67"/>
      <c r="AE169" s="67"/>
      <c r="AF169" s="67"/>
      <c r="AG169" s="67"/>
      <c r="AH169" s="67"/>
      <c r="AI169" s="67"/>
      <c r="AJ169" s="67"/>
      <c r="AK169" s="67"/>
      <c r="AL169" s="67"/>
      <c r="AM169" s="67"/>
      <c r="AN169" s="67"/>
      <c r="AO169" s="67"/>
      <c r="AP169" s="67"/>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row>
    <row r="170" spans="2:69" ht="18">
      <c r="B170" s="1417" t="str">
        <f>B70</f>
        <v>Westar Energy, Inc.</v>
      </c>
      <c r="C170" s="1403"/>
      <c r="D170" s="1403"/>
      <c r="E170" s="1403"/>
      <c r="F170" s="1403"/>
      <c r="G170" s="1403"/>
      <c r="H170" s="1403"/>
      <c r="I170" s="1403"/>
      <c r="J170" s="1403"/>
      <c r="K170" s="1403"/>
      <c r="L170" s="1433"/>
      <c r="M170" s="1433"/>
      <c r="N170" s="1433"/>
      <c r="O170" s="1433"/>
      <c r="P170" s="1433"/>
      <c r="Q170" s="1433"/>
      <c r="Y170" s="67"/>
      <c r="Z170" s="67"/>
      <c r="AA170" s="67"/>
      <c r="AB170" s="67"/>
      <c r="AC170" s="67"/>
      <c r="AD170" s="67"/>
      <c r="AE170" s="67"/>
      <c r="AF170" s="67"/>
      <c r="AG170" s="67"/>
      <c r="AH170" s="67"/>
      <c r="AI170" s="67"/>
      <c r="AJ170" s="67"/>
      <c r="AK170" s="67"/>
      <c r="AL170" s="67"/>
      <c r="AM170" s="67"/>
      <c r="AN170" s="67"/>
      <c r="AO170" s="67"/>
      <c r="AP170" s="67"/>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row>
    <row r="171" spans="2:69" ht="18">
      <c r="B171" s="1417" t="str">
        <f>B71</f>
        <v>Notes to the Determination of WEN's and WES' Contribution to Transmission Network Load (MW, unless otherwise noted)</v>
      </c>
      <c r="C171" s="1403"/>
      <c r="D171" s="1403"/>
      <c r="E171" s="1403"/>
      <c r="F171" s="1403"/>
      <c r="G171" s="1403"/>
      <c r="H171" s="1403"/>
      <c r="I171" s="1403"/>
      <c r="J171" s="1403"/>
      <c r="K171" s="1403"/>
      <c r="L171" s="1433"/>
      <c r="M171" s="1433"/>
      <c r="N171" s="1433"/>
      <c r="O171" s="1433"/>
      <c r="P171" s="1433"/>
      <c r="Q171" s="1433"/>
      <c r="Y171" s="67"/>
      <c r="Z171" s="67"/>
      <c r="AA171" s="67"/>
      <c r="AB171" s="67"/>
      <c r="AC171" s="67"/>
      <c r="AD171" s="67"/>
      <c r="AE171" s="67"/>
      <c r="AF171" s="67"/>
      <c r="AG171" s="67"/>
      <c r="AH171" s="67"/>
      <c r="AI171" s="67"/>
      <c r="AJ171" s="67"/>
      <c r="AK171" s="67"/>
      <c r="AL171" s="67"/>
      <c r="AM171" s="67"/>
      <c r="AN171" s="67"/>
      <c r="AO171" s="67"/>
      <c r="AP171" s="67"/>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row>
    <row r="172" spans="2:69" ht="18">
      <c r="B172" s="88"/>
      <c r="C172" s="699"/>
      <c r="D172" s="699"/>
      <c r="E172" s="699"/>
      <c r="F172" s="699"/>
      <c r="G172" s="699"/>
      <c r="H172" s="699"/>
      <c r="I172" s="89" t="str">
        <f>G5</f>
        <v>For the 12 months ended - December 31, 2008</v>
      </c>
      <c r="J172" s="699"/>
      <c r="K172" s="207"/>
      <c r="L172" s="543"/>
      <c r="M172" s="543"/>
      <c r="N172" s="543"/>
      <c r="O172" s="543"/>
      <c r="P172" s="543"/>
      <c r="Q172" s="543"/>
      <c r="Y172" s="67"/>
      <c r="Z172" s="67"/>
      <c r="AA172" s="67"/>
      <c r="AB172" s="67"/>
      <c r="AC172" s="67"/>
      <c r="AD172" s="67"/>
      <c r="AE172" s="67"/>
      <c r="AF172" s="67"/>
      <c r="AG172" s="67"/>
      <c r="AH172" s="67"/>
      <c r="AI172" s="67"/>
      <c r="AJ172" s="67"/>
      <c r="AK172" s="67"/>
      <c r="AL172" s="67"/>
      <c r="AM172" s="67"/>
      <c r="AN172" s="67"/>
      <c r="AO172" s="67"/>
      <c r="AP172" s="67"/>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row>
    <row r="173" spans="2:69" ht="15.75">
      <c r="B173" s="1413" t="str">
        <f>B73</f>
        <v>(all load data in these notes comes from Westar's "NETWORK BILLING DETERMINANTS" spreadsheet or successor spreadsheet)</v>
      </c>
      <c r="C173" s="1403"/>
      <c r="D173" s="1403"/>
      <c r="E173" s="1403"/>
      <c r="F173" s="1403"/>
      <c r="G173" s="1403"/>
      <c r="H173" s="1403"/>
      <c r="I173" s="1403"/>
      <c r="J173" s="1403"/>
      <c r="K173" s="1403"/>
      <c r="L173" s="1403"/>
      <c r="M173" s="1403"/>
      <c r="N173" s="1403"/>
      <c r="O173" s="1403"/>
      <c r="P173" s="1403"/>
      <c r="Q173" s="1403"/>
      <c r="Y173" s="67"/>
      <c r="Z173" s="67"/>
      <c r="AA173" s="67"/>
      <c r="AB173" s="67"/>
      <c r="AC173" s="67"/>
      <c r="AD173" s="67"/>
      <c r="AE173" s="67"/>
      <c r="AF173" s="67"/>
      <c r="AG173" s="67"/>
      <c r="AH173" s="67"/>
      <c r="AI173" s="67"/>
      <c r="AJ173" s="67"/>
      <c r="AK173" s="67"/>
      <c r="AL173" s="67"/>
      <c r="AM173" s="67"/>
      <c r="AN173" s="67"/>
      <c r="AO173" s="67"/>
      <c r="AP173" s="67"/>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row>
    <row r="174" spans="2:69" ht="15">
      <c r="B174" s="46"/>
      <c r="C174" s="69"/>
      <c r="D174" s="70"/>
      <c r="E174" s="62"/>
      <c r="F174" s="200"/>
      <c r="G174" s="200"/>
      <c r="H174" s="200"/>
      <c r="I174" s="200"/>
      <c r="J174" s="200"/>
      <c r="K174" s="200"/>
      <c r="L174" s="65"/>
      <c r="M174" s="65"/>
      <c r="N174" s="65"/>
      <c r="O174" s="65"/>
      <c r="P174" s="65"/>
      <c r="Q174" s="65"/>
      <c r="Y174" s="67"/>
      <c r="Z174" s="67"/>
      <c r="AA174" s="67"/>
      <c r="AB174" s="67"/>
      <c r="AC174" s="67"/>
      <c r="AD174" s="67"/>
      <c r="AE174" s="67"/>
      <c r="AF174" s="67"/>
      <c r="AG174" s="67"/>
      <c r="AH174" s="67"/>
      <c r="AI174" s="67"/>
      <c r="AJ174" s="67"/>
      <c r="AK174" s="67"/>
      <c r="AL174" s="67"/>
      <c r="AM174" s="67"/>
      <c r="AN174" s="67"/>
      <c r="AO174" s="67"/>
      <c r="AP174" s="67"/>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row>
    <row r="175" spans="2:69" ht="15">
      <c r="B175" s="46"/>
      <c r="C175" s="69"/>
      <c r="D175" s="70"/>
      <c r="E175" s="62"/>
      <c r="F175" s="200"/>
      <c r="G175" s="200"/>
      <c r="H175" s="200"/>
      <c r="I175" s="200"/>
      <c r="J175" s="200"/>
      <c r="K175" s="200"/>
      <c r="L175" s="65"/>
      <c r="M175" s="65"/>
      <c r="N175" s="65"/>
      <c r="O175" s="65"/>
      <c r="P175" s="65"/>
      <c r="Q175" s="65"/>
      <c r="Y175" s="67"/>
      <c r="Z175" s="67"/>
      <c r="AA175" s="67"/>
      <c r="AB175" s="67"/>
      <c r="AC175" s="67"/>
      <c r="AD175" s="67"/>
      <c r="AE175" s="67"/>
      <c r="AF175" s="67"/>
      <c r="AG175" s="67"/>
      <c r="AH175" s="67"/>
      <c r="AI175" s="67"/>
      <c r="AJ175" s="67"/>
      <c r="AK175" s="67"/>
      <c r="AL175" s="67"/>
      <c r="AM175" s="67"/>
      <c r="AN175" s="67"/>
      <c r="AO175" s="67"/>
      <c r="AP175" s="67"/>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row>
    <row r="176" spans="2:69" ht="15">
      <c r="B176" s="782" t="s">
        <v>1447</v>
      </c>
      <c r="C176" s="822" t="s">
        <v>336</v>
      </c>
      <c r="D176" s="70"/>
      <c r="E176" s="62"/>
      <c r="F176" s="200"/>
      <c r="G176" s="200"/>
      <c r="H176" s="200"/>
      <c r="I176" s="200"/>
      <c r="J176" s="200"/>
      <c r="K176" s="200"/>
      <c r="L176" s="65"/>
      <c r="M176" s="65"/>
      <c r="N176" s="65"/>
      <c r="O176" s="65"/>
      <c r="P176" s="65"/>
      <c r="Q176" s="65"/>
      <c r="Y176" s="67"/>
      <c r="Z176" s="67"/>
      <c r="AA176" s="67"/>
      <c r="AB176" s="67"/>
      <c r="AC176" s="67"/>
      <c r="AD176" s="67"/>
      <c r="AE176" s="67"/>
      <c r="AF176" s="67"/>
      <c r="AG176" s="67"/>
      <c r="AH176" s="67"/>
      <c r="AI176" s="67"/>
      <c r="AJ176" s="67"/>
      <c r="AK176" s="67"/>
      <c r="AL176" s="67"/>
      <c r="AM176" s="67"/>
      <c r="AN176" s="67"/>
      <c r="AO176" s="67"/>
      <c r="AP176" s="67"/>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row>
    <row r="177" spans="2:69" ht="15">
      <c r="B177" s="46"/>
      <c r="C177" s="32"/>
      <c r="D177" s="32"/>
      <c r="E177" s="64"/>
      <c r="F177" s="47"/>
      <c r="G177" s="47"/>
      <c r="H177" s="47"/>
      <c r="I177" s="47"/>
      <c r="J177" s="47"/>
      <c r="K177" s="47"/>
      <c r="L177" s="32"/>
      <c r="M177" s="32"/>
      <c r="N177" s="32"/>
      <c r="O177" s="32"/>
      <c r="P177" s="61"/>
      <c r="Q177" s="61"/>
      <c r="Y177" s="67"/>
      <c r="Z177" s="67"/>
      <c r="AA177" s="67"/>
      <c r="AB177" s="67"/>
      <c r="AC177" s="67"/>
      <c r="AD177" s="67"/>
      <c r="AE177" s="67"/>
      <c r="AF177" s="67"/>
      <c r="AG177" s="67"/>
      <c r="AH177" s="67"/>
      <c r="AI177" s="67"/>
      <c r="AJ177" s="67"/>
      <c r="AK177" s="67"/>
      <c r="AL177" s="67"/>
      <c r="AM177" s="67"/>
      <c r="AN177" s="67"/>
      <c r="AO177" s="67"/>
      <c r="AP177" s="67"/>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row>
    <row r="178" spans="2:69" ht="15">
      <c r="B178" s="46"/>
      <c r="C178" s="32"/>
      <c r="D178" s="32"/>
      <c r="E178" s="64"/>
      <c r="F178" s="1414" t="s">
        <v>29</v>
      </c>
      <c r="G178" s="1415"/>
      <c r="H178" s="1415"/>
      <c r="I178" s="1415"/>
      <c r="J178" s="1415"/>
      <c r="K178" s="1416"/>
      <c r="L178" s="1414" t="s">
        <v>28</v>
      </c>
      <c r="M178" s="1415"/>
      <c r="N178" s="1415"/>
      <c r="O178" s="1415"/>
      <c r="P178" s="1416"/>
      <c r="Q178" s="664"/>
      <c r="Y178" s="67"/>
      <c r="Z178" s="67"/>
      <c r="AA178" s="67"/>
      <c r="AB178" s="67"/>
      <c r="AC178" s="67"/>
      <c r="AD178" s="67"/>
      <c r="AE178" s="67"/>
      <c r="AF178" s="67"/>
      <c r="AG178" s="67"/>
      <c r="AH178" s="67"/>
      <c r="AI178" s="67"/>
      <c r="AJ178" s="67"/>
      <c r="AK178" s="67"/>
      <c r="AL178" s="67"/>
      <c r="AM178" s="67"/>
      <c r="AN178" s="67"/>
      <c r="AO178" s="67"/>
      <c r="AP178" s="67"/>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row>
    <row r="179" spans="2:69" ht="15">
      <c r="B179" s="46"/>
      <c r="C179" s="32"/>
      <c r="D179" s="32"/>
      <c r="E179" s="64"/>
      <c r="F179" s="794"/>
      <c r="G179" s="794"/>
      <c r="H179" s="794"/>
      <c r="I179" s="663"/>
      <c r="J179" s="663"/>
      <c r="K179" s="662"/>
      <c r="L179" s="794"/>
      <c r="M179" s="794"/>
      <c r="N179" s="795"/>
      <c r="O179" s="663"/>
      <c r="P179" s="662"/>
      <c r="Q179" s="796" t="s">
        <v>1449</v>
      </c>
      <c r="Y179" s="67"/>
      <c r="Z179" s="67"/>
      <c r="AA179" s="67"/>
      <c r="AB179" s="67"/>
      <c r="AC179" s="67"/>
      <c r="AD179" s="67"/>
      <c r="AE179" s="67"/>
      <c r="AF179" s="67"/>
      <c r="AG179" s="67"/>
      <c r="AH179" s="67"/>
      <c r="AI179" s="67"/>
      <c r="AJ179" s="67"/>
      <c r="AK179" s="67"/>
      <c r="AL179" s="67"/>
      <c r="AM179" s="67"/>
      <c r="AN179" s="67"/>
      <c r="AO179" s="67"/>
      <c r="AP179" s="67"/>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row>
    <row r="180" spans="2:69" ht="15">
      <c r="B180" s="46"/>
      <c r="C180" s="32"/>
      <c r="D180" s="32"/>
      <c r="E180" s="64"/>
      <c r="F180" s="672" t="s">
        <v>888</v>
      </c>
      <c r="G180" s="672" t="s">
        <v>888</v>
      </c>
      <c r="H180" s="672" t="s">
        <v>888</v>
      </c>
      <c r="I180" s="672" t="s">
        <v>888</v>
      </c>
      <c r="J180" s="672" t="s">
        <v>888</v>
      </c>
      <c r="K180" s="800" t="s">
        <v>889</v>
      </c>
      <c r="L180" s="801" t="s">
        <v>888</v>
      </c>
      <c r="M180" s="801" t="s">
        <v>888</v>
      </c>
      <c r="N180" s="799" t="s">
        <v>888</v>
      </c>
      <c r="O180" s="672" t="s">
        <v>888</v>
      </c>
      <c r="P180" s="800" t="s">
        <v>889</v>
      </c>
      <c r="Q180" s="56" t="s">
        <v>901</v>
      </c>
      <c r="Y180" s="67"/>
      <c r="Z180" s="67"/>
      <c r="AA180" s="67"/>
      <c r="AB180" s="67"/>
      <c r="AC180" s="67"/>
      <c r="AD180" s="67"/>
      <c r="AE180" s="67"/>
      <c r="AF180" s="67"/>
      <c r="AG180" s="67"/>
      <c r="AH180" s="67"/>
      <c r="AI180" s="67"/>
      <c r="AJ180" s="67"/>
      <c r="AK180" s="67"/>
      <c r="AL180" s="67"/>
      <c r="AM180" s="67"/>
      <c r="AN180" s="67"/>
      <c r="AO180" s="67"/>
      <c r="AP180" s="67"/>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row>
    <row r="181" spans="2:69" ht="15">
      <c r="B181" s="46"/>
      <c r="C181" s="32"/>
      <c r="D181" s="32"/>
      <c r="E181" s="64"/>
      <c r="F181" s="798"/>
      <c r="G181" s="672"/>
      <c r="H181" s="672"/>
      <c r="I181" s="672"/>
      <c r="J181" s="672"/>
      <c r="K181" s="796" t="s">
        <v>903</v>
      </c>
      <c r="L181" s="798"/>
      <c r="M181" s="672"/>
      <c r="N181" s="799"/>
      <c r="O181" s="672"/>
      <c r="P181" s="796" t="s">
        <v>904</v>
      </c>
      <c r="Q181" s="56" t="s">
        <v>905</v>
      </c>
      <c r="Y181" s="67"/>
      <c r="Z181" s="67"/>
      <c r="AA181" s="67"/>
      <c r="AB181" s="67"/>
      <c r="AC181" s="67"/>
      <c r="AD181" s="67"/>
      <c r="AE181" s="67"/>
      <c r="AF181" s="67"/>
      <c r="AG181" s="67"/>
      <c r="AH181" s="67"/>
      <c r="AI181" s="67"/>
      <c r="AJ181" s="67"/>
      <c r="AK181" s="67"/>
      <c r="AL181" s="67"/>
      <c r="AM181" s="67"/>
      <c r="AN181" s="67"/>
      <c r="AO181" s="67"/>
      <c r="AP181" s="67"/>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row>
    <row r="182" spans="2:69" ht="15">
      <c r="B182" s="46"/>
      <c r="C182" s="32"/>
      <c r="D182" s="32"/>
      <c r="E182" s="64"/>
      <c r="F182" s="812" t="s">
        <v>1697</v>
      </c>
      <c r="G182" s="813" t="s">
        <v>1698</v>
      </c>
      <c r="H182" s="820" t="s">
        <v>890</v>
      </c>
      <c r="I182" s="813" t="s">
        <v>1700</v>
      </c>
      <c r="J182" s="831" t="s">
        <v>1701</v>
      </c>
      <c r="K182" s="812" t="s">
        <v>1702</v>
      </c>
      <c r="L182" s="813" t="s">
        <v>891</v>
      </c>
      <c r="M182" s="814" t="s">
        <v>892</v>
      </c>
      <c r="N182" s="813" t="s">
        <v>893</v>
      </c>
      <c r="O182" s="815" t="s">
        <v>894</v>
      </c>
      <c r="P182" s="58" t="s">
        <v>895</v>
      </c>
      <c r="Q182" s="58" t="s">
        <v>902</v>
      </c>
      <c r="Y182" s="67"/>
      <c r="Z182" s="67"/>
      <c r="AA182" s="67"/>
      <c r="AB182" s="67"/>
      <c r="AC182" s="67"/>
      <c r="AD182" s="67"/>
      <c r="AE182" s="67"/>
      <c r="AF182" s="67"/>
      <c r="AG182" s="67"/>
      <c r="AH182" s="67"/>
      <c r="AI182" s="67"/>
      <c r="AJ182" s="67"/>
      <c r="AK182" s="67"/>
      <c r="AL182" s="67"/>
      <c r="AM182" s="67"/>
      <c r="AN182" s="67"/>
      <c r="AO182" s="67"/>
      <c r="AP182" s="67"/>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row>
    <row r="183" spans="2:69" ht="15">
      <c r="B183" s="46"/>
      <c r="C183" s="59" t="s">
        <v>385</v>
      </c>
      <c r="D183" s="103">
        <f aca="true" t="shared" si="37" ref="D183:E194">+D155</f>
        <v>800</v>
      </c>
      <c r="E183" s="102">
        <f t="shared" si="37"/>
        <v>39471</v>
      </c>
      <c r="F183" s="789">
        <v>0</v>
      </c>
      <c r="G183" s="789">
        <v>0</v>
      </c>
      <c r="H183" s="789">
        <v>0</v>
      </c>
      <c r="I183" s="789">
        <v>0</v>
      </c>
      <c r="J183" s="789">
        <v>0</v>
      </c>
      <c r="K183" s="817">
        <f aca="true" t="shared" si="38" ref="K183:K194">SUM(F183:J183)</f>
        <v>0</v>
      </c>
      <c r="L183" s="789">
        <v>0</v>
      </c>
      <c r="M183" s="789">
        <v>0</v>
      </c>
      <c r="N183" s="789">
        <v>0</v>
      </c>
      <c r="O183" s="789">
        <v>0</v>
      </c>
      <c r="P183" s="817">
        <f aca="true" t="shared" si="39" ref="P183:P194">SUM(L183:O183)</f>
        <v>0</v>
      </c>
      <c r="Q183" s="817">
        <f>K183+P183</f>
        <v>0</v>
      </c>
      <c r="Y183" s="67"/>
      <c r="Z183" s="67"/>
      <c r="AA183" s="67"/>
      <c r="AB183" s="67"/>
      <c r="AC183" s="67"/>
      <c r="AD183" s="67"/>
      <c r="AE183" s="67"/>
      <c r="AF183" s="67"/>
      <c r="AG183" s="67"/>
      <c r="AH183" s="67"/>
      <c r="AI183" s="67"/>
      <c r="AJ183" s="67"/>
      <c r="AK183" s="67"/>
      <c r="AL183" s="67"/>
      <c r="AM183" s="67"/>
      <c r="AN183" s="67"/>
      <c r="AO183" s="67"/>
      <c r="AP183" s="67"/>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row>
    <row r="184" spans="2:69" ht="15">
      <c r="B184" s="46"/>
      <c r="C184" s="59" t="s">
        <v>386</v>
      </c>
      <c r="D184" s="103">
        <f t="shared" si="37"/>
        <v>1900</v>
      </c>
      <c r="E184" s="102">
        <f t="shared" si="37"/>
        <v>39498</v>
      </c>
      <c r="F184" s="789">
        <v>0</v>
      </c>
      <c r="G184" s="789">
        <v>0</v>
      </c>
      <c r="H184" s="789">
        <v>0</v>
      </c>
      <c r="I184" s="789">
        <v>0</v>
      </c>
      <c r="J184" s="789">
        <v>0</v>
      </c>
      <c r="K184" s="817">
        <f t="shared" si="38"/>
        <v>0</v>
      </c>
      <c r="L184" s="789">
        <v>0</v>
      </c>
      <c r="M184" s="789">
        <v>0</v>
      </c>
      <c r="N184" s="789">
        <v>0</v>
      </c>
      <c r="O184" s="789">
        <v>0</v>
      </c>
      <c r="P184" s="817">
        <f t="shared" si="39"/>
        <v>0</v>
      </c>
      <c r="Q184" s="817">
        <f aca="true" t="shared" si="40" ref="Q184:Q194">K184+P184</f>
        <v>0</v>
      </c>
      <c r="Y184" s="67"/>
      <c r="Z184" s="67"/>
      <c r="AA184" s="67"/>
      <c r="AB184" s="67"/>
      <c r="AC184" s="67"/>
      <c r="AD184" s="67"/>
      <c r="AE184" s="67"/>
      <c r="AF184" s="67"/>
      <c r="AG184" s="67"/>
      <c r="AH184" s="67"/>
      <c r="AI184" s="67"/>
      <c r="AJ184" s="67"/>
      <c r="AK184" s="67"/>
      <c r="AL184" s="67"/>
      <c r="AM184" s="67"/>
      <c r="AN184" s="67"/>
      <c r="AO184" s="67"/>
      <c r="AP184" s="67"/>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row>
    <row r="185" spans="2:69" ht="15">
      <c r="B185" s="46"/>
      <c r="C185" s="59" t="s">
        <v>387</v>
      </c>
      <c r="D185" s="103">
        <f t="shared" si="37"/>
        <v>2000</v>
      </c>
      <c r="E185" s="102">
        <f t="shared" si="37"/>
        <v>39514</v>
      </c>
      <c r="F185" s="789">
        <v>0</v>
      </c>
      <c r="G185" s="789">
        <v>0</v>
      </c>
      <c r="H185" s="789">
        <v>0</v>
      </c>
      <c r="I185" s="789">
        <v>0</v>
      </c>
      <c r="J185" s="789">
        <v>0</v>
      </c>
      <c r="K185" s="817">
        <f t="shared" si="38"/>
        <v>0</v>
      </c>
      <c r="L185" s="789">
        <v>0</v>
      </c>
      <c r="M185" s="789">
        <v>0</v>
      </c>
      <c r="N185" s="789">
        <v>0</v>
      </c>
      <c r="O185" s="789">
        <v>0</v>
      </c>
      <c r="P185" s="817">
        <f t="shared" si="39"/>
        <v>0</v>
      </c>
      <c r="Q185" s="817">
        <f t="shared" si="40"/>
        <v>0</v>
      </c>
      <c r="Y185" s="67"/>
      <c r="Z185" s="67"/>
      <c r="AA185" s="67"/>
      <c r="AB185" s="67"/>
      <c r="AC185" s="67"/>
      <c r="AD185" s="67"/>
      <c r="AE185" s="67"/>
      <c r="AF185" s="67"/>
      <c r="AG185" s="67"/>
      <c r="AH185" s="67"/>
      <c r="AI185" s="67"/>
      <c r="AJ185" s="67"/>
      <c r="AK185" s="67"/>
      <c r="AL185" s="67"/>
      <c r="AM185" s="67"/>
      <c r="AN185" s="67"/>
      <c r="AO185" s="67"/>
      <c r="AP185" s="67"/>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row>
    <row r="186" spans="2:69" ht="15">
      <c r="B186" s="46"/>
      <c r="C186" s="59" t="s">
        <v>388</v>
      </c>
      <c r="D186" s="103">
        <f t="shared" si="37"/>
        <v>1700</v>
      </c>
      <c r="E186" s="102">
        <f t="shared" si="37"/>
        <v>39559</v>
      </c>
      <c r="F186" s="789">
        <v>0</v>
      </c>
      <c r="G186" s="789">
        <v>0</v>
      </c>
      <c r="H186" s="789">
        <v>0</v>
      </c>
      <c r="I186" s="789">
        <v>0</v>
      </c>
      <c r="J186" s="789">
        <v>0</v>
      </c>
      <c r="K186" s="817">
        <f t="shared" si="38"/>
        <v>0</v>
      </c>
      <c r="L186" s="789">
        <v>0</v>
      </c>
      <c r="M186" s="789">
        <v>0</v>
      </c>
      <c r="N186" s="789">
        <v>0</v>
      </c>
      <c r="O186" s="789">
        <v>0</v>
      </c>
      <c r="P186" s="817">
        <f t="shared" si="39"/>
        <v>0</v>
      </c>
      <c r="Q186" s="817">
        <f t="shared" si="40"/>
        <v>0</v>
      </c>
      <c r="Y186" s="67"/>
      <c r="Z186" s="67"/>
      <c r="AA186" s="67"/>
      <c r="AB186" s="67"/>
      <c r="AC186" s="67"/>
      <c r="AD186" s="67"/>
      <c r="AE186" s="67"/>
      <c r="AF186" s="67"/>
      <c r="AG186" s="67"/>
      <c r="AH186" s="67"/>
      <c r="AI186" s="67"/>
      <c r="AJ186" s="67"/>
      <c r="AK186" s="67"/>
      <c r="AL186" s="67"/>
      <c r="AM186" s="67"/>
      <c r="AN186" s="67"/>
      <c r="AO186" s="67"/>
      <c r="AP186" s="67"/>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row>
    <row r="187" spans="2:69" ht="15">
      <c r="B187" s="46"/>
      <c r="C187" s="59" t="s">
        <v>30</v>
      </c>
      <c r="D187" s="103">
        <f t="shared" si="37"/>
        <v>1700</v>
      </c>
      <c r="E187" s="102">
        <f t="shared" si="37"/>
        <v>39598</v>
      </c>
      <c r="F187" s="789">
        <v>0</v>
      </c>
      <c r="G187" s="789">
        <v>0</v>
      </c>
      <c r="H187" s="789">
        <v>0</v>
      </c>
      <c r="I187" s="789">
        <v>0</v>
      </c>
      <c r="J187" s="789">
        <v>0</v>
      </c>
      <c r="K187" s="817">
        <f t="shared" si="38"/>
        <v>0</v>
      </c>
      <c r="L187" s="789">
        <v>0</v>
      </c>
      <c r="M187" s="789">
        <v>0</v>
      </c>
      <c r="N187" s="789">
        <v>0</v>
      </c>
      <c r="O187" s="789">
        <v>0</v>
      </c>
      <c r="P187" s="817">
        <f t="shared" si="39"/>
        <v>0</v>
      </c>
      <c r="Q187" s="817">
        <f t="shared" si="40"/>
        <v>0</v>
      </c>
      <c r="Y187" s="67"/>
      <c r="Z187" s="67"/>
      <c r="AA187" s="67"/>
      <c r="AB187" s="67"/>
      <c r="AC187" s="67"/>
      <c r="AD187" s="67"/>
      <c r="AE187" s="67"/>
      <c r="AF187" s="67"/>
      <c r="AG187" s="67"/>
      <c r="AH187" s="67"/>
      <c r="AI187" s="67"/>
      <c r="AJ187" s="67"/>
      <c r="AK187" s="67"/>
      <c r="AL187" s="67"/>
      <c r="AM187" s="67"/>
      <c r="AN187" s="67"/>
      <c r="AO187" s="67"/>
      <c r="AP187" s="67"/>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row>
    <row r="188" spans="2:42" ht="15">
      <c r="B188" s="46"/>
      <c r="C188" s="59" t="s">
        <v>389</v>
      </c>
      <c r="D188" s="103">
        <f t="shared" si="37"/>
        <v>1700</v>
      </c>
      <c r="E188" s="102">
        <f t="shared" si="37"/>
        <v>39624</v>
      </c>
      <c r="F188" s="789">
        <v>0</v>
      </c>
      <c r="G188" s="789">
        <v>0</v>
      </c>
      <c r="H188" s="789">
        <v>0</v>
      </c>
      <c r="I188" s="789">
        <v>0</v>
      </c>
      <c r="J188" s="789">
        <v>0</v>
      </c>
      <c r="K188" s="817">
        <f t="shared" si="38"/>
        <v>0</v>
      </c>
      <c r="L188" s="789">
        <v>0</v>
      </c>
      <c r="M188" s="789">
        <v>0</v>
      </c>
      <c r="N188" s="789">
        <v>0</v>
      </c>
      <c r="O188" s="789">
        <v>0</v>
      </c>
      <c r="P188" s="817">
        <f t="shared" si="39"/>
        <v>0</v>
      </c>
      <c r="Q188" s="817">
        <f t="shared" si="40"/>
        <v>0</v>
      </c>
      <c r="AG188" s="740"/>
      <c r="AH188" s="740"/>
      <c r="AI188" s="740"/>
      <c r="AJ188" s="740"/>
      <c r="AK188" s="740"/>
      <c r="AL188" s="740"/>
      <c r="AM188" s="740"/>
      <c r="AN188" s="740"/>
      <c r="AO188" s="740"/>
      <c r="AP188" s="740"/>
    </row>
    <row r="189" spans="2:42" ht="15">
      <c r="B189" s="46"/>
      <c r="C189" s="59" t="s">
        <v>390</v>
      </c>
      <c r="D189" s="103">
        <f t="shared" si="37"/>
        <v>1700</v>
      </c>
      <c r="E189" s="102">
        <f t="shared" si="37"/>
        <v>39650</v>
      </c>
      <c r="F189" s="789">
        <v>0</v>
      </c>
      <c r="G189" s="789">
        <v>0</v>
      </c>
      <c r="H189" s="789">
        <v>0</v>
      </c>
      <c r="I189" s="789">
        <v>0</v>
      </c>
      <c r="J189" s="789">
        <v>0</v>
      </c>
      <c r="K189" s="817">
        <f t="shared" si="38"/>
        <v>0</v>
      </c>
      <c r="L189" s="789">
        <v>0</v>
      </c>
      <c r="M189" s="789">
        <v>0</v>
      </c>
      <c r="N189" s="789">
        <v>0</v>
      </c>
      <c r="O189" s="789">
        <v>0</v>
      </c>
      <c r="P189" s="817">
        <f t="shared" si="39"/>
        <v>0</v>
      </c>
      <c r="Q189" s="817">
        <f t="shared" si="40"/>
        <v>0</v>
      </c>
      <c r="AH189" s="740"/>
      <c r="AI189" s="740"/>
      <c r="AJ189" s="740"/>
      <c r="AK189" s="740"/>
      <c r="AL189" s="740"/>
      <c r="AM189" s="740"/>
      <c r="AN189" s="740"/>
      <c r="AO189" s="740"/>
      <c r="AP189" s="740"/>
    </row>
    <row r="190" spans="2:42" ht="15">
      <c r="B190" s="46"/>
      <c r="C190" s="59" t="s">
        <v>391</v>
      </c>
      <c r="D190" s="103">
        <f t="shared" si="37"/>
        <v>1700</v>
      </c>
      <c r="E190" s="102">
        <f t="shared" si="37"/>
        <v>39664</v>
      </c>
      <c r="F190" s="789">
        <v>0</v>
      </c>
      <c r="G190" s="789">
        <v>0</v>
      </c>
      <c r="H190" s="789">
        <v>0</v>
      </c>
      <c r="I190" s="789">
        <v>0</v>
      </c>
      <c r="J190" s="789">
        <v>0</v>
      </c>
      <c r="K190" s="817">
        <f t="shared" si="38"/>
        <v>0</v>
      </c>
      <c r="L190" s="789">
        <v>0</v>
      </c>
      <c r="M190" s="789">
        <v>0</v>
      </c>
      <c r="N190" s="789">
        <v>0</v>
      </c>
      <c r="O190" s="789">
        <v>0</v>
      </c>
      <c r="P190" s="817">
        <f t="shared" si="39"/>
        <v>0</v>
      </c>
      <c r="Q190" s="817">
        <f t="shared" si="40"/>
        <v>0</v>
      </c>
      <c r="AG190" s="740"/>
      <c r="AH190" s="740"/>
      <c r="AI190" s="740"/>
      <c r="AJ190" s="740"/>
      <c r="AK190" s="740"/>
      <c r="AL190" s="740"/>
      <c r="AM190" s="740"/>
      <c r="AN190" s="740"/>
      <c r="AO190" s="740"/>
      <c r="AP190" s="740"/>
    </row>
    <row r="191" spans="2:42" ht="15">
      <c r="B191" s="46"/>
      <c r="C191" s="59" t="s">
        <v>392</v>
      </c>
      <c r="D191" s="103">
        <f t="shared" si="37"/>
        <v>1800</v>
      </c>
      <c r="E191" s="102">
        <f t="shared" si="37"/>
        <v>39692</v>
      </c>
      <c r="F191" s="789">
        <v>0</v>
      </c>
      <c r="G191" s="789">
        <v>0</v>
      </c>
      <c r="H191" s="789">
        <v>0</v>
      </c>
      <c r="I191" s="789">
        <v>0</v>
      </c>
      <c r="J191" s="789">
        <v>0</v>
      </c>
      <c r="K191" s="817">
        <f t="shared" si="38"/>
        <v>0</v>
      </c>
      <c r="L191" s="789">
        <v>0</v>
      </c>
      <c r="M191" s="789">
        <v>0</v>
      </c>
      <c r="N191" s="789">
        <v>0</v>
      </c>
      <c r="O191" s="789">
        <v>0</v>
      </c>
      <c r="P191" s="817">
        <f t="shared" si="39"/>
        <v>0</v>
      </c>
      <c r="Q191" s="817">
        <f t="shared" si="40"/>
        <v>0</v>
      </c>
      <c r="AG191" s="740"/>
      <c r="AH191" s="740"/>
      <c r="AI191" s="740"/>
      <c r="AJ191" s="740"/>
      <c r="AK191" s="740"/>
      <c r="AL191" s="740"/>
      <c r="AM191" s="740"/>
      <c r="AN191" s="740"/>
      <c r="AO191" s="740"/>
      <c r="AP191" s="740"/>
    </row>
    <row r="192" spans="2:42" ht="15">
      <c r="B192" s="46"/>
      <c r="C192" s="59" t="s">
        <v>393</v>
      </c>
      <c r="D192" s="103">
        <f t="shared" si="37"/>
        <v>1700</v>
      </c>
      <c r="E192" s="102">
        <f t="shared" si="37"/>
        <v>39730</v>
      </c>
      <c r="F192" s="789">
        <v>0</v>
      </c>
      <c r="G192" s="789">
        <v>0</v>
      </c>
      <c r="H192" s="789">
        <v>0</v>
      </c>
      <c r="I192" s="789">
        <v>0</v>
      </c>
      <c r="J192" s="789">
        <v>0</v>
      </c>
      <c r="K192" s="817">
        <f t="shared" si="38"/>
        <v>0</v>
      </c>
      <c r="L192" s="789">
        <v>0</v>
      </c>
      <c r="M192" s="789">
        <v>0</v>
      </c>
      <c r="N192" s="789">
        <v>0</v>
      </c>
      <c r="O192" s="789">
        <v>0</v>
      </c>
      <c r="P192" s="817">
        <f t="shared" si="39"/>
        <v>0</v>
      </c>
      <c r="Q192" s="817">
        <f t="shared" si="40"/>
        <v>0</v>
      </c>
      <c r="AG192" s="740"/>
      <c r="AH192" s="740"/>
      <c r="AI192" s="740"/>
      <c r="AJ192" s="740"/>
      <c r="AK192" s="740"/>
      <c r="AL192" s="740"/>
      <c r="AM192" s="740"/>
      <c r="AN192" s="740"/>
      <c r="AO192" s="740"/>
      <c r="AP192" s="740"/>
    </row>
    <row r="193" spans="2:42" ht="15">
      <c r="B193" s="46"/>
      <c r="C193" s="59" t="s">
        <v>394</v>
      </c>
      <c r="D193" s="103">
        <f t="shared" si="37"/>
        <v>1900</v>
      </c>
      <c r="E193" s="102">
        <f t="shared" si="37"/>
        <v>39772</v>
      </c>
      <c r="F193" s="789">
        <v>0</v>
      </c>
      <c r="G193" s="789">
        <v>0</v>
      </c>
      <c r="H193" s="789">
        <v>0</v>
      </c>
      <c r="I193" s="789">
        <v>0</v>
      </c>
      <c r="J193" s="789">
        <v>0</v>
      </c>
      <c r="K193" s="817">
        <f t="shared" si="38"/>
        <v>0</v>
      </c>
      <c r="L193" s="789">
        <v>0</v>
      </c>
      <c r="M193" s="789">
        <v>0</v>
      </c>
      <c r="N193" s="789">
        <v>0</v>
      </c>
      <c r="O193" s="789">
        <v>0</v>
      </c>
      <c r="P193" s="817">
        <f t="shared" si="39"/>
        <v>0</v>
      </c>
      <c r="Q193" s="817">
        <f t="shared" si="40"/>
        <v>0</v>
      </c>
      <c r="AG193" s="740"/>
      <c r="AH193" s="740"/>
      <c r="AI193" s="740"/>
      <c r="AJ193" s="740"/>
      <c r="AK193" s="740"/>
      <c r="AL193" s="740"/>
      <c r="AM193" s="740"/>
      <c r="AN193" s="740"/>
      <c r="AO193" s="740"/>
      <c r="AP193" s="740"/>
    </row>
    <row r="194" spans="2:42" ht="15">
      <c r="B194" s="46"/>
      <c r="C194" s="59" t="s">
        <v>395</v>
      </c>
      <c r="D194" s="103">
        <f t="shared" si="37"/>
        <v>1900</v>
      </c>
      <c r="E194" s="102">
        <f t="shared" si="37"/>
        <v>39797</v>
      </c>
      <c r="F194" s="789">
        <v>0</v>
      </c>
      <c r="G194" s="789">
        <v>0</v>
      </c>
      <c r="H194" s="789">
        <v>0</v>
      </c>
      <c r="I194" s="789">
        <v>0</v>
      </c>
      <c r="J194" s="789">
        <v>0</v>
      </c>
      <c r="K194" s="817">
        <f t="shared" si="38"/>
        <v>0</v>
      </c>
      <c r="L194" s="789">
        <v>0</v>
      </c>
      <c r="M194" s="789">
        <v>0</v>
      </c>
      <c r="N194" s="789">
        <v>0</v>
      </c>
      <c r="O194" s="789">
        <v>0</v>
      </c>
      <c r="P194" s="817">
        <f t="shared" si="39"/>
        <v>0</v>
      </c>
      <c r="Q194" s="817">
        <f t="shared" si="40"/>
        <v>0</v>
      </c>
      <c r="AG194" s="740"/>
      <c r="AH194" s="740"/>
      <c r="AI194" s="740"/>
      <c r="AJ194" s="740"/>
      <c r="AK194" s="740"/>
      <c r="AL194" s="740"/>
      <c r="AM194" s="740"/>
      <c r="AN194" s="740"/>
      <c r="AO194" s="740"/>
      <c r="AP194" s="740"/>
    </row>
    <row r="195" spans="2:42" ht="15">
      <c r="B195" s="46"/>
      <c r="P195" s="71"/>
      <c r="Q195" s="71"/>
      <c r="AG195" s="740"/>
      <c r="AH195" s="740"/>
      <c r="AI195" s="740"/>
      <c r="AJ195" s="740"/>
      <c r="AK195" s="740"/>
      <c r="AL195" s="740"/>
      <c r="AM195" s="740"/>
      <c r="AN195" s="740"/>
      <c r="AO195" s="740"/>
      <c r="AP195" s="740"/>
    </row>
    <row r="196" spans="2:42" ht="15">
      <c r="B196" s="782" t="s">
        <v>1453</v>
      </c>
      <c r="C196" s="822" t="s">
        <v>1455</v>
      </c>
      <c r="D196" s="70"/>
      <c r="E196" s="62"/>
      <c r="F196" s="200"/>
      <c r="G196" s="200"/>
      <c r="H196" s="200"/>
      <c r="I196" s="200"/>
      <c r="J196" s="200"/>
      <c r="K196" s="200"/>
      <c r="L196" s="65"/>
      <c r="M196" s="65"/>
      <c r="N196" s="65"/>
      <c r="O196" s="65"/>
      <c r="P196" s="65"/>
      <c r="Q196" s="65"/>
      <c r="AG196" s="740"/>
      <c r="AH196" s="740"/>
      <c r="AI196" s="740"/>
      <c r="AJ196" s="740"/>
      <c r="AK196" s="740"/>
      <c r="AL196" s="740"/>
      <c r="AM196" s="740"/>
      <c r="AN196" s="740"/>
      <c r="AO196" s="740"/>
      <c r="AP196" s="740"/>
    </row>
    <row r="197" spans="2:42" ht="15">
      <c r="B197" s="46"/>
      <c r="C197" s="32"/>
      <c r="D197" s="32"/>
      <c r="E197" s="64"/>
      <c r="F197" s="47"/>
      <c r="G197" s="47"/>
      <c r="H197" s="47"/>
      <c r="I197" s="47"/>
      <c r="J197" s="47"/>
      <c r="K197" s="47"/>
      <c r="L197" s="32"/>
      <c r="M197" s="32"/>
      <c r="N197" s="32"/>
      <c r="O197" s="32"/>
      <c r="P197" s="61"/>
      <c r="Q197" s="61"/>
      <c r="AG197" s="740"/>
      <c r="AH197" s="740"/>
      <c r="AI197" s="740"/>
      <c r="AJ197" s="740"/>
      <c r="AK197" s="740"/>
      <c r="AL197" s="740"/>
      <c r="AM197" s="740"/>
      <c r="AN197" s="740"/>
      <c r="AO197" s="740"/>
      <c r="AP197" s="740"/>
    </row>
    <row r="198" spans="2:42" ht="15">
      <c r="B198" s="46"/>
      <c r="C198" s="32"/>
      <c r="D198" s="32"/>
      <c r="E198" s="64"/>
      <c r="F198" s="1414" t="s">
        <v>29</v>
      </c>
      <c r="G198" s="1415"/>
      <c r="H198" s="1415"/>
      <c r="I198" s="1415"/>
      <c r="J198" s="1415"/>
      <c r="K198" s="1416"/>
      <c r="L198" s="1414" t="s">
        <v>28</v>
      </c>
      <c r="M198" s="1415"/>
      <c r="N198" s="1415"/>
      <c r="O198" s="1415"/>
      <c r="P198" s="1416"/>
      <c r="Q198" s="664"/>
      <c r="AG198" s="740"/>
      <c r="AH198" s="740"/>
      <c r="AI198" s="740"/>
      <c r="AJ198" s="740"/>
      <c r="AK198" s="740"/>
      <c r="AL198" s="740"/>
      <c r="AM198" s="740"/>
      <c r="AN198" s="740"/>
      <c r="AO198" s="740"/>
      <c r="AP198" s="740"/>
    </row>
    <row r="199" spans="2:42" ht="15">
      <c r="B199" s="46"/>
      <c r="C199" s="32"/>
      <c r="D199" s="32"/>
      <c r="E199" s="64"/>
      <c r="F199" s="794"/>
      <c r="G199" s="794"/>
      <c r="H199" s="794"/>
      <c r="I199" s="663"/>
      <c r="J199" s="663"/>
      <c r="K199" s="662"/>
      <c r="L199" s="794"/>
      <c r="M199" s="794"/>
      <c r="N199" s="795"/>
      <c r="O199" s="663"/>
      <c r="P199" s="662"/>
      <c r="Q199" s="796" t="s">
        <v>1449</v>
      </c>
      <c r="AG199" s="740"/>
      <c r="AH199" s="740"/>
      <c r="AI199" s="740"/>
      <c r="AJ199" s="740"/>
      <c r="AK199" s="740"/>
      <c r="AL199" s="740"/>
      <c r="AM199" s="740"/>
      <c r="AN199" s="740"/>
      <c r="AO199" s="740"/>
      <c r="AP199" s="740"/>
    </row>
    <row r="200" spans="2:42" ht="15">
      <c r="B200" s="46"/>
      <c r="C200" s="32"/>
      <c r="D200" s="32"/>
      <c r="E200" s="64"/>
      <c r="F200" s="672" t="s">
        <v>888</v>
      </c>
      <c r="G200" s="672" t="s">
        <v>888</v>
      </c>
      <c r="H200" s="672" t="s">
        <v>888</v>
      </c>
      <c r="I200" s="672" t="s">
        <v>888</v>
      </c>
      <c r="J200" s="672" t="s">
        <v>888</v>
      </c>
      <c r="K200" s="800" t="s">
        <v>889</v>
      </c>
      <c r="L200" s="801" t="s">
        <v>1454</v>
      </c>
      <c r="M200" s="801" t="s">
        <v>888</v>
      </c>
      <c r="N200" s="799" t="s">
        <v>888</v>
      </c>
      <c r="O200" s="672" t="s">
        <v>888</v>
      </c>
      <c r="P200" s="800" t="s">
        <v>889</v>
      </c>
      <c r="Q200" s="56" t="s">
        <v>901</v>
      </c>
      <c r="AG200" s="740"/>
      <c r="AH200" s="740"/>
      <c r="AI200" s="740"/>
      <c r="AJ200" s="740"/>
      <c r="AK200" s="740"/>
      <c r="AL200" s="740"/>
      <c r="AM200" s="740"/>
      <c r="AN200" s="740"/>
      <c r="AO200" s="740"/>
      <c r="AP200" s="740"/>
    </row>
    <row r="201" spans="2:42" ht="15">
      <c r="B201" s="46"/>
      <c r="C201" s="32"/>
      <c r="D201" s="32"/>
      <c r="E201" s="64"/>
      <c r="F201" s="798"/>
      <c r="G201" s="672"/>
      <c r="H201" s="672"/>
      <c r="I201" s="672"/>
      <c r="J201" s="672"/>
      <c r="K201" s="796" t="s">
        <v>903</v>
      </c>
      <c r="L201" s="798"/>
      <c r="M201" s="672"/>
      <c r="N201" s="799"/>
      <c r="O201" s="672"/>
      <c r="P201" s="796" t="s">
        <v>904</v>
      </c>
      <c r="Q201" s="56" t="s">
        <v>905</v>
      </c>
      <c r="AG201" s="740"/>
      <c r="AH201" s="740"/>
      <c r="AI201" s="740"/>
      <c r="AJ201" s="740"/>
      <c r="AK201" s="740"/>
      <c r="AL201" s="740"/>
      <c r="AM201" s="740"/>
      <c r="AN201" s="740"/>
      <c r="AO201" s="740"/>
      <c r="AP201" s="740"/>
    </row>
    <row r="202" spans="2:42" ht="15">
      <c r="B202" s="46"/>
      <c r="C202" s="32"/>
      <c r="D202" s="32"/>
      <c r="E202" s="64"/>
      <c r="F202" s="812" t="s">
        <v>1697</v>
      </c>
      <c r="G202" s="813" t="s">
        <v>1698</v>
      </c>
      <c r="H202" s="820" t="s">
        <v>890</v>
      </c>
      <c r="I202" s="813" t="s">
        <v>1700</v>
      </c>
      <c r="J202" s="831" t="s">
        <v>1701</v>
      </c>
      <c r="K202" s="812" t="s">
        <v>1702</v>
      </c>
      <c r="L202" s="813" t="s">
        <v>891</v>
      </c>
      <c r="M202" s="814" t="s">
        <v>892</v>
      </c>
      <c r="N202" s="813" t="s">
        <v>893</v>
      </c>
      <c r="O202" s="815" t="s">
        <v>894</v>
      </c>
      <c r="P202" s="58" t="s">
        <v>895</v>
      </c>
      <c r="Q202" s="58" t="s">
        <v>902</v>
      </c>
      <c r="AG202" s="740"/>
      <c r="AH202" s="740"/>
      <c r="AI202" s="740"/>
      <c r="AJ202" s="740"/>
      <c r="AK202" s="740"/>
      <c r="AL202" s="740"/>
      <c r="AM202" s="740"/>
      <c r="AN202" s="740"/>
      <c r="AO202" s="740"/>
      <c r="AP202" s="740"/>
    </row>
    <row r="203" spans="2:42" ht="15">
      <c r="B203" s="46"/>
      <c r="C203" s="59" t="s">
        <v>385</v>
      </c>
      <c r="D203" s="103">
        <f aca="true" t="shared" si="41" ref="D203:E214">+D183</f>
        <v>800</v>
      </c>
      <c r="E203" s="102">
        <f t="shared" si="41"/>
        <v>39471</v>
      </c>
      <c r="F203" s="789">
        <v>0</v>
      </c>
      <c r="G203" s="789">
        <v>0</v>
      </c>
      <c r="H203" s="789">
        <v>0</v>
      </c>
      <c r="I203" s="789">
        <v>0</v>
      </c>
      <c r="J203" s="789">
        <v>0</v>
      </c>
      <c r="K203" s="817">
        <f aca="true" t="shared" si="42" ref="K203:K214">SUM(F203:J203)</f>
        <v>0</v>
      </c>
      <c r="L203" s="789">
        <v>7</v>
      </c>
      <c r="M203" s="789">
        <v>0</v>
      </c>
      <c r="N203" s="789">
        <v>0</v>
      </c>
      <c r="O203" s="789">
        <v>0</v>
      </c>
      <c r="P203" s="817">
        <f aca="true" t="shared" si="43" ref="P203:P214">SUM(L203:O203)</f>
        <v>7</v>
      </c>
      <c r="Q203" s="817">
        <f>K203+P203</f>
        <v>7</v>
      </c>
      <c r="AG203" s="740"/>
      <c r="AH203" s="740"/>
      <c r="AI203" s="740"/>
      <c r="AJ203" s="740"/>
      <c r="AK203" s="740"/>
      <c r="AL203" s="740"/>
      <c r="AM203" s="740"/>
      <c r="AN203" s="740"/>
      <c r="AO203" s="740"/>
      <c r="AP203" s="740"/>
    </row>
    <row r="204" spans="2:42" ht="15">
      <c r="B204" s="46"/>
      <c r="C204" s="59" t="s">
        <v>386</v>
      </c>
      <c r="D204" s="103">
        <f t="shared" si="41"/>
        <v>1900</v>
      </c>
      <c r="E204" s="102">
        <f t="shared" si="41"/>
        <v>39498</v>
      </c>
      <c r="F204" s="789">
        <v>0</v>
      </c>
      <c r="G204" s="789">
        <v>0</v>
      </c>
      <c r="H204" s="789">
        <v>0</v>
      </c>
      <c r="I204" s="789">
        <v>0</v>
      </c>
      <c r="J204" s="789">
        <v>0</v>
      </c>
      <c r="K204" s="817">
        <f t="shared" si="42"/>
        <v>0</v>
      </c>
      <c r="L204" s="789">
        <v>8</v>
      </c>
      <c r="M204" s="789">
        <v>0</v>
      </c>
      <c r="N204" s="789">
        <v>0</v>
      </c>
      <c r="O204" s="789">
        <v>0</v>
      </c>
      <c r="P204" s="817">
        <f t="shared" si="43"/>
        <v>8</v>
      </c>
      <c r="Q204" s="817">
        <f aca="true" t="shared" si="44" ref="Q204:Q214">K204+P204</f>
        <v>8</v>
      </c>
      <c r="AG204" s="740"/>
      <c r="AH204" s="740"/>
      <c r="AI204" s="740"/>
      <c r="AJ204" s="740"/>
      <c r="AK204" s="740"/>
      <c r="AL204" s="740"/>
      <c r="AM204" s="740"/>
      <c r="AN204" s="740"/>
      <c r="AO204" s="740"/>
      <c r="AP204" s="740"/>
    </row>
    <row r="205" spans="2:42" ht="15">
      <c r="B205" s="46"/>
      <c r="C205" s="59" t="s">
        <v>387</v>
      </c>
      <c r="D205" s="103">
        <f t="shared" si="41"/>
        <v>2000</v>
      </c>
      <c r="E205" s="102">
        <f t="shared" si="41"/>
        <v>39514</v>
      </c>
      <c r="F205" s="789">
        <v>0</v>
      </c>
      <c r="G205" s="789">
        <v>0</v>
      </c>
      <c r="H205" s="789">
        <v>0</v>
      </c>
      <c r="I205" s="789">
        <v>0</v>
      </c>
      <c r="J205" s="789">
        <v>0</v>
      </c>
      <c r="K205" s="817">
        <f t="shared" si="42"/>
        <v>0</v>
      </c>
      <c r="L205" s="789">
        <v>7</v>
      </c>
      <c r="M205" s="789">
        <v>0</v>
      </c>
      <c r="N205" s="789">
        <v>0</v>
      </c>
      <c r="O205" s="789">
        <v>0</v>
      </c>
      <c r="P205" s="817">
        <f t="shared" si="43"/>
        <v>7</v>
      </c>
      <c r="Q205" s="817">
        <f t="shared" si="44"/>
        <v>7</v>
      </c>
      <c r="AG205" s="740"/>
      <c r="AH205" s="740"/>
      <c r="AI205" s="740"/>
      <c r="AJ205" s="740"/>
      <c r="AK205" s="740"/>
      <c r="AL205" s="740"/>
      <c r="AM205" s="740"/>
      <c r="AN205" s="740"/>
      <c r="AO205" s="740"/>
      <c r="AP205" s="740"/>
    </row>
    <row r="206" spans="2:42" ht="15">
      <c r="B206" s="46"/>
      <c r="C206" s="59" t="s">
        <v>388</v>
      </c>
      <c r="D206" s="103">
        <f t="shared" si="41"/>
        <v>1700</v>
      </c>
      <c r="E206" s="102">
        <f t="shared" si="41"/>
        <v>39559</v>
      </c>
      <c r="F206" s="789">
        <v>0</v>
      </c>
      <c r="G206" s="789">
        <v>0</v>
      </c>
      <c r="H206" s="789">
        <v>0</v>
      </c>
      <c r="I206" s="789">
        <v>0</v>
      </c>
      <c r="J206" s="789">
        <v>0</v>
      </c>
      <c r="K206" s="817">
        <f t="shared" si="42"/>
        <v>0</v>
      </c>
      <c r="L206" s="789">
        <v>6</v>
      </c>
      <c r="M206" s="789">
        <v>0</v>
      </c>
      <c r="N206" s="789">
        <v>0</v>
      </c>
      <c r="O206" s="789">
        <v>0</v>
      </c>
      <c r="P206" s="817">
        <f t="shared" si="43"/>
        <v>6</v>
      </c>
      <c r="Q206" s="817">
        <f t="shared" si="44"/>
        <v>6</v>
      </c>
      <c r="AG206" s="740"/>
      <c r="AH206" s="740"/>
      <c r="AI206" s="740"/>
      <c r="AJ206" s="740"/>
      <c r="AK206" s="740"/>
      <c r="AL206" s="740"/>
      <c r="AM206" s="740"/>
      <c r="AN206" s="740"/>
      <c r="AO206" s="740"/>
      <c r="AP206" s="740"/>
    </row>
    <row r="207" spans="2:42" ht="15">
      <c r="B207" s="46"/>
      <c r="C207" s="59" t="s">
        <v>30</v>
      </c>
      <c r="D207" s="103">
        <f t="shared" si="41"/>
        <v>1700</v>
      </c>
      <c r="E207" s="102">
        <f t="shared" si="41"/>
        <v>39598</v>
      </c>
      <c r="F207" s="789">
        <v>0</v>
      </c>
      <c r="G207" s="789">
        <v>0</v>
      </c>
      <c r="H207" s="789">
        <v>0</v>
      </c>
      <c r="I207" s="789">
        <v>0</v>
      </c>
      <c r="J207" s="789">
        <v>0</v>
      </c>
      <c r="K207" s="817">
        <f t="shared" si="42"/>
        <v>0</v>
      </c>
      <c r="L207" s="789">
        <v>7</v>
      </c>
      <c r="M207" s="789">
        <v>0</v>
      </c>
      <c r="N207" s="789">
        <v>0</v>
      </c>
      <c r="O207" s="789">
        <v>0</v>
      </c>
      <c r="P207" s="817">
        <f t="shared" si="43"/>
        <v>7</v>
      </c>
      <c r="Q207" s="817">
        <f t="shared" si="44"/>
        <v>7</v>
      </c>
      <c r="Y207" s="740"/>
      <c r="Z207" s="740"/>
      <c r="AA207" s="740"/>
      <c r="AB207" s="740"/>
      <c r="AC207" s="740"/>
      <c r="AD207" s="740"/>
      <c r="AE207" s="740"/>
      <c r="AF207" s="740"/>
      <c r="AG207" s="740"/>
      <c r="AH207" s="740"/>
      <c r="AI207" s="740"/>
      <c r="AJ207" s="740"/>
      <c r="AK207" s="740"/>
      <c r="AL207" s="740"/>
      <c r="AM207" s="740"/>
      <c r="AN207" s="740"/>
      <c r="AO207" s="740"/>
      <c r="AP207" s="740"/>
    </row>
    <row r="208" spans="2:42" ht="15">
      <c r="B208" s="46"/>
      <c r="C208" s="59" t="s">
        <v>389</v>
      </c>
      <c r="D208" s="103">
        <f t="shared" si="41"/>
        <v>1700</v>
      </c>
      <c r="E208" s="102">
        <f t="shared" si="41"/>
        <v>39624</v>
      </c>
      <c r="F208" s="789">
        <v>0</v>
      </c>
      <c r="G208" s="789">
        <v>0</v>
      </c>
      <c r="H208" s="789">
        <v>0</v>
      </c>
      <c r="I208" s="789">
        <v>0</v>
      </c>
      <c r="J208" s="789">
        <v>0</v>
      </c>
      <c r="K208" s="817">
        <f t="shared" si="42"/>
        <v>0</v>
      </c>
      <c r="L208" s="789"/>
      <c r="M208" s="789">
        <v>0</v>
      </c>
      <c r="N208" s="789">
        <v>0</v>
      </c>
      <c r="O208" s="789">
        <v>0</v>
      </c>
      <c r="P208" s="817">
        <f t="shared" si="43"/>
        <v>0</v>
      </c>
      <c r="Q208" s="817">
        <f t="shared" si="44"/>
        <v>0</v>
      </c>
      <c r="Y208" s="740"/>
      <c r="Z208" s="740"/>
      <c r="AA208" s="740"/>
      <c r="AB208" s="740"/>
      <c r="AC208" s="740"/>
      <c r="AD208" s="740"/>
      <c r="AE208" s="740"/>
      <c r="AF208" s="740"/>
      <c r="AG208" s="740"/>
      <c r="AH208" s="740"/>
      <c r="AI208" s="740"/>
      <c r="AJ208" s="740"/>
      <c r="AK208" s="740"/>
      <c r="AL208" s="740"/>
      <c r="AM208" s="740"/>
      <c r="AN208" s="740"/>
      <c r="AO208" s="740"/>
      <c r="AP208" s="740"/>
    </row>
    <row r="209" spans="2:42" ht="15">
      <c r="B209" s="46"/>
      <c r="C209" s="59" t="s">
        <v>390</v>
      </c>
      <c r="D209" s="103">
        <f t="shared" si="41"/>
        <v>1700</v>
      </c>
      <c r="E209" s="102">
        <f t="shared" si="41"/>
        <v>39650</v>
      </c>
      <c r="F209" s="789">
        <v>0</v>
      </c>
      <c r="G209" s="789">
        <v>0</v>
      </c>
      <c r="H209" s="789">
        <v>0</v>
      </c>
      <c r="I209" s="789">
        <v>0</v>
      </c>
      <c r="J209" s="789">
        <v>0</v>
      </c>
      <c r="K209" s="817">
        <f t="shared" si="42"/>
        <v>0</v>
      </c>
      <c r="L209" s="789"/>
      <c r="M209" s="789">
        <v>0</v>
      </c>
      <c r="N209" s="789">
        <v>0</v>
      </c>
      <c r="O209" s="789">
        <v>0</v>
      </c>
      <c r="P209" s="817">
        <f t="shared" si="43"/>
        <v>0</v>
      </c>
      <c r="Q209" s="817">
        <f t="shared" si="44"/>
        <v>0</v>
      </c>
      <c r="Y209" s="740"/>
      <c r="Z209" s="740"/>
      <c r="AA209" s="740"/>
      <c r="AB209" s="740"/>
      <c r="AC209" s="740"/>
      <c r="AD209" s="740"/>
      <c r="AE209" s="740"/>
      <c r="AF209" s="740"/>
      <c r="AG209" s="740"/>
      <c r="AH209" s="740"/>
      <c r="AI209" s="740"/>
      <c r="AJ209" s="740"/>
      <c r="AK209" s="740"/>
      <c r="AL209" s="740"/>
      <c r="AM209" s="740"/>
      <c r="AN209" s="740"/>
      <c r="AO209" s="740"/>
      <c r="AP209" s="740"/>
    </row>
    <row r="210" spans="2:42" ht="15">
      <c r="B210" s="46"/>
      <c r="C210" s="59" t="s">
        <v>391</v>
      </c>
      <c r="D210" s="103">
        <f t="shared" si="41"/>
        <v>1700</v>
      </c>
      <c r="E210" s="102">
        <f t="shared" si="41"/>
        <v>39664</v>
      </c>
      <c r="F210" s="789">
        <v>0</v>
      </c>
      <c r="G210" s="789">
        <v>0</v>
      </c>
      <c r="H210" s="789">
        <v>0</v>
      </c>
      <c r="I210" s="789">
        <v>0</v>
      </c>
      <c r="J210" s="789">
        <v>0</v>
      </c>
      <c r="K210" s="817">
        <f t="shared" si="42"/>
        <v>0</v>
      </c>
      <c r="L210" s="789"/>
      <c r="M210" s="789">
        <v>0</v>
      </c>
      <c r="N210" s="789">
        <v>0</v>
      </c>
      <c r="O210" s="789">
        <v>0</v>
      </c>
      <c r="P210" s="817">
        <f t="shared" si="43"/>
        <v>0</v>
      </c>
      <c r="Q210" s="817">
        <f t="shared" si="44"/>
        <v>0</v>
      </c>
      <c r="Y210" s="740"/>
      <c r="Z210" s="740"/>
      <c r="AA210" s="740"/>
      <c r="AB210" s="740"/>
      <c r="AC210" s="740"/>
      <c r="AD210" s="740"/>
      <c r="AE210" s="740"/>
      <c r="AF210" s="740"/>
      <c r="AG210" s="740"/>
      <c r="AH210" s="740"/>
      <c r="AI210" s="740"/>
      <c r="AJ210" s="740"/>
      <c r="AK210" s="740"/>
      <c r="AL210" s="740"/>
      <c r="AM210" s="740"/>
      <c r="AN210" s="740"/>
      <c r="AO210" s="740"/>
      <c r="AP210" s="740"/>
    </row>
    <row r="211" spans="2:42" ht="15">
      <c r="B211" s="46"/>
      <c r="C211" s="59" t="s">
        <v>392</v>
      </c>
      <c r="D211" s="103">
        <f t="shared" si="41"/>
        <v>1800</v>
      </c>
      <c r="E211" s="102">
        <f t="shared" si="41"/>
        <v>39692</v>
      </c>
      <c r="F211" s="789">
        <v>0</v>
      </c>
      <c r="G211" s="789">
        <v>0</v>
      </c>
      <c r="H211" s="789">
        <v>0</v>
      </c>
      <c r="I211" s="789">
        <v>0</v>
      </c>
      <c r="J211" s="789">
        <v>0</v>
      </c>
      <c r="K211" s="817">
        <f t="shared" si="42"/>
        <v>0</v>
      </c>
      <c r="L211" s="789"/>
      <c r="M211" s="789">
        <v>0</v>
      </c>
      <c r="N211" s="789">
        <v>0</v>
      </c>
      <c r="O211" s="789">
        <v>0</v>
      </c>
      <c r="P211" s="817">
        <f t="shared" si="43"/>
        <v>0</v>
      </c>
      <c r="Q211" s="817">
        <f t="shared" si="44"/>
        <v>0</v>
      </c>
      <c r="Y211" s="740"/>
      <c r="Z211" s="740"/>
      <c r="AA211" s="740"/>
      <c r="AB211" s="740"/>
      <c r="AC211" s="740"/>
      <c r="AD211" s="740"/>
      <c r="AE211" s="740"/>
      <c r="AF211" s="740"/>
      <c r="AG211" s="740"/>
      <c r="AH211" s="740"/>
      <c r="AI211" s="740"/>
      <c r="AJ211" s="740"/>
      <c r="AK211" s="740"/>
      <c r="AL211" s="740"/>
      <c r="AM211" s="740"/>
      <c r="AN211" s="740"/>
      <c r="AO211" s="740"/>
      <c r="AP211" s="740"/>
    </row>
    <row r="212" spans="2:42" ht="15">
      <c r="B212" s="46"/>
      <c r="C212" s="59" t="s">
        <v>393</v>
      </c>
      <c r="D212" s="103">
        <f t="shared" si="41"/>
        <v>1700</v>
      </c>
      <c r="E212" s="102">
        <f t="shared" si="41"/>
        <v>39730</v>
      </c>
      <c r="F212" s="789">
        <v>0</v>
      </c>
      <c r="G212" s="789">
        <v>0</v>
      </c>
      <c r="H212" s="789">
        <v>0</v>
      </c>
      <c r="I212" s="789">
        <v>0</v>
      </c>
      <c r="J212" s="789">
        <v>0</v>
      </c>
      <c r="K212" s="817">
        <f t="shared" si="42"/>
        <v>0</v>
      </c>
      <c r="L212" s="789"/>
      <c r="M212" s="789">
        <v>0</v>
      </c>
      <c r="N212" s="789">
        <v>0</v>
      </c>
      <c r="O212" s="789">
        <v>0</v>
      </c>
      <c r="P212" s="817">
        <f t="shared" si="43"/>
        <v>0</v>
      </c>
      <c r="Q212" s="817">
        <f t="shared" si="44"/>
        <v>0</v>
      </c>
      <c r="Y212" s="740"/>
      <c r="Z212" s="740"/>
      <c r="AA212" s="740"/>
      <c r="AB212" s="740"/>
      <c r="AC212" s="740"/>
      <c r="AD212" s="740"/>
      <c r="AE212" s="740"/>
      <c r="AF212" s="740"/>
      <c r="AG212" s="740"/>
      <c r="AH212" s="740"/>
      <c r="AI212" s="740"/>
      <c r="AJ212" s="740"/>
      <c r="AK212" s="740"/>
      <c r="AL212" s="740"/>
      <c r="AM212" s="740"/>
      <c r="AN212" s="740"/>
      <c r="AO212" s="740"/>
      <c r="AP212" s="740"/>
    </row>
    <row r="213" spans="2:42" ht="15">
      <c r="B213" s="46"/>
      <c r="C213" s="59" t="s">
        <v>394</v>
      </c>
      <c r="D213" s="103">
        <f t="shared" si="41"/>
        <v>1900</v>
      </c>
      <c r="E213" s="102">
        <f t="shared" si="41"/>
        <v>39772</v>
      </c>
      <c r="F213" s="789">
        <v>0</v>
      </c>
      <c r="G213" s="789">
        <v>0</v>
      </c>
      <c r="H213" s="789">
        <v>0</v>
      </c>
      <c r="I213" s="789">
        <v>0</v>
      </c>
      <c r="J213" s="789">
        <v>0</v>
      </c>
      <c r="K213" s="817">
        <f t="shared" si="42"/>
        <v>0</v>
      </c>
      <c r="L213" s="789"/>
      <c r="M213" s="789">
        <v>0</v>
      </c>
      <c r="N213" s="789">
        <v>0</v>
      </c>
      <c r="O213" s="789">
        <v>0</v>
      </c>
      <c r="P213" s="817">
        <f t="shared" si="43"/>
        <v>0</v>
      </c>
      <c r="Q213" s="817">
        <f t="shared" si="44"/>
        <v>0</v>
      </c>
      <c r="Y213" s="740"/>
      <c r="Z213" s="740"/>
      <c r="AA213" s="740"/>
      <c r="AB213" s="740"/>
      <c r="AC213" s="740"/>
      <c r="AD213" s="740"/>
      <c r="AE213" s="740"/>
      <c r="AF213" s="740"/>
      <c r="AG213" s="740"/>
      <c r="AH213" s="740"/>
      <c r="AI213" s="740"/>
      <c r="AJ213" s="740"/>
      <c r="AK213" s="740"/>
      <c r="AL213" s="740"/>
      <c r="AM213" s="740"/>
      <c r="AN213" s="740"/>
      <c r="AO213" s="740"/>
      <c r="AP213" s="740"/>
    </row>
    <row r="214" spans="2:42" ht="15">
      <c r="B214" s="46"/>
      <c r="C214" s="59" t="s">
        <v>395</v>
      </c>
      <c r="D214" s="103">
        <f t="shared" si="41"/>
        <v>1900</v>
      </c>
      <c r="E214" s="102">
        <f t="shared" si="41"/>
        <v>39797</v>
      </c>
      <c r="F214" s="789">
        <v>0</v>
      </c>
      <c r="G214" s="789">
        <v>0</v>
      </c>
      <c r="H214" s="789">
        <v>0</v>
      </c>
      <c r="I214" s="789">
        <v>0</v>
      </c>
      <c r="J214" s="789">
        <v>0</v>
      </c>
      <c r="K214" s="817">
        <f t="shared" si="42"/>
        <v>0</v>
      </c>
      <c r="L214" s="789"/>
      <c r="M214" s="789">
        <v>0</v>
      </c>
      <c r="N214" s="789">
        <v>0</v>
      </c>
      <c r="O214" s="789">
        <v>0</v>
      </c>
      <c r="P214" s="817">
        <f t="shared" si="43"/>
        <v>0</v>
      </c>
      <c r="Q214" s="817">
        <f t="shared" si="44"/>
        <v>0</v>
      </c>
      <c r="Y214" s="740"/>
      <c r="Z214" s="740"/>
      <c r="AA214" s="740"/>
      <c r="AB214" s="740"/>
      <c r="AC214" s="740"/>
      <c r="AD214" s="740"/>
      <c r="AE214" s="740"/>
      <c r="AF214" s="740"/>
      <c r="AG214" s="740"/>
      <c r="AH214" s="740"/>
      <c r="AI214" s="740"/>
      <c r="AJ214" s="740"/>
      <c r="AK214" s="740"/>
      <c r="AL214" s="740"/>
      <c r="AM214" s="740"/>
      <c r="AN214" s="740"/>
      <c r="AO214" s="740"/>
      <c r="AP214" s="740"/>
    </row>
    <row r="215" spans="25:42" ht="15">
      <c r="Y215" s="740"/>
      <c r="Z215" s="740"/>
      <c r="AA215" s="740"/>
      <c r="AB215" s="740"/>
      <c r="AC215" s="740"/>
      <c r="AD215" s="740"/>
      <c r="AE215" s="740"/>
      <c r="AF215" s="740"/>
      <c r="AG215" s="740"/>
      <c r="AH215" s="740"/>
      <c r="AI215" s="740"/>
      <c r="AJ215" s="740"/>
      <c r="AK215" s="740"/>
      <c r="AL215" s="740"/>
      <c r="AM215" s="740"/>
      <c r="AN215" s="740"/>
      <c r="AO215" s="740"/>
      <c r="AP215" s="740"/>
    </row>
    <row r="216" spans="25:42" ht="15">
      <c r="Y216" s="740"/>
      <c r="Z216" s="740"/>
      <c r="AA216" s="740"/>
      <c r="AB216" s="740"/>
      <c r="AC216" s="740"/>
      <c r="AD216" s="740"/>
      <c r="AE216" s="740"/>
      <c r="AF216" s="740"/>
      <c r="AG216" s="740"/>
      <c r="AH216" s="740"/>
      <c r="AI216" s="740"/>
      <c r="AJ216" s="740"/>
      <c r="AK216" s="740"/>
      <c r="AL216" s="740"/>
      <c r="AM216" s="740"/>
      <c r="AN216" s="740"/>
      <c r="AO216" s="740"/>
      <c r="AP216" s="740"/>
    </row>
    <row r="217" spans="25:42" ht="15">
      <c r="Y217" s="740"/>
      <c r="Z217" s="740"/>
      <c r="AA217" s="740"/>
      <c r="AB217" s="740"/>
      <c r="AC217" s="740"/>
      <c r="AD217" s="740"/>
      <c r="AE217" s="740"/>
      <c r="AF217" s="740"/>
      <c r="AG217" s="740"/>
      <c r="AH217" s="740"/>
      <c r="AI217" s="740"/>
      <c r="AJ217" s="740"/>
      <c r="AK217" s="740"/>
      <c r="AL217" s="740"/>
      <c r="AM217" s="740"/>
      <c r="AN217" s="740"/>
      <c r="AO217" s="740"/>
      <c r="AP217" s="740"/>
    </row>
    <row r="218" spans="25:42" ht="15">
      <c r="Y218" s="740"/>
      <c r="Z218" s="740"/>
      <c r="AA218" s="740"/>
      <c r="AB218" s="740"/>
      <c r="AC218" s="740"/>
      <c r="AD218" s="740"/>
      <c r="AE218" s="740"/>
      <c r="AF218" s="740"/>
      <c r="AG218" s="740"/>
      <c r="AH218" s="740"/>
      <c r="AI218" s="740"/>
      <c r="AJ218" s="740"/>
      <c r="AK218" s="740"/>
      <c r="AL218" s="740"/>
      <c r="AM218" s="740"/>
      <c r="AN218" s="740"/>
      <c r="AO218" s="740"/>
      <c r="AP218" s="740"/>
    </row>
    <row r="219" spans="25:42" ht="15">
      <c r="Y219" s="740"/>
      <c r="Z219" s="740"/>
      <c r="AA219" s="740"/>
      <c r="AB219" s="740"/>
      <c r="AC219" s="740"/>
      <c r="AD219" s="740"/>
      <c r="AE219" s="740"/>
      <c r="AF219" s="740"/>
      <c r="AG219" s="740"/>
      <c r="AH219" s="740"/>
      <c r="AI219" s="740"/>
      <c r="AJ219" s="740"/>
      <c r="AK219" s="740"/>
      <c r="AL219" s="740"/>
      <c r="AM219" s="740"/>
      <c r="AN219" s="740"/>
      <c r="AO219" s="740"/>
      <c r="AP219" s="740"/>
    </row>
    <row r="220" spans="25:42" ht="15">
      <c r="Y220" s="740"/>
      <c r="Z220" s="740"/>
      <c r="AA220" s="740"/>
      <c r="AB220" s="740"/>
      <c r="AC220" s="740"/>
      <c r="AD220" s="740"/>
      <c r="AE220" s="740"/>
      <c r="AF220" s="740"/>
      <c r="AG220" s="740"/>
      <c r="AH220" s="740"/>
      <c r="AI220" s="740"/>
      <c r="AJ220" s="740"/>
      <c r="AK220" s="740"/>
      <c r="AL220" s="740"/>
      <c r="AM220" s="740"/>
      <c r="AN220" s="740"/>
      <c r="AO220" s="740"/>
      <c r="AP220" s="740"/>
    </row>
    <row r="221" spans="25:42" ht="15">
      <c r="Y221" s="740"/>
      <c r="Z221" s="740"/>
      <c r="AA221" s="740"/>
      <c r="AB221" s="740"/>
      <c r="AC221" s="740"/>
      <c r="AD221" s="740"/>
      <c r="AE221" s="740"/>
      <c r="AF221" s="740"/>
      <c r="AG221" s="740"/>
      <c r="AH221" s="740"/>
      <c r="AI221" s="740"/>
      <c r="AJ221" s="740"/>
      <c r="AK221" s="740"/>
      <c r="AL221" s="740"/>
      <c r="AM221" s="740"/>
      <c r="AN221" s="740"/>
      <c r="AO221" s="740"/>
      <c r="AP221" s="740"/>
    </row>
    <row r="222" spans="2:42" ht="15">
      <c r="B222" s="72"/>
      <c r="C222" s="73"/>
      <c r="D222" s="72"/>
      <c r="E222" s="67"/>
      <c r="F222" s="67"/>
      <c r="G222" s="67"/>
      <c r="H222" s="67"/>
      <c r="I222" s="67"/>
      <c r="J222" s="67"/>
      <c r="K222" s="67"/>
      <c r="L222" s="68"/>
      <c r="M222" s="67"/>
      <c r="N222" s="67"/>
      <c r="O222" s="67"/>
      <c r="P222" s="67"/>
      <c r="Q222" s="67"/>
      <c r="R222" s="67"/>
      <c r="S222" s="67"/>
      <c r="T222" s="67"/>
      <c r="U222" s="67"/>
      <c r="V222" s="740"/>
      <c r="W222" s="740"/>
      <c r="X222" s="740"/>
      <c r="Y222" s="740"/>
      <c r="Z222" s="740"/>
      <c r="AA222" s="740"/>
      <c r="AB222" s="740"/>
      <c r="AC222" s="740"/>
      <c r="AD222" s="740"/>
      <c r="AE222" s="740"/>
      <c r="AF222" s="740"/>
      <c r="AG222" s="740"/>
      <c r="AH222" s="740"/>
      <c r="AI222" s="740"/>
      <c r="AJ222" s="740"/>
      <c r="AK222" s="740"/>
      <c r="AL222" s="740"/>
      <c r="AM222" s="740"/>
      <c r="AN222" s="740"/>
      <c r="AO222" s="740"/>
      <c r="AP222" s="740"/>
    </row>
    <row r="223" spans="3:42" ht="15">
      <c r="C223" s="68"/>
      <c r="D223" s="740"/>
      <c r="E223" s="740"/>
      <c r="F223" s="740"/>
      <c r="G223" s="740"/>
      <c r="H223" s="740"/>
      <c r="I223" s="740"/>
      <c r="J223" s="740"/>
      <c r="K223" s="740"/>
      <c r="L223" s="740"/>
      <c r="M223" s="740"/>
      <c r="N223" s="740"/>
      <c r="O223" s="740"/>
      <c r="P223" s="740"/>
      <c r="Q223" s="740"/>
      <c r="R223" s="740"/>
      <c r="S223" s="740"/>
      <c r="T223" s="740"/>
      <c r="U223" s="740"/>
      <c r="V223" s="740"/>
      <c r="W223" s="740"/>
      <c r="X223" s="740"/>
      <c r="Y223" s="740"/>
      <c r="Z223" s="740"/>
      <c r="AA223" s="740"/>
      <c r="AB223" s="740"/>
      <c r="AC223" s="740"/>
      <c r="AD223" s="740"/>
      <c r="AE223" s="740"/>
      <c r="AF223" s="740"/>
      <c r="AG223" s="740"/>
      <c r="AH223" s="740"/>
      <c r="AI223" s="740"/>
      <c r="AJ223" s="740"/>
      <c r="AK223" s="740"/>
      <c r="AL223" s="740"/>
      <c r="AM223" s="740"/>
      <c r="AN223" s="740"/>
      <c r="AO223" s="740"/>
      <c r="AP223" s="740"/>
    </row>
    <row r="224" spans="3:42" ht="15">
      <c r="C224" s="68"/>
      <c r="D224" s="740"/>
      <c r="E224" s="740"/>
      <c r="F224" s="740"/>
      <c r="G224" s="740"/>
      <c r="H224" s="740"/>
      <c r="I224" s="740"/>
      <c r="J224" s="740"/>
      <c r="K224" s="740"/>
      <c r="L224" s="740"/>
      <c r="M224" s="740"/>
      <c r="N224" s="740"/>
      <c r="O224" s="740"/>
      <c r="P224" s="740"/>
      <c r="Q224" s="740"/>
      <c r="R224" s="740"/>
      <c r="S224" s="740"/>
      <c r="T224" s="740"/>
      <c r="U224" s="740"/>
      <c r="V224" s="740"/>
      <c r="W224" s="740"/>
      <c r="X224" s="740"/>
      <c r="Y224" s="740"/>
      <c r="Z224" s="740"/>
      <c r="AA224" s="740"/>
      <c r="AB224" s="740"/>
      <c r="AC224" s="740"/>
      <c r="AD224" s="740"/>
      <c r="AE224" s="740"/>
      <c r="AF224" s="740"/>
      <c r="AG224" s="740"/>
      <c r="AH224" s="740"/>
      <c r="AI224" s="740"/>
      <c r="AJ224" s="740"/>
      <c r="AK224" s="740"/>
      <c r="AL224" s="740"/>
      <c r="AM224" s="740"/>
      <c r="AN224" s="740"/>
      <c r="AO224" s="740"/>
      <c r="AP224" s="740"/>
    </row>
    <row r="225" spans="3:42" ht="15">
      <c r="C225" s="68"/>
      <c r="D225" s="740"/>
      <c r="E225" s="740"/>
      <c r="F225" s="740"/>
      <c r="G225" s="740"/>
      <c r="H225" s="740"/>
      <c r="I225" s="740"/>
      <c r="J225" s="740"/>
      <c r="K225" s="740"/>
      <c r="L225" s="740"/>
      <c r="M225" s="740"/>
      <c r="N225" s="740"/>
      <c r="O225" s="740"/>
      <c r="P225" s="740"/>
      <c r="Q225" s="740"/>
      <c r="R225" s="740"/>
      <c r="S225" s="740"/>
      <c r="T225" s="740"/>
      <c r="U225" s="740"/>
      <c r="V225" s="740"/>
      <c r="W225" s="740"/>
      <c r="X225" s="740"/>
      <c r="Y225" s="740"/>
      <c r="Z225" s="740"/>
      <c r="AA225" s="740"/>
      <c r="AB225" s="740"/>
      <c r="AC225" s="740"/>
      <c r="AD225" s="740"/>
      <c r="AE225" s="740"/>
      <c r="AF225" s="740"/>
      <c r="AG225" s="740"/>
      <c r="AH225" s="740"/>
      <c r="AI225" s="740"/>
      <c r="AJ225" s="740"/>
      <c r="AK225" s="740"/>
      <c r="AL225" s="740"/>
      <c r="AM225" s="740"/>
      <c r="AN225" s="740"/>
      <c r="AO225" s="740"/>
      <c r="AP225" s="740"/>
    </row>
    <row r="226" spans="3:42" ht="15">
      <c r="C226" s="68"/>
      <c r="D226" s="740"/>
      <c r="E226" s="740"/>
      <c r="F226" s="740"/>
      <c r="G226" s="740"/>
      <c r="H226" s="740"/>
      <c r="I226" s="740"/>
      <c r="J226" s="740"/>
      <c r="K226" s="740"/>
      <c r="L226" s="740"/>
      <c r="M226" s="740"/>
      <c r="N226" s="740"/>
      <c r="O226" s="740"/>
      <c r="P226" s="740"/>
      <c r="Q226" s="740"/>
      <c r="R226" s="740"/>
      <c r="S226" s="740"/>
      <c r="T226" s="740"/>
      <c r="U226" s="740"/>
      <c r="V226" s="740"/>
      <c r="W226" s="740"/>
      <c r="X226" s="740"/>
      <c r="Y226" s="740"/>
      <c r="Z226" s="740"/>
      <c r="AA226" s="740"/>
      <c r="AB226" s="740"/>
      <c r="AC226" s="740"/>
      <c r="AD226" s="740"/>
      <c r="AE226" s="740"/>
      <c r="AF226" s="740"/>
      <c r="AG226" s="740"/>
      <c r="AH226" s="740"/>
      <c r="AI226" s="740"/>
      <c r="AJ226" s="740"/>
      <c r="AK226" s="740"/>
      <c r="AL226" s="740"/>
      <c r="AM226" s="740"/>
      <c r="AN226" s="740"/>
      <c r="AO226" s="740"/>
      <c r="AP226" s="740"/>
    </row>
    <row r="227" spans="3:42" ht="15">
      <c r="C227" s="68"/>
      <c r="D227" s="740"/>
      <c r="E227" s="740"/>
      <c r="F227" s="740"/>
      <c r="G227" s="740"/>
      <c r="H227" s="740"/>
      <c r="I227" s="740"/>
      <c r="J227" s="740"/>
      <c r="K227" s="740"/>
      <c r="L227" s="740"/>
      <c r="M227" s="740"/>
      <c r="N227" s="740"/>
      <c r="O227" s="740"/>
      <c r="P227" s="740"/>
      <c r="Q227" s="740"/>
      <c r="R227" s="740"/>
      <c r="S227" s="740"/>
      <c r="T227" s="740"/>
      <c r="U227" s="740"/>
      <c r="V227" s="740"/>
      <c r="W227" s="740"/>
      <c r="X227" s="740"/>
      <c r="Y227" s="740"/>
      <c r="Z227" s="740"/>
      <c r="AA227" s="740"/>
      <c r="AB227" s="740"/>
      <c r="AC227" s="740"/>
      <c r="AD227" s="740"/>
      <c r="AE227" s="740"/>
      <c r="AF227" s="740"/>
      <c r="AG227" s="740"/>
      <c r="AH227" s="740"/>
      <c r="AI227" s="740"/>
      <c r="AJ227" s="740"/>
      <c r="AK227" s="740"/>
      <c r="AL227" s="740"/>
      <c r="AM227" s="740"/>
      <c r="AN227" s="740"/>
      <c r="AO227" s="740"/>
      <c r="AP227" s="740"/>
    </row>
    <row r="228" spans="3:42" ht="15">
      <c r="C228" s="68"/>
      <c r="D228" s="740"/>
      <c r="E228" s="740"/>
      <c r="F228" s="740"/>
      <c r="G228" s="740"/>
      <c r="H228" s="740"/>
      <c r="I228" s="740"/>
      <c r="J228" s="740"/>
      <c r="K228" s="740"/>
      <c r="L228" s="740"/>
      <c r="M228" s="740"/>
      <c r="N228" s="740"/>
      <c r="O228" s="740"/>
      <c r="P228" s="740"/>
      <c r="Q228" s="740"/>
      <c r="R228" s="740"/>
      <c r="S228" s="740"/>
      <c r="T228" s="740"/>
      <c r="U228" s="740"/>
      <c r="V228" s="740"/>
      <c r="W228" s="740"/>
      <c r="X228" s="740"/>
      <c r="Y228" s="740"/>
      <c r="Z228" s="740"/>
      <c r="AA228" s="740"/>
      <c r="AB228" s="740"/>
      <c r="AC228" s="740"/>
      <c r="AD228" s="740"/>
      <c r="AE228" s="740"/>
      <c r="AF228" s="740"/>
      <c r="AG228" s="740"/>
      <c r="AH228" s="740"/>
      <c r="AI228" s="740"/>
      <c r="AJ228" s="740"/>
      <c r="AK228" s="740"/>
      <c r="AL228" s="740"/>
      <c r="AM228" s="740"/>
      <c r="AN228" s="740"/>
      <c r="AO228" s="740"/>
      <c r="AP228" s="740"/>
    </row>
    <row r="229" spans="3:42" ht="15">
      <c r="C229" s="68"/>
      <c r="D229" s="740"/>
      <c r="E229" s="740"/>
      <c r="F229" s="740"/>
      <c r="G229" s="740"/>
      <c r="H229" s="740"/>
      <c r="I229" s="740"/>
      <c r="J229" s="740"/>
      <c r="K229" s="740"/>
      <c r="L229" s="740"/>
      <c r="M229" s="740"/>
      <c r="N229" s="740"/>
      <c r="O229" s="740"/>
      <c r="P229" s="740"/>
      <c r="Q229" s="740"/>
      <c r="R229" s="740"/>
      <c r="S229" s="740"/>
      <c r="T229" s="740"/>
      <c r="U229" s="740"/>
      <c r="V229" s="740"/>
      <c r="W229" s="740"/>
      <c r="X229" s="740"/>
      <c r="Y229" s="740"/>
      <c r="Z229" s="740"/>
      <c r="AA229" s="740"/>
      <c r="AB229" s="740"/>
      <c r="AC229" s="740"/>
      <c r="AD229" s="740"/>
      <c r="AE229" s="740"/>
      <c r="AF229" s="740"/>
      <c r="AG229" s="740"/>
      <c r="AH229" s="740"/>
      <c r="AI229" s="740"/>
      <c r="AJ229" s="740"/>
      <c r="AK229" s="740"/>
      <c r="AL229" s="740"/>
      <c r="AM229" s="740"/>
      <c r="AN229" s="740"/>
      <c r="AO229" s="740"/>
      <c r="AP229" s="740"/>
    </row>
    <row r="230" spans="3:42" ht="15">
      <c r="C230" s="68"/>
      <c r="D230" s="740"/>
      <c r="E230" s="740"/>
      <c r="F230" s="740"/>
      <c r="G230" s="740"/>
      <c r="H230" s="740"/>
      <c r="I230" s="740"/>
      <c r="J230" s="740"/>
      <c r="K230" s="740"/>
      <c r="L230" s="740"/>
      <c r="M230" s="740"/>
      <c r="N230" s="740"/>
      <c r="O230" s="740"/>
      <c r="P230" s="740"/>
      <c r="Q230" s="740"/>
      <c r="R230" s="740"/>
      <c r="S230" s="740"/>
      <c r="T230" s="740"/>
      <c r="U230" s="740"/>
      <c r="V230" s="740"/>
      <c r="W230" s="740"/>
      <c r="X230" s="740"/>
      <c r="Y230" s="740"/>
      <c r="Z230" s="740"/>
      <c r="AA230" s="740"/>
      <c r="AB230" s="740"/>
      <c r="AC230" s="740"/>
      <c r="AD230" s="740"/>
      <c r="AE230" s="740"/>
      <c r="AF230" s="740"/>
      <c r="AG230" s="740"/>
      <c r="AH230" s="740"/>
      <c r="AI230" s="740"/>
      <c r="AJ230" s="740"/>
      <c r="AK230" s="740"/>
      <c r="AL230" s="740"/>
      <c r="AM230" s="740"/>
      <c r="AN230" s="740"/>
      <c r="AO230" s="740"/>
      <c r="AP230" s="740"/>
    </row>
    <row r="231" spans="3:42" ht="15">
      <c r="C231" s="68"/>
      <c r="D231" s="740"/>
      <c r="E231" s="740"/>
      <c r="F231" s="740"/>
      <c r="G231" s="740"/>
      <c r="H231" s="740"/>
      <c r="I231" s="740"/>
      <c r="J231" s="740"/>
      <c r="K231" s="740"/>
      <c r="L231" s="740"/>
      <c r="M231" s="740"/>
      <c r="N231" s="740"/>
      <c r="O231" s="740"/>
      <c r="P231" s="740"/>
      <c r="Q231" s="740"/>
      <c r="R231" s="740"/>
      <c r="S231" s="740"/>
      <c r="T231" s="740"/>
      <c r="U231" s="740"/>
      <c r="V231" s="740"/>
      <c r="W231" s="740"/>
      <c r="X231" s="740"/>
      <c r="Y231" s="740"/>
      <c r="Z231" s="740"/>
      <c r="AA231" s="740"/>
      <c r="AB231" s="740"/>
      <c r="AC231" s="740"/>
      <c r="AD231" s="740"/>
      <c r="AE231" s="740"/>
      <c r="AF231" s="740"/>
      <c r="AG231" s="740"/>
      <c r="AH231" s="740"/>
      <c r="AI231" s="740"/>
      <c r="AJ231" s="740"/>
      <c r="AK231" s="740"/>
      <c r="AL231" s="740"/>
      <c r="AM231" s="740"/>
      <c r="AN231" s="740"/>
      <c r="AO231" s="740"/>
      <c r="AP231" s="740"/>
    </row>
    <row r="232" spans="3:42" ht="15">
      <c r="C232" s="68"/>
      <c r="D232" s="740"/>
      <c r="E232" s="740"/>
      <c r="F232" s="740"/>
      <c r="G232" s="740"/>
      <c r="H232" s="740"/>
      <c r="I232" s="740"/>
      <c r="J232" s="740"/>
      <c r="K232" s="740"/>
      <c r="L232" s="740"/>
      <c r="M232" s="740"/>
      <c r="N232" s="740"/>
      <c r="O232" s="740"/>
      <c r="P232" s="740"/>
      <c r="Q232" s="740"/>
      <c r="R232" s="740"/>
      <c r="S232" s="740"/>
      <c r="T232" s="740"/>
      <c r="U232" s="740"/>
      <c r="V232" s="740"/>
      <c r="W232" s="740"/>
      <c r="X232" s="740"/>
      <c r="Y232" s="740"/>
      <c r="Z232" s="740"/>
      <c r="AA232" s="740"/>
      <c r="AB232" s="740"/>
      <c r="AC232" s="740"/>
      <c r="AD232" s="740"/>
      <c r="AE232" s="740"/>
      <c r="AF232" s="740"/>
      <c r="AG232" s="740"/>
      <c r="AH232" s="740"/>
      <c r="AI232" s="740"/>
      <c r="AJ232" s="740"/>
      <c r="AK232" s="740"/>
      <c r="AL232" s="740"/>
      <c r="AM232" s="740"/>
      <c r="AN232" s="740"/>
      <c r="AO232" s="740"/>
      <c r="AP232" s="740"/>
    </row>
    <row r="233" spans="3:42" ht="15">
      <c r="C233" s="68"/>
      <c r="D233" s="740"/>
      <c r="E233" s="740"/>
      <c r="F233" s="740"/>
      <c r="G233" s="740"/>
      <c r="H233" s="740"/>
      <c r="I233" s="740"/>
      <c r="J233" s="740"/>
      <c r="K233" s="740"/>
      <c r="L233" s="740"/>
      <c r="M233" s="740"/>
      <c r="N233" s="740"/>
      <c r="O233" s="740"/>
      <c r="P233" s="740"/>
      <c r="Q233" s="740"/>
      <c r="R233" s="740"/>
      <c r="S233" s="740"/>
      <c r="T233" s="740"/>
      <c r="U233" s="740"/>
      <c r="V233" s="740"/>
      <c r="W233" s="740"/>
      <c r="X233" s="740"/>
      <c r="Y233" s="740"/>
      <c r="Z233" s="740"/>
      <c r="AA233" s="740"/>
      <c r="AB233" s="740"/>
      <c r="AC233" s="740"/>
      <c r="AD233" s="740"/>
      <c r="AE233" s="740"/>
      <c r="AF233" s="740"/>
      <c r="AG233" s="740"/>
      <c r="AH233" s="740"/>
      <c r="AI233" s="740"/>
      <c r="AJ233" s="740"/>
      <c r="AK233" s="740"/>
      <c r="AL233" s="740"/>
      <c r="AM233" s="740"/>
      <c r="AN233" s="740"/>
      <c r="AO233" s="740"/>
      <c r="AP233" s="740"/>
    </row>
    <row r="234" spans="3:42" ht="15">
      <c r="C234" s="68"/>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0"/>
      <c r="AD234" s="740"/>
      <c r="AE234" s="740"/>
      <c r="AF234" s="740"/>
      <c r="AG234" s="740"/>
      <c r="AH234" s="740"/>
      <c r="AI234" s="740"/>
      <c r="AJ234" s="740"/>
      <c r="AK234" s="740"/>
      <c r="AL234" s="740"/>
      <c r="AM234" s="740"/>
      <c r="AN234" s="740"/>
      <c r="AO234" s="740"/>
      <c r="AP234" s="740"/>
    </row>
    <row r="235" spans="3:42" ht="15">
      <c r="C235" s="68"/>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0"/>
      <c r="AD235" s="740"/>
      <c r="AE235" s="740"/>
      <c r="AF235" s="740"/>
      <c r="AG235" s="740"/>
      <c r="AH235" s="740"/>
      <c r="AI235" s="740"/>
      <c r="AJ235" s="740"/>
      <c r="AK235" s="740"/>
      <c r="AL235" s="740"/>
      <c r="AM235" s="740"/>
      <c r="AN235" s="740"/>
      <c r="AO235" s="740"/>
      <c r="AP235" s="740"/>
    </row>
    <row r="236" spans="3:42" ht="15">
      <c r="C236" s="68"/>
      <c r="D236" s="740"/>
      <c r="E236" s="740"/>
      <c r="F236" s="740"/>
      <c r="G236" s="740"/>
      <c r="H236" s="740"/>
      <c r="I236" s="740"/>
      <c r="J236" s="740"/>
      <c r="K236" s="740"/>
      <c r="L236" s="740"/>
      <c r="M236" s="740"/>
      <c r="N236" s="740"/>
      <c r="O236" s="740"/>
      <c r="P236" s="740"/>
      <c r="Q236" s="740"/>
      <c r="R236" s="740"/>
      <c r="S236" s="740"/>
      <c r="T236" s="740"/>
      <c r="U236" s="740"/>
      <c r="V236" s="740"/>
      <c r="W236" s="740"/>
      <c r="X236" s="740"/>
      <c r="Y236" s="740"/>
      <c r="Z236" s="740"/>
      <c r="AA236" s="740"/>
      <c r="AB236" s="740"/>
      <c r="AC236" s="740"/>
      <c r="AD236" s="740"/>
      <c r="AE236" s="740"/>
      <c r="AF236" s="740"/>
      <c r="AG236" s="740"/>
      <c r="AH236" s="740"/>
      <c r="AI236" s="740"/>
      <c r="AJ236" s="740"/>
      <c r="AK236" s="740"/>
      <c r="AL236" s="740"/>
      <c r="AM236" s="740"/>
      <c r="AN236" s="740"/>
      <c r="AO236" s="740"/>
      <c r="AP236" s="740"/>
    </row>
    <row r="237" spans="3:42" ht="15">
      <c r="C237" s="68"/>
      <c r="D237" s="740"/>
      <c r="E237" s="740"/>
      <c r="F237" s="740"/>
      <c r="G237" s="740"/>
      <c r="H237" s="740"/>
      <c r="I237" s="740"/>
      <c r="J237" s="740"/>
      <c r="K237" s="740"/>
      <c r="L237" s="740"/>
      <c r="M237" s="740"/>
      <c r="N237" s="740"/>
      <c r="O237" s="740"/>
      <c r="P237" s="740"/>
      <c r="Q237" s="740"/>
      <c r="R237" s="740"/>
      <c r="S237" s="740"/>
      <c r="T237" s="740"/>
      <c r="U237" s="740"/>
      <c r="V237" s="740"/>
      <c r="W237" s="740"/>
      <c r="X237" s="740"/>
      <c r="Y237" s="740"/>
      <c r="Z237" s="740"/>
      <c r="AA237" s="740"/>
      <c r="AB237" s="740"/>
      <c r="AC237" s="740"/>
      <c r="AD237" s="740"/>
      <c r="AE237" s="740"/>
      <c r="AF237" s="740"/>
      <c r="AG237" s="740"/>
      <c r="AH237" s="740"/>
      <c r="AI237" s="740"/>
      <c r="AJ237" s="740"/>
      <c r="AK237" s="740"/>
      <c r="AL237" s="740"/>
      <c r="AM237" s="740"/>
      <c r="AN237" s="740"/>
      <c r="AO237" s="740"/>
      <c r="AP237" s="740"/>
    </row>
    <row r="238" spans="3:42" ht="15">
      <c r="C238" s="68"/>
      <c r="D238" s="740"/>
      <c r="E238" s="740"/>
      <c r="F238" s="740"/>
      <c r="G238" s="740"/>
      <c r="H238" s="740"/>
      <c r="I238" s="740"/>
      <c r="J238" s="740"/>
      <c r="K238" s="740"/>
      <c r="L238" s="740"/>
      <c r="M238" s="740"/>
      <c r="N238" s="740"/>
      <c r="O238" s="740"/>
      <c r="P238" s="740"/>
      <c r="Q238" s="740"/>
      <c r="R238" s="740"/>
      <c r="S238" s="740"/>
      <c r="T238" s="740"/>
      <c r="U238" s="740"/>
      <c r="V238" s="740"/>
      <c r="W238" s="740"/>
      <c r="X238" s="740"/>
      <c r="Y238" s="740"/>
      <c r="Z238" s="740"/>
      <c r="AA238" s="740"/>
      <c r="AB238" s="740"/>
      <c r="AC238" s="740"/>
      <c r="AD238" s="740"/>
      <c r="AE238" s="740"/>
      <c r="AF238" s="740"/>
      <c r="AG238" s="740"/>
      <c r="AH238" s="740"/>
      <c r="AI238" s="740"/>
      <c r="AJ238" s="740"/>
      <c r="AK238" s="740"/>
      <c r="AL238" s="740"/>
      <c r="AM238" s="740"/>
      <c r="AN238" s="740"/>
      <c r="AO238" s="740"/>
      <c r="AP238" s="740"/>
    </row>
    <row r="239" spans="3:42" ht="15">
      <c r="C239" s="68"/>
      <c r="D239" s="740"/>
      <c r="E239" s="740"/>
      <c r="F239" s="740"/>
      <c r="G239" s="740"/>
      <c r="H239" s="740"/>
      <c r="I239" s="740"/>
      <c r="J239" s="740"/>
      <c r="K239" s="740"/>
      <c r="L239" s="740"/>
      <c r="M239" s="740"/>
      <c r="N239" s="740"/>
      <c r="O239" s="740"/>
      <c r="P239" s="740"/>
      <c r="Q239" s="740"/>
      <c r="R239" s="740"/>
      <c r="S239" s="740"/>
      <c r="T239" s="740"/>
      <c r="U239" s="740"/>
      <c r="V239" s="740"/>
      <c r="W239" s="740"/>
      <c r="X239" s="740"/>
      <c r="Y239" s="740"/>
      <c r="Z239" s="740"/>
      <c r="AA239" s="740"/>
      <c r="AB239" s="740"/>
      <c r="AC239" s="740"/>
      <c r="AD239" s="740"/>
      <c r="AE239" s="740"/>
      <c r="AF239" s="740"/>
      <c r="AG239" s="740"/>
      <c r="AH239" s="740"/>
      <c r="AI239" s="740"/>
      <c r="AJ239" s="740"/>
      <c r="AK239" s="740"/>
      <c r="AL239" s="740"/>
      <c r="AM239" s="740"/>
      <c r="AN239" s="740"/>
      <c r="AO239" s="740"/>
      <c r="AP239" s="740"/>
    </row>
    <row r="240" spans="3:42" ht="15">
      <c r="C240" s="68"/>
      <c r="D240" s="740"/>
      <c r="E240" s="740"/>
      <c r="F240" s="740"/>
      <c r="G240" s="740"/>
      <c r="H240" s="740"/>
      <c r="I240" s="740"/>
      <c r="J240" s="740"/>
      <c r="K240" s="740"/>
      <c r="L240" s="740"/>
      <c r="M240" s="740"/>
      <c r="N240" s="740"/>
      <c r="O240" s="740"/>
      <c r="P240" s="740"/>
      <c r="Q240" s="740"/>
      <c r="R240" s="740"/>
      <c r="S240" s="740"/>
      <c r="T240" s="740"/>
      <c r="U240" s="740"/>
      <c r="V240" s="740"/>
      <c r="W240" s="740"/>
      <c r="X240" s="740"/>
      <c r="Y240" s="740"/>
      <c r="Z240" s="740"/>
      <c r="AA240" s="740"/>
      <c r="AB240" s="740"/>
      <c r="AC240" s="740"/>
      <c r="AD240" s="740"/>
      <c r="AE240" s="740"/>
      <c r="AF240" s="740"/>
      <c r="AG240" s="740"/>
      <c r="AH240" s="740"/>
      <c r="AI240" s="740"/>
      <c r="AJ240" s="740"/>
      <c r="AK240" s="740"/>
      <c r="AL240" s="740"/>
      <c r="AM240" s="740"/>
      <c r="AN240" s="740"/>
      <c r="AO240" s="740"/>
      <c r="AP240" s="740"/>
    </row>
    <row r="241" spans="3:42" ht="15">
      <c r="C241" s="68"/>
      <c r="D241" s="740"/>
      <c r="E241" s="740"/>
      <c r="F241" s="740"/>
      <c r="G241" s="740"/>
      <c r="H241" s="740"/>
      <c r="I241" s="740"/>
      <c r="J241" s="740"/>
      <c r="K241" s="740"/>
      <c r="L241" s="740"/>
      <c r="M241" s="740"/>
      <c r="N241" s="740"/>
      <c r="O241" s="740"/>
      <c r="P241" s="740"/>
      <c r="Q241" s="740"/>
      <c r="R241" s="740"/>
      <c r="S241" s="740"/>
      <c r="T241" s="740"/>
      <c r="U241" s="740"/>
      <c r="V241" s="740"/>
      <c r="W241" s="740"/>
      <c r="X241" s="740"/>
      <c r="Y241" s="740"/>
      <c r="Z241" s="740"/>
      <c r="AA241" s="740"/>
      <c r="AB241" s="740"/>
      <c r="AC241" s="740"/>
      <c r="AD241" s="740"/>
      <c r="AE241" s="740"/>
      <c r="AF241" s="740"/>
      <c r="AG241" s="740"/>
      <c r="AH241" s="740"/>
      <c r="AI241" s="740"/>
      <c r="AJ241" s="740"/>
      <c r="AK241" s="740"/>
      <c r="AL241" s="740"/>
      <c r="AM241" s="740"/>
      <c r="AN241" s="740"/>
      <c r="AO241" s="740"/>
      <c r="AP241" s="740"/>
    </row>
    <row r="242" spans="3:42" ht="15">
      <c r="C242" s="68"/>
      <c r="D242" s="740"/>
      <c r="E242" s="740"/>
      <c r="F242" s="740"/>
      <c r="G242" s="740"/>
      <c r="H242" s="740"/>
      <c r="I242" s="740"/>
      <c r="J242" s="740"/>
      <c r="K242" s="740"/>
      <c r="L242" s="740"/>
      <c r="M242" s="740"/>
      <c r="N242" s="740"/>
      <c r="O242" s="740"/>
      <c r="P242" s="740"/>
      <c r="Q242" s="740"/>
      <c r="R242" s="740"/>
      <c r="S242" s="740"/>
      <c r="T242" s="740"/>
      <c r="U242" s="740"/>
      <c r="V242" s="740"/>
      <c r="W242" s="740"/>
      <c r="X242" s="740"/>
      <c r="Y242" s="740"/>
      <c r="Z242" s="740"/>
      <c r="AA242" s="740"/>
      <c r="AB242" s="740"/>
      <c r="AC242" s="740"/>
      <c r="AD242" s="740"/>
      <c r="AE242" s="740"/>
      <c r="AF242" s="740"/>
      <c r="AG242" s="740"/>
      <c r="AH242" s="740"/>
      <c r="AI242" s="740"/>
      <c r="AJ242" s="740"/>
      <c r="AK242" s="740"/>
      <c r="AL242" s="740"/>
      <c r="AM242" s="740"/>
      <c r="AN242" s="740"/>
      <c r="AO242" s="740"/>
      <c r="AP242" s="740"/>
    </row>
    <row r="243" spans="3:42" ht="15">
      <c r="C243" s="68"/>
      <c r="D243" s="740"/>
      <c r="E243" s="740"/>
      <c r="F243" s="740"/>
      <c r="G243" s="740"/>
      <c r="H243" s="740"/>
      <c r="I243" s="740"/>
      <c r="J243" s="740"/>
      <c r="K243" s="740"/>
      <c r="L243" s="740"/>
      <c r="M243" s="740"/>
      <c r="N243" s="740"/>
      <c r="O243" s="740"/>
      <c r="P243" s="740"/>
      <c r="Q243" s="740"/>
      <c r="R243" s="740"/>
      <c r="S243" s="740"/>
      <c r="T243" s="740"/>
      <c r="U243" s="740"/>
      <c r="V243" s="740"/>
      <c r="W243" s="740"/>
      <c r="X243" s="740"/>
      <c r="Y243" s="740"/>
      <c r="Z243" s="740"/>
      <c r="AA243" s="740"/>
      <c r="AB243" s="740"/>
      <c r="AC243" s="740"/>
      <c r="AD243" s="740"/>
      <c r="AE243" s="740"/>
      <c r="AF243" s="740"/>
      <c r="AG243" s="740"/>
      <c r="AH243" s="740"/>
      <c r="AI243" s="740"/>
      <c r="AJ243" s="740"/>
      <c r="AK243" s="740"/>
      <c r="AL243" s="740"/>
      <c r="AM243" s="740"/>
      <c r="AN243" s="740"/>
      <c r="AO243" s="740"/>
      <c r="AP243" s="740"/>
    </row>
    <row r="244" spans="3:42" ht="15">
      <c r="C244" s="68"/>
      <c r="D244" s="740"/>
      <c r="E244" s="740"/>
      <c r="F244" s="740"/>
      <c r="G244" s="740"/>
      <c r="H244" s="740"/>
      <c r="I244" s="740"/>
      <c r="J244" s="740"/>
      <c r="K244" s="740"/>
      <c r="L244" s="740"/>
      <c r="M244" s="740"/>
      <c r="N244" s="740"/>
      <c r="O244" s="740"/>
      <c r="P244" s="740"/>
      <c r="Q244" s="740"/>
      <c r="R244" s="740"/>
      <c r="S244" s="740"/>
      <c r="T244" s="740"/>
      <c r="U244" s="740"/>
      <c r="V244" s="740"/>
      <c r="W244" s="740"/>
      <c r="X244" s="740"/>
      <c r="Y244" s="740"/>
      <c r="Z244" s="740"/>
      <c r="AA244" s="740"/>
      <c r="AB244" s="740"/>
      <c r="AC244" s="740"/>
      <c r="AD244" s="740"/>
      <c r="AE244" s="740"/>
      <c r="AF244" s="740"/>
      <c r="AG244" s="740"/>
      <c r="AH244" s="740"/>
      <c r="AI244" s="740"/>
      <c r="AJ244" s="740"/>
      <c r="AK244" s="740"/>
      <c r="AL244" s="740"/>
      <c r="AM244" s="740"/>
      <c r="AN244" s="740"/>
      <c r="AO244" s="740"/>
      <c r="AP244" s="740"/>
    </row>
    <row r="245" spans="3:42" ht="15">
      <c r="C245" s="68"/>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0"/>
      <c r="AJ245" s="740"/>
      <c r="AK245" s="740"/>
      <c r="AL245" s="740"/>
      <c r="AM245" s="740"/>
      <c r="AN245" s="740"/>
      <c r="AO245" s="740"/>
      <c r="AP245" s="740"/>
    </row>
    <row r="246" spans="3:42" ht="15">
      <c r="C246" s="68"/>
      <c r="D246" s="740"/>
      <c r="E246" s="740"/>
      <c r="F246" s="740"/>
      <c r="G246" s="740"/>
      <c r="H246" s="740"/>
      <c r="I246" s="740"/>
      <c r="J246" s="740"/>
      <c r="K246" s="740"/>
      <c r="L246" s="740"/>
      <c r="M246" s="740"/>
      <c r="N246" s="740"/>
      <c r="O246" s="740"/>
      <c r="P246" s="740"/>
      <c r="Q246" s="740"/>
      <c r="R246" s="740"/>
      <c r="S246" s="740"/>
      <c r="T246" s="740"/>
      <c r="U246" s="740"/>
      <c r="V246" s="740"/>
      <c r="W246" s="740"/>
      <c r="X246" s="740"/>
      <c r="Y246" s="740"/>
      <c r="Z246" s="740"/>
      <c r="AA246" s="740"/>
      <c r="AB246" s="740"/>
      <c r="AC246" s="740"/>
      <c r="AD246" s="740"/>
      <c r="AE246" s="740"/>
      <c r="AF246" s="740"/>
      <c r="AG246" s="740"/>
      <c r="AH246" s="740"/>
      <c r="AI246" s="740"/>
      <c r="AJ246" s="740"/>
      <c r="AK246" s="740"/>
      <c r="AL246" s="740"/>
      <c r="AM246" s="740"/>
      <c r="AN246" s="740"/>
      <c r="AO246" s="740"/>
      <c r="AP246" s="740"/>
    </row>
    <row r="247" spans="3:42" ht="15">
      <c r="C247" s="68"/>
      <c r="D247" s="740"/>
      <c r="E247" s="740"/>
      <c r="F247" s="740"/>
      <c r="G247" s="740"/>
      <c r="H247" s="740"/>
      <c r="I247" s="740"/>
      <c r="J247" s="740"/>
      <c r="K247" s="740"/>
      <c r="L247" s="740"/>
      <c r="M247" s="740"/>
      <c r="N247" s="740"/>
      <c r="O247" s="740"/>
      <c r="P247" s="740"/>
      <c r="Q247" s="740"/>
      <c r="R247" s="740"/>
      <c r="S247" s="740"/>
      <c r="T247" s="740"/>
      <c r="U247" s="740"/>
      <c r="V247" s="740"/>
      <c r="W247" s="740"/>
      <c r="X247" s="740"/>
      <c r="Y247" s="740"/>
      <c r="Z247" s="740"/>
      <c r="AA247" s="740"/>
      <c r="AB247" s="740"/>
      <c r="AC247" s="740"/>
      <c r="AD247" s="740"/>
      <c r="AE247" s="740"/>
      <c r="AF247" s="740"/>
      <c r="AG247" s="740"/>
      <c r="AH247" s="740"/>
      <c r="AI247" s="740"/>
      <c r="AJ247" s="740"/>
      <c r="AK247" s="740"/>
      <c r="AL247" s="740"/>
      <c r="AM247" s="740"/>
      <c r="AN247" s="740"/>
      <c r="AO247" s="740"/>
      <c r="AP247" s="740"/>
    </row>
    <row r="248" spans="3:42" ht="15">
      <c r="C248" s="68"/>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0"/>
      <c r="AJ248" s="740"/>
      <c r="AK248" s="740"/>
      <c r="AL248" s="740"/>
      <c r="AM248" s="740"/>
      <c r="AN248" s="740"/>
      <c r="AO248" s="740"/>
      <c r="AP248" s="740"/>
    </row>
    <row r="249" spans="3:42" ht="15">
      <c r="C249" s="68"/>
      <c r="D249" s="740"/>
      <c r="E249" s="740"/>
      <c r="F249" s="740"/>
      <c r="G249" s="740"/>
      <c r="H249" s="740"/>
      <c r="I249" s="740"/>
      <c r="J249" s="740"/>
      <c r="K249" s="740"/>
      <c r="L249" s="740"/>
      <c r="M249" s="740"/>
      <c r="N249" s="740"/>
      <c r="O249" s="740"/>
      <c r="P249" s="740"/>
      <c r="Q249" s="740"/>
      <c r="R249" s="740"/>
      <c r="S249" s="740"/>
      <c r="T249" s="740"/>
      <c r="U249" s="740"/>
      <c r="V249" s="740"/>
      <c r="W249" s="740"/>
      <c r="X249" s="740"/>
      <c r="Y249" s="740"/>
      <c r="Z249" s="740"/>
      <c r="AA249" s="740"/>
      <c r="AB249" s="740"/>
      <c r="AC249" s="740"/>
      <c r="AD249" s="740"/>
      <c r="AE249" s="740"/>
      <c r="AF249" s="740"/>
      <c r="AG249" s="740"/>
      <c r="AH249" s="740"/>
      <c r="AI249" s="740"/>
      <c r="AJ249" s="740"/>
      <c r="AK249" s="740"/>
      <c r="AL249" s="740"/>
      <c r="AM249" s="740"/>
      <c r="AN249" s="740"/>
      <c r="AO249" s="740"/>
      <c r="AP249" s="740"/>
    </row>
    <row r="250" spans="3:42" ht="15">
      <c r="C250" s="68"/>
      <c r="D250" s="740"/>
      <c r="E250" s="740"/>
      <c r="F250" s="740"/>
      <c r="G250" s="740"/>
      <c r="H250" s="740"/>
      <c r="I250" s="740"/>
      <c r="J250" s="740"/>
      <c r="K250" s="740"/>
      <c r="L250" s="740"/>
      <c r="M250" s="740"/>
      <c r="N250" s="740"/>
      <c r="O250" s="740"/>
      <c r="P250" s="740"/>
      <c r="Q250" s="740"/>
      <c r="R250" s="740"/>
      <c r="S250" s="740"/>
      <c r="T250" s="740"/>
      <c r="U250" s="740"/>
      <c r="V250" s="740"/>
      <c r="W250" s="740"/>
      <c r="X250" s="740"/>
      <c r="Y250" s="740"/>
      <c r="Z250" s="740"/>
      <c r="AA250" s="740"/>
      <c r="AB250" s="740"/>
      <c r="AC250" s="740"/>
      <c r="AD250" s="740"/>
      <c r="AE250" s="740"/>
      <c r="AF250" s="740"/>
      <c r="AG250" s="740"/>
      <c r="AH250" s="740"/>
      <c r="AI250" s="740"/>
      <c r="AJ250" s="740"/>
      <c r="AK250" s="740"/>
      <c r="AL250" s="740"/>
      <c r="AM250" s="740"/>
      <c r="AN250" s="740"/>
      <c r="AO250" s="740"/>
      <c r="AP250" s="740"/>
    </row>
    <row r="251" spans="3:42" ht="15">
      <c r="C251" s="68"/>
      <c r="D251" s="740"/>
      <c r="E251" s="740"/>
      <c r="F251" s="740"/>
      <c r="G251" s="740"/>
      <c r="H251" s="740"/>
      <c r="I251" s="740"/>
      <c r="J251" s="740"/>
      <c r="K251" s="740"/>
      <c r="L251" s="740"/>
      <c r="M251" s="740"/>
      <c r="N251" s="740"/>
      <c r="O251" s="740"/>
      <c r="P251" s="740"/>
      <c r="Q251" s="740"/>
      <c r="R251" s="740"/>
      <c r="S251" s="740"/>
      <c r="T251" s="740"/>
      <c r="U251" s="740"/>
      <c r="V251" s="740"/>
      <c r="W251" s="740"/>
      <c r="X251" s="740"/>
      <c r="Y251" s="740"/>
      <c r="Z251" s="740"/>
      <c r="AA251" s="740"/>
      <c r="AB251" s="740"/>
      <c r="AC251" s="740"/>
      <c r="AD251" s="740"/>
      <c r="AE251" s="740"/>
      <c r="AF251" s="740"/>
      <c r="AG251" s="740"/>
      <c r="AH251" s="740"/>
      <c r="AI251" s="740"/>
      <c r="AJ251" s="740"/>
      <c r="AK251" s="740"/>
      <c r="AL251" s="740"/>
      <c r="AM251" s="740"/>
      <c r="AN251" s="740"/>
      <c r="AO251" s="740"/>
      <c r="AP251" s="740"/>
    </row>
    <row r="252" spans="3:42" ht="15">
      <c r="C252" s="68"/>
      <c r="D252" s="740"/>
      <c r="E252" s="740"/>
      <c r="F252" s="740"/>
      <c r="G252" s="740"/>
      <c r="H252" s="740"/>
      <c r="I252" s="740"/>
      <c r="J252" s="740"/>
      <c r="K252" s="740"/>
      <c r="L252" s="740"/>
      <c r="M252" s="740"/>
      <c r="N252" s="740"/>
      <c r="O252" s="740"/>
      <c r="P252" s="740"/>
      <c r="Q252" s="740"/>
      <c r="R252" s="740"/>
      <c r="S252" s="740"/>
      <c r="T252" s="740"/>
      <c r="U252" s="740"/>
      <c r="V252" s="740"/>
      <c r="W252" s="740"/>
      <c r="X252" s="740"/>
      <c r="Y252" s="740"/>
      <c r="Z252" s="740"/>
      <c r="AA252" s="740"/>
      <c r="AB252" s="740"/>
      <c r="AC252" s="740"/>
      <c r="AD252" s="740"/>
      <c r="AE252" s="740"/>
      <c r="AF252" s="740"/>
      <c r="AG252" s="740"/>
      <c r="AH252" s="740"/>
      <c r="AI252" s="740"/>
      <c r="AJ252" s="740"/>
      <c r="AK252" s="740"/>
      <c r="AL252" s="740"/>
      <c r="AM252" s="740"/>
      <c r="AN252" s="740"/>
      <c r="AO252" s="740"/>
      <c r="AP252" s="740"/>
    </row>
    <row r="253" spans="3:42" ht="15">
      <c r="C253" s="68"/>
      <c r="D253" s="740"/>
      <c r="E253" s="740"/>
      <c r="F253" s="740"/>
      <c r="G253" s="740"/>
      <c r="H253" s="740"/>
      <c r="I253" s="740"/>
      <c r="J253" s="740"/>
      <c r="K253" s="740"/>
      <c r="L253" s="740"/>
      <c r="M253" s="740"/>
      <c r="N253" s="740"/>
      <c r="O253" s="740"/>
      <c r="P253" s="740"/>
      <c r="Q253" s="740"/>
      <c r="R253" s="740"/>
      <c r="S253" s="740"/>
      <c r="T253" s="740"/>
      <c r="U253" s="740"/>
      <c r="V253" s="740"/>
      <c r="W253" s="740"/>
      <c r="X253" s="740"/>
      <c r="Y253" s="740"/>
      <c r="Z253" s="740"/>
      <c r="AA253" s="740"/>
      <c r="AB253" s="740"/>
      <c r="AC253" s="740"/>
      <c r="AD253" s="740"/>
      <c r="AE253" s="740"/>
      <c r="AF253" s="740"/>
      <c r="AG253" s="740"/>
      <c r="AH253" s="740"/>
      <c r="AI253" s="740"/>
      <c r="AJ253" s="740"/>
      <c r="AK253" s="740"/>
      <c r="AL253" s="740"/>
      <c r="AM253" s="740"/>
      <c r="AN253" s="740"/>
      <c r="AO253" s="740"/>
      <c r="AP253" s="740"/>
    </row>
    <row r="254" spans="3:42" ht="15">
      <c r="C254" s="68"/>
      <c r="D254" s="740"/>
      <c r="E254" s="740"/>
      <c r="F254" s="740"/>
      <c r="G254" s="740"/>
      <c r="H254" s="740"/>
      <c r="I254" s="740"/>
      <c r="J254" s="740"/>
      <c r="K254" s="740"/>
      <c r="L254" s="740"/>
      <c r="M254" s="740"/>
      <c r="N254" s="740"/>
      <c r="O254" s="740"/>
      <c r="P254" s="740"/>
      <c r="Q254" s="740"/>
      <c r="R254" s="740"/>
      <c r="S254" s="740"/>
      <c r="T254" s="740"/>
      <c r="U254" s="740"/>
      <c r="V254" s="740"/>
      <c r="W254" s="740"/>
      <c r="X254" s="740"/>
      <c r="Y254" s="740"/>
      <c r="Z254" s="740"/>
      <c r="AA254" s="740"/>
      <c r="AB254" s="740"/>
      <c r="AC254" s="740"/>
      <c r="AD254" s="740"/>
      <c r="AE254" s="740"/>
      <c r="AF254" s="740"/>
      <c r="AG254" s="740"/>
      <c r="AH254" s="740"/>
      <c r="AI254" s="740"/>
      <c r="AJ254" s="740"/>
      <c r="AK254" s="740"/>
      <c r="AL254" s="740"/>
      <c r="AM254" s="740"/>
      <c r="AN254" s="740"/>
      <c r="AO254" s="740"/>
      <c r="AP254" s="740"/>
    </row>
    <row r="255" spans="3:42" ht="15">
      <c r="C255" s="68"/>
      <c r="D255" s="740"/>
      <c r="E255" s="740"/>
      <c r="F255" s="740"/>
      <c r="G255" s="740"/>
      <c r="H255" s="740"/>
      <c r="I255" s="740"/>
      <c r="J255" s="740"/>
      <c r="K255" s="740"/>
      <c r="L255" s="740"/>
      <c r="M255" s="740"/>
      <c r="N255" s="740"/>
      <c r="O255" s="740"/>
      <c r="P255" s="740"/>
      <c r="Q255" s="740"/>
      <c r="R255" s="740"/>
      <c r="S255" s="740"/>
      <c r="T255" s="740"/>
      <c r="U255" s="740"/>
      <c r="V255" s="740"/>
      <c r="W255" s="740"/>
      <c r="X255" s="740"/>
      <c r="Y255" s="740"/>
      <c r="Z255" s="740"/>
      <c r="AA255" s="740"/>
      <c r="AB255" s="740"/>
      <c r="AC255" s="740"/>
      <c r="AD255" s="740"/>
      <c r="AE255" s="740"/>
      <c r="AF255" s="740"/>
      <c r="AG255" s="740"/>
      <c r="AH255" s="740"/>
      <c r="AI255" s="740"/>
      <c r="AJ255" s="740"/>
      <c r="AK255" s="740"/>
      <c r="AL255" s="740"/>
      <c r="AM255" s="740"/>
      <c r="AN255" s="740"/>
      <c r="AO255" s="740"/>
      <c r="AP255" s="740"/>
    </row>
    <row r="256" spans="3:42" ht="15">
      <c r="C256" s="68"/>
      <c r="D256" s="740"/>
      <c r="E256" s="740"/>
      <c r="F256" s="740"/>
      <c r="G256" s="740"/>
      <c r="H256" s="740"/>
      <c r="I256" s="740"/>
      <c r="J256" s="740"/>
      <c r="K256" s="740"/>
      <c r="L256" s="740"/>
      <c r="M256" s="740"/>
      <c r="N256" s="740"/>
      <c r="O256" s="740"/>
      <c r="P256" s="740"/>
      <c r="Q256" s="740"/>
      <c r="R256" s="740"/>
      <c r="S256" s="740"/>
      <c r="T256" s="740"/>
      <c r="U256" s="740"/>
      <c r="V256" s="740"/>
      <c r="W256" s="740"/>
      <c r="X256" s="740"/>
      <c r="Y256" s="740"/>
      <c r="Z256" s="740"/>
      <c r="AA256" s="740"/>
      <c r="AB256" s="740"/>
      <c r="AC256" s="740"/>
      <c r="AD256" s="740"/>
      <c r="AE256" s="740"/>
      <c r="AF256" s="740"/>
      <c r="AG256" s="740"/>
      <c r="AH256" s="740"/>
      <c r="AI256" s="740"/>
      <c r="AJ256" s="740"/>
      <c r="AK256" s="740"/>
      <c r="AL256" s="740"/>
      <c r="AM256" s="740"/>
      <c r="AN256" s="740"/>
      <c r="AO256" s="740"/>
      <c r="AP256" s="740"/>
    </row>
    <row r="257" spans="3:42" ht="15">
      <c r="C257" s="68"/>
      <c r="D257" s="740"/>
      <c r="E257" s="740"/>
      <c r="F257" s="740"/>
      <c r="G257" s="740"/>
      <c r="H257" s="740"/>
      <c r="I257" s="740"/>
      <c r="J257" s="740"/>
      <c r="K257" s="740"/>
      <c r="L257" s="740"/>
      <c r="M257" s="740"/>
      <c r="N257" s="740"/>
      <c r="O257" s="740"/>
      <c r="P257" s="740"/>
      <c r="Q257" s="740"/>
      <c r="R257" s="740"/>
      <c r="S257" s="740"/>
      <c r="T257" s="740"/>
      <c r="U257" s="740"/>
      <c r="V257" s="740"/>
      <c r="W257" s="740"/>
      <c r="X257" s="740"/>
      <c r="Y257" s="740"/>
      <c r="Z257" s="740"/>
      <c r="AA257" s="740"/>
      <c r="AB257" s="740"/>
      <c r="AC257" s="740"/>
      <c r="AD257" s="740"/>
      <c r="AE257" s="740"/>
      <c r="AF257" s="740"/>
      <c r="AG257" s="740"/>
      <c r="AH257" s="740"/>
      <c r="AI257" s="740"/>
      <c r="AJ257" s="740"/>
      <c r="AK257" s="740"/>
      <c r="AL257" s="740"/>
      <c r="AM257" s="740"/>
      <c r="AN257" s="740"/>
      <c r="AO257" s="740"/>
      <c r="AP257" s="740"/>
    </row>
    <row r="258" spans="3:42" ht="15">
      <c r="C258" s="68"/>
      <c r="D258" s="740"/>
      <c r="E258" s="740"/>
      <c r="F258" s="740"/>
      <c r="G258" s="740"/>
      <c r="H258" s="740"/>
      <c r="I258" s="740"/>
      <c r="J258" s="740"/>
      <c r="K258" s="740"/>
      <c r="L258" s="740"/>
      <c r="M258" s="740"/>
      <c r="N258" s="740"/>
      <c r="O258" s="740"/>
      <c r="P258" s="740"/>
      <c r="Q258" s="740"/>
      <c r="R258" s="740"/>
      <c r="S258" s="740"/>
      <c r="T258" s="740"/>
      <c r="U258" s="740"/>
      <c r="V258" s="740"/>
      <c r="W258" s="740"/>
      <c r="X258" s="740"/>
      <c r="Y258" s="740"/>
      <c r="Z258" s="740"/>
      <c r="AA258" s="740"/>
      <c r="AB258" s="740"/>
      <c r="AC258" s="740"/>
      <c r="AD258" s="740"/>
      <c r="AE258" s="740"/>
      <c r="AF258" s="740"/>
      <c r="AG258" s="740"/>
      <c r="AH258" s="740"/>
      <c r="AI258" s="740"/>
      <c r="AJ258" s="740"/>
      <c r="AK258" s="740"/>
      <c r="AL258" s="740"/>
      <c r="AM258" s="740"/>
      <c r="AN258" s="740"/>
      <c r="AO258" s="740"/>
      <c r="AP258" s="740"/>
    </row>
    <row r="259" spans="3:42" ht="15">
      <c r="C259" s="68"/>
      <c r="D259" s="740"/>
      <c r="E259" s="740"/>
      <c r="F259" s="740"/>
      <c r="G259" s="740"/>
      <c r="H259" s="740"/>
      <c r="I259" s="740"/>
      <c r="J259" s="740"/>
      <c r="K259" s="740"/>
      <c r="L259" s="740"/>
      <c r="M259" s="740"/>
      <c r="N259" s="740"/>
      <c r="O259" s="740"/>
      <c r="P259" s="740"/>
      <c r="Q259" s="740"/>
      <c r="R259" s="740"/>
      <c r="S259" s="740"/>
      <c r="T259" s="740"/>
      <c r="U259" s="740"/>
      <c r="V259" s="740"/>
      <c r="W259" s="740"/>
      <c r="X259" s="740"/>
      <c r="Y259" s="740"/>
      <c r="Z259" s="740"/>
      <c r="AA259" s="740"/>
      <c r="AB259" s="740"/>
      <c r="AC259" s="740"/>
      <c r="AD259" s="740"/>
      <c r="AE259" s="740"/>
      <c r="AF259" s="740"/>
      <c r="AG259" s="740"/>
      <c r="AH259" s="740"/>
      <c r="AI259" s="740"/>
      <c r="AJ259" s="740"/>
      <c r="AK259" s="740"/>
      <c r="AL259" s="740"/>
      <c r="AM259" s="740"/>
      <c r="AN259" s="740"/>
      <c r="AO259" s="740"/>
      <c r="AP259" s="740"/>
    </row>
    <row r="260" spans="3:42" ht="15">
      <c r="C260" s="68"/>
      <c r="D260" s="740"/>
      <c r="E260" s="740"/>
      <c r="F260" s="740"/>
      <c r="G260" s="740"/>
      <c r="H260" s="740"/>
      <c r="I260" s="740"/>
      <c r="J260" s="740"/>
      <c r="K260" s="740"/>
      <c r="L260" s="740"/>
      <c r="M260" s="740"/>
      <c r="N260" s="740"/>
      <c r="O260" s="740"/>
      <c r="P260" s="740"/>
      <c r="Q260" s="740"/>
      <c r="R260" s="740"/>
      <c r="S260" s="740"/>
      <c r="T260" s="740"/>
      <c r="U260" s="740"/>
      <c r="V260" s="740"/>
      <c r="W260" s="740"/>
      <c r="X260" s="740"/>
      <c r="Y260" s="740"/>
      <c r="Z260" s="740"/>
      <c r="AA260" s="740"/>
      <c r="AB260" s="740"/>
      <c r="AC260" s="740"/>
      <c r="AD260" s="740"/>
      <c r="AE260" s="740"/>
      <c r="AF260" s="740"/>
      <c r="AG260" s="740"/>
      <c r="AH260" s="740"/>
      <c r="AI260" s="740"/>
      <c r="AJ260" s="740"/>
      <c r="AK260" s="740"/>
      <c r="AL260" s="740"/>
      <c r="AM260" s="740"/>
      <c r="AN260" s="740"/>
      <c r="AO260" s="740"/>
      <c r="AP260" s="740"/>
    </row>
    <row r="261" spans="3:42" ht="15">
      <c r="C261" s="68"/>
      <c r="D261" s="740"/>
      <c r="E261" s="740"/>
      <c r="F261" s="740"/>
      <c r="G261" s="740"/>
      <c r="H261" s="740"/>
      <c r="I261" s="740"/>
      <c r="J261" s="740"/>
      <c r="K261" s="740"/>
      <c r="L261" s="740"/>
      <c r="M261" s="740"/>
      <c r="N261" s="740"/>
      <c r="O261" s="740"/>
      <c r="P261" s="740"/>
      <c r="Q261" s="740"/>
      <c r="R261" s="740"/>
      <c r="S261" s="740"/>
      <c r="T261" s="740"/>
      <c r="U261" s="740"/>
      <c r="V261" s="740"/>
      <c r="W261" s="740"/>
      <c r="X261" s="740"/>
      <c r="Y261" s="740"/>
      <c r="Z261" s="740"/>
      <c r="AA261" s="740"/>
      <c r="AB261" s="740"/>
      <c r="AC261" s="740"/>
      <c r="AD261" s="740"/>
      <c r="AE261" s="740"/>
      <c r="AF261" s="740"/>
      <c r="AG261" s="740"/>
      <c r="AH261" s="740"/>
      <c r="AI261" s="740"/>
      <c r="AJ261" s="740"/>
      <c r="AK261" s="740"/>
      <c r="AL261" s="740"/>
      <c r="AM261" s="740"/>
      <c r="AN261" s="740"/>
      <c r="AO261" s="740"/>
      <c r="AP261" s="740"/>
    </row>
    <row r="262" spans="3:42" ht="15">
      <c r="C262" s="68"/>
      <c r="D262" s="740"/>
      <c r="E262" s="740"/>
      <c r="F262" s="740"/>
      <c r="G262" s="740"/>
      <c r="H262" s="740"/>
      <c r="I262" s="740"/>
      <c r="J262" s="740"/>
      <c r="K262" s="740"/>
      <c r="L262" s="740"/>
      <c r="M262" s="740"/>
      <c r="N262" s="740"/>
      <c r="O262" s="740"/>
      <c r="P262" s="740"/>
      <c r="Q262" s="740"/>
      <c r="R262" s="740"/>
      <c r="S262" s="740"/>
      <c r="T262" s="740"/>
      <c r="U262" s="740"/>
      <c r="V262" s="740"/>
      <c r="W262" s="740"/>
      <c r="X262" s="740"/>
      <c r="Y262" s="740"/>
      <c r="Z262" s="740"/>
      <c r="AA262" s="740"/>
      <c r="AB262" s="740"/>
      <c r="AC262" s="740"/>
      <c r="AD262" s="740"/>
      <c r="AE262" s="740"/>
      <c r="AF262" s="740"/>
      <c r="AG262" s="740"/>
      <c r="AH262" s="740"/>
      <c r="AI262" s="740"/>
      <c r="AJ262" s="740"/>
      <c r="AK262" s="740"/>
      <c r="AL262" s="740"/>
      <c r="AM262" s="740"/>
      <c r="AN262" s="740"/>
      <c r="AO262" s="740"/>
      <c r="AP262" s="740"/>
    </row>
    <row r="263" spans="3:42" ht="15">
      <c r="C263" s="68"/>
      <c r="D263" s="740"/>
      <c r="E263" s="740"/>
      <c r="F263" s="740"/>
      <c r="G263" s="740"/>
      <c r="H263" s="740"/>
      <c r="I263" s="740"/>
      <c r="J263" s="740"/>
      <c r="K263" s="740"/>
      <c r="L263" s="740"/>
      <c r="M263" s="740"/>
      <c r="N263" s="740"/>
      <c r="O263" s="740"/>
      <c r="P263" s="740"/>
      <c r="Q263" s="740"/>
      <c r="R263" s="740"/>
      <c r="S263" s="740"/>
      <c r="T263" s="740"/>
      <c r="U263" s="740"/>
      <c r="V263" s="740"/>
      <c r="W263" s="740"/>
      <c r="X263" s="740"/>
      <c r="Y263" s="740"/>
      <c r="Z263" s="740"/>
      <c r="AA263" s="740"/>
      <c r="AB263" s="740"/>
      <c r="AC263" s="740"/>
      <c r="AD263" s="740"/>
      <c r="AE263" s="740"/>
      <c r="AF263" s="740"/>
      <c r="AG263" s="740"/>
      <c r="AH263" s="740"/>
      <c r="AI263" s="740"/>
      <c r="AJ263" s="740"/>
      <c r="AK263" s="740"/>
      <c r="AL263" s="740"/>
      <c r="AM263" s="740"/>
      <c r="AN263" s="740"/>
      <c r="AO263" s="740"/>
      <c r="AP263" s="740"/>
    </row>
    <row r="264" spans="3:42" ht="15">
      <c r="C264" s="68"/>
      <c r="D264" s="740"/>
      <c r="E264" s="740"/>
      <c r="F264" s="740"/>
      <c r="G264" s="740"/>
      <c r="H264" s="740"/>
      <c r="I264" s="740"/>
      <c r="J264" s="740"/>
      <c r="K264" s="740"/>
      <c r="L264" s="740"/>
      <c r="M264" s="740"/>
      <c r="N264" s="740"/>
      <c r="O264" s="740"/>
      <c r="P264" s="740"/>
      <c r="Q264" s="740"/>
      <c r="R264" s="740"/>
      <c r="S264" s="740"/>
      <c r="T264" s="740"/>
      <c r="U264" s="740"/>
      <c r="V264" s="740"/>
      <c r="W264" s="740"/>
      <c r="X264" s="740"/>
      <c r="Y264" s="740"/>
      <c r="Z264" s="740"/>
      <c r="AA264" s="740"/>
      <c r="AB264" s="740"/>
      <c r="AC264" s="740"/>
      <c r="AD264" s="740"/>
      <c r="AE264" s="740"/>
      <c r="AF264" s="740"/>
      <c r="AG264" s="740"/>
      <c r="AH264" s="740"/>
      <c r="AI264" s="740"/>
      <c r="AJ264" s="740"/>
      <c r="AK264" s="740"/>
      <c r="AL264" s="740"/>
      <c r="AM264" s="740"/>
      <c r="AN264" s="740"/>
      <c r="AO264" s="740"/>
      <c r="AP264" s="740"/>
    </row>
    <row r="265" spans="3:42" ht="15">
      <c r="C265" s="68"/>
      <c r="D265" s="740"/>
      <c r="E265" s="740"/>
      <c r="F265" s="740"/>
      <c r="G265" s="740"/>
      <c r="H265" s="740"/>
      <c r="I265" s="740"/>
      <c r="J265" s="740"/>
      <c r="K265" s="740"/>
      <c r="L265" s="740"/>
      <c r="M265" s="740"/>
      <c r="N265" s="740"/>
      <c r="O265" s="740"/>
      <c r="P265" s="740"/>
      <c r="Q265" s="740"/>
      <c r="R265" s="740"/>
      <c r="S265" s="740"/>
      <c r="T265" s="740"/>
      <c r="U265" s="740"/>
      <c r="V265" s="740"/>
      <c r="W265" s="740"/>
      <c r="X265" s="740"/>
      <c r="Y265" s="740"/>
      <c r="Z265" s="740"/>
      <c r="AA265" s="740"/>
      <c r="AB265" s="740"/>
      <c r="AC265" s="740"/>
      <c r="AD265" s="740"/>
      <c r="AE265" s="740"/>
      <c r="AF265" s="740"/>
      <c r="AG265" s="740"/>
      <c r="AH265" s="740"/>
      <c r="AI265" s="740"/>
      <c r="AJ265" s="740"/>
      <c r="AK265" s="740"/>
      <c r="AL265" s="740"/>
      <c r="AM265" s="740"/>
      <c r="AN265" s="740"/>
      <c r="AO265" s="740"/>
      <c r="AP265" s="740"/>
    </row>
    <row r="266" spans="3:42" ht="15">
      <c r="C266" s="68"/>
      <c r="D266" s="740"/>
      <c r="E266" s="740"/>
      <c r="F266" s="740"/>
      <c r="G266" s="740"/>
      <c r="H266" s="740"/>
      <c r="I266" s="740"/>
      <c r="J266" s="740"/>
      <c r="K266" s="740"/>
      <c r="L266" s="740"/>
      <c r="M266" s="740"/>
      <c r="N266" s="740"/>
      <c r="O266" s="740"/>
      <c r="P266" s="740"/>
      <c r="Q266" s="740"/>
      <c r="R266" s="740"/>
      <c r="S266" s="740"/>
      <c r="T266" s="740"/>
      <c r="U266" s="740"/>
      <c r="V266" s="740"/>
      <c r="W266" s="740"/>
      <c r="X266" s="740"/>
      <c r="Y266" s="740"/>
      <c r="Z266" s="740"/>
      <c r="AA266" s="740"/>
      <c r="AB266" s="740"/>
      <c r="AC266" s="740"/>
      <c r="AD266" s="740"/>
      <c r="AE266" s="740"/>
      <c r="AF266" s="740"/>
      <c r="AG266" s="740"/>
      <c r="AH266" s="740"/>
      <c r="AI266" s="740"/>
      <c r="AJ266" s="740"/>
      <c r="AK266" s="740"/>
      <c r="AL266" s="740"/>
      <c r="AM266" s="740"/>
      <c r="AN266" s="740"/>
      <c r="AO266" s="740"/>
      <c r="AP266" s="740"/>
    </row>
    <row r="267" spans="3:42" ht="15">
      <c r="C267" s="68"/>
      <c r="D267" s="740"/>
      <c r="E267" s="740"/>
      <c r="F267" s="740"/>
      <c r="G267" s="740"/>
      <c r="H267" s="740"/>
      <c r="I267" s="740"/>
      <c r="J267" s="740"/>
      <c r="K267" s="740"/>
      <c r="L267" s="740"/>
      <c r="M267" s="740"/>
      <c r="N267" s="740"/>
      <c r="O267" s="740"/>
      <c r="P267" s="740"/>
      <c r="Q267" s="740"/>
      <c r="R267" s="740"/>
      <c r="S267" s="740"/>
      <c r="T267" s="740"/>
      <c r="U267" s="740"/>
      <c r="V267" s="740"/>
      <c r="W267" s="740"/>
      <c r="X267" s="740"/>
      <c r="Y267" s="740"/>
      <c r="Z267" s="740"/>
      <c r="AA267" s="740"/>
      <c r="AB267" s="740"/>
      <c r="AC267" s="740"/>
      <c r="AD267" s="740"/>
      <c r="AE267" s="740"/>
      <c r="AF267" s="740"/>
      <c r="AG267" s="740"/>
      <c r="AH267" s="740"/>
      <c r="AI267" s="740"/>
      <c r="AJ267" s="740"/>
      <c r="AK267" s="740"/>
      <c r="AL267" s="740"/>
      <c r="AM267" s="740"/>
      <c r="AN267" s="740"/>
      <c r="AO267" s="740"/>
      <c r="AP267" s="740"/>
    </row>
    <row r="268" spans="3:42" ht="15">
      <c r="C268" s="68"/>
      <c r="D268" s="740"/>
      <c r="E268" s="740"/>
      <c r="F268" s="740"/>
      <c r="G268" s="740"/>
      <c r="H268" s="740"/>
      <c r="I268" s="740"/>
      <c r="J268" s="740"/>
      <c r="K268" s="740"/>
      <c r="L268" s="740"/>
      <c r="M268" s="740"/>
      <c r="N268" s="740"/>
      <c r="O268" s="740"/>
      <c r="P268" s="740"/>
      <c r="Q268" s="740"/>
      <c r="R268" s="740"/>
      <c r="S268" s="740"/>
      <c r="T268" s="740"/>
      <c r="U268" s="740"/>
      <c r="V268" s="740"/>
      <c r="W268" s="740"/>
      <c r="X268" s="740"/>
      <c r="Y268" s="740"/>
      <c r="Z268" s="740"/>
      <c r="AA268" s="740"/>
      <c r="AB268" s="740"/>
      <c r="AC268" s="740"/>
      <c r="AD268" s="740"/>
      <c r="AE268" s="740"/>
      <c r="AF268" s="740"/>
      <c r="AG268" s="740"/>
      <c r="AH268" s="740"/>
      <c r="AI268" s="740"/>
      <c r="AJ268" s="740"/>
      <c r="AK268" s="740"/>
      <c r="AL268" s="740"/>
      <c r="AM268" s="740"/>
      <c r="AN268" s="740"/>
      <c r="AO268" s="740"/>
      <c r="AP268" s="740"/>
    </row>
    <row r="269" spans="3:42" ht="15">
      <c r="C269" s="68"/>
      <c r="D269" s="740"/>
      <c r="E269" s="740"/>
      <c r="F269" s="740"/>
      <c r="G269" s="740"/>
      <c r="H269" s="740"/>
      <c r="I269" s="740"/>
      <c r="J269" s="740"/>
      <c r="K269" s="740"/>
      <c r="L269" s="740"/>
      <c r="M269" s="740"/>
      <c r="N269" s="740"/>
      <c r="O269" s="740"/>
      <c r="P269" s="740"/>
      <c r="Q269" s="740"/>
      <c r="R269" s="740"/>
      <c r="S269" s="740"/>
      <c r="T269" s="740"/>
      <c r="U269" s="740"/>
      <c r="V269" s="740"/>
      <c r="W269" s="740"/>
      <c r="X269" s="740"/>
      <c r="Y269" s="740"/>
      <c r="Z269" s="740"/>
      <c r="AA269" s="740"/>
      <c r="AB269" s="740"/>
      <c r="AC269" s="740"/>
      <c r="AD269" s="740"/>
      <c r="AE269" s="740"/>
      <c r="AF269" s="740"/>
      <c r="AG269" s="740"/>
      <c r="AH269" s="740"/>
      <c r="AI269" s="740"/>
      <c r="AJ269" s="740"/>
      <c r="AK269" s="740"/>
      <c r="AL269" s="740"/>
      <c r="AM269" s="740"/>
      <c r="AN269" s="740"/>
      <c r="AO269" s="740"/>
      <c r="AP269" s="740"/>
    </row>
    <row r="270" spans="3:42" ht="15">
      <c r="C270" s="68"/>
      <c r="D270" s="740"/>
      <c r="E270" s="740"/>
      <c r="F270" s="740"/>
      <c r="G270" s="740"/>
      <c r="H270" s="740"/>
      <c r="I270" s="740"/>
      <c r="J270" s="740"/>
      <c r="K270" s="740"/>
      <c r="L270" s="740"/>
      <c r="M270" s="740"/>
      <c r="N270" s="740"/>
      <c r="O270" s="740"/>
      <c r="P270" s="740"/>
      <c r="Q270" s="740"/>
      <c r="R270" s="740"/>
      <c r="S270" s="740"/>
      <c r="T270" s="740"/>
      <c r="U270" s="740"/>
      <c r="V270" s="740"/>
      <c r="W270" s="740"/>
      <c r="X270" s="740"/>
      <c r="Y270" s="740"/>
      <c r="Z270" s="740"/>
      <c r="AA270" s="740"/>
      <c r="AB270" s="740"/>
      <c r="AC270" s="740"/>
      <c r="AD270" s="740"/>
      <c r="AE270" s="740"/>
      <c r="AF270" s="740"/>
      <c r="AG270" s="740"/>
      <c r="AH270" s="740"/>
      <c r="AI270" s="740"/>
      <c r="AJ270" s="740"/>
      <c r="AK270" s="740"/>
      <c r="AL270" s="740"/>
      <c r="AM270" s="740"/>
      <c r="AN270" s="740"/>
      <c r="AO270" s="740"/>
      <c r="AP270" s="740"/>
    </row>
    <row r="271" spans="3:42" ht="15">
      <c r="C271" s="68"/>
      <c r="D271" s="740"/>
      <c r="E271" s="740"/>
      <c r="F271" s="740"/>
      <c r="G271" s="740"/>
      <c r="H271" s="740"/>
      <c r="I271" s="740"/>
      <c r="J271" s="740"/>
      <c r="K271" s="740"/>
      <c r="L271" s="740"/>
      <c r="M271" s="740"/>
      <c r="N271" s="740"/>
      <c r="O271" s="740"/>
      <c r="P271" s="740"/>
      <c r="Q271" s="740"/>
      <c r="R271" s="740"/>
      <c r="S271" s="740"/>
      <c r="T271" s="740"/>
      <c r="U271" s="740"/>
      <c r="V271" s="740"/>
      <c r="W271" s="740"/>
      <c r="X271" s="740"/>
      <c r="Y271" s="740"/>
      <c r="Z271" s="740"/>
      <c r="AA271" s="740"/>
      <c r="AB271" s="740"/>
      <c r="AC271" s="740"/>
      <c r="AD271" s="740"/>
      <c r="AE271" s="740"/>
      <c r="AF271" s="740"/>
      <c r="AG271" s="740"/>
      <c r="AH271" s="740"/>
      <c r="AI271" s="740"/>
      <c r="AJ271" s="740"/>
      <c r="AK271" s="740"/>
      <c r="AL271" s="740"/>
      <c r="AM271" s="740"/>
      <c r="AN271" s="740"/>
      <c r="AO271" s="740"/>
      <c r="AP271" s="740"/>
    </row>
    <row r="272" spans="3:42" ht="15">
      <c r="C272" s="68"/>
      <c r="D272" s="740"/>
      <c r="E272" s="740"/>
      <c r="F272" s="740"/>
      <c r="G272" s="740"/>
      <c r="H272" s="740"/>
      <c r="I272" s="740"/>
      <c r="J272" s="740"/>
      <c r="K272" s="740"/>
      <c r="L272" s="740"/>
      <c r="M272" s="740"/>
      <c r="N272" s="740"/>
      <c r="O272" s="740"/>
      <c r="P272" s="740"/>
      <c r="Q272" s="740"/>
      <c r="R272" s="740"/>
      <c r="S272" s="740"/>
      <c r="T272" s="740"/>
      <c r="U272" s="740"/>
      <c r="V272" s="740"/>
      <c r="W272" s="740"/>
      <c r="X272" s="740"/>
      <c r="Y272" s="740"/>
      <c r="Z272" s="740"/>
      <c r="AA272" s="740"/>
      <c r="AB272" s="740"/>
      <c r="AC272" s="740"/>
      <c r="AD272" s="740"/>
      <c r="AE272" s="740"/>
      <c r="AF272" s="740"/>
      <c r="AG272" s="740"/>
      <c r="AH272" s="740"/>
      <c r="AI272" s="740"/>
      <c r="AJ272" s="740"/>
      <c r="AK272" s="740"/>
      <c r="AL272" s="740"/>
      <c r="AM272" s="740"/>
      <c r="AN272" s="740"/>
      <c r="AO272" s="740"/>
      <c r="AP272" s="740"/>
    </row>
    <row r="273" spans="3:42" ht="15">
      <c r="C273" s="68"/>
      <c r="D273" s="740"/>
      <c r="E273" s="740"/>
      <c r="F273" s="740"/>
      <c r="G273" s="740"/>
      <c r="H273" s="740"/>
      <c r="I273" s="740"/>
      <c r="J273" s="740"/>
      <c r="K273" s="740"/>
      <c r="L273" s="740"/>
      <c r="M273" s="740"/>
      <c r="N273" s="740"/>
      <c r="O273" s="740"/>
      <c r="P273" s="740"/>
      <c r="Q273" s="740"/>
      <c r="R273" s="740"/>
      <c r="S273" s="740"/>
      <c r="T273" s="740"/>
      <c r="U273" s="740"/>
      <c r="V273" s="740"/>
      <c r="W273" s="740"/>
      <c r="X273" s="740"/>
      <c r="Y273" s="740"/>
      <c r="Z273" s="740"/>
      <c r="AA273" s="740"/>
      <c r="AB273" s="740"/>
      <c r="AC273" s="740"/>
      <c r="AD273" s="740"/>
      <c r="AE273" s="740"/>
      <c r="AF273" s="740"/>
      <c r="AG273" s="740"/>
      <c r="AH273" s="740"/>
      <c r="AI273" s="740"/>
      <c r="AJ273" s="740"/>
      <c r="AK273" s="740"/>
      <c r="AL273" s="740"/>
      <c r="AM273" s="740"/>
      <c r="AN273" s="740"/>
      <c r="AO273" s="740"/>
      <c r="AP273" s="740"/>
    </row>
    <row r="274" spans="3:42" ht="15">
      <c r="C274" s="68"/>
      <c r="D274" s="740"/>
      <c r="E274" s="740"/>
      <c r="F274" s="740"/>
      <c r="G274" s="740"/>
      <c r="H274" s="740"/>
      <c r="I274" s="740"/>
      <c r="J274" s="740"/>
      <c r="K274" s="740"/>
      <c r="L274" s="740"/>
      <c r="M274" s="740"/>
      <c r="N274" s="740"/>
      <c r="O274" s="740"/>
      <c r="P274" s="740"/>
      <c r="Q274" s="740"/>
      <c r="R274" s="740"/>
      <c r="S274" s="740"/>
      <c r="T274" s="740"/>
      <c r="U274" s="740"/>
      <c r="V274" s="740"/>
      <c r="W274" s="740"/>
      <c r="X274" s="740"/>
      <c r="Y274" s="740"/>
      <c r="Z274" s="740"/>
      <c r="AA274" s="740"/>
      <c r="AB274" s="740"/>
      <c r="AC274" s="740"/>
      <c r="AD274" s="740"/>
      <c r="AE274" s="740"/>
      <c r="AF274" s="740"/>
      <c r="AG274" s="740"/>
      <c r="AH274" s="740"/>
      <c r="AI274" s="740"/>
      <c r="AJ274" s="740"/>
      <c r="AK274" s="740"/>
      <c r="AL274" s="740"/>
      <c r="AM274" s="740"/>
      <c r="AN274" s="740"/>
      <c r="AO274" s="740"/>
      <c r="AP274" s="740"/>
    </row>
    <row r="275" spans="3:42" ht="15">
      <c r="C275" s="68"/>
      <c r="D275" s="740"/>
      <c r="E275" s="740"/>
      <c r="F275" s="740"/>
      <c r="G275" s="740"/>
      <c r="H275" s="740"/>
      <c r="I275" s="740"/>
      <c r="J275" s="740"/>
      <c r="K275" s="740"/>
      <c r="L275" s="740"/>
      <c r="M275" s="740"/>
      <c r="N275" s="740"/>
      <c r="O275" s="740"/>
      <c r="P275" s="740"/>
      <c r="Q275" s="740"/>
      <c r="R275" s="740"/>
      <c r="S275" s="740"/>
      <c r="T275" s="740"/>
      <c r="U275" s="740"/>
      <c r="V275" s="740"/>
      <c r="W275" s="740"/>
      <c r="X275" s="740"/>
      <c r="Y275" s="740"/>
      <c r="Z275" s="740"/>
      <c r="AA275" s="740"/>
      <c r="AB275" s="740"/>
      <c r="AC275" s="740"/>
      <c r="AD275" s="740"/>
      <c r="AE275" s="740"/>
      <c r="AF275" s="740"/>
      <c r="AG275" s="740"/>
      <c r="AH275" s="740"/>
      <c r="AI275" s="740"/>
      <c r="AJ275" s="740"/>
      <c r="AK275" s="740"/>
      <c r="AL275" s="740"/>
      <c r="AM275" s="740"/>
      <c r="AN275" s="740"/>
      <c r="AO275" s="740"/>
      <c r="AP275" s="740"/>
    </row>
    <row r="276" spans="3:42" ht="15">
      <c r="C276" s="68"/>
      <c r="D276" s="740"/>
      <c r="E276" s="740"/>
      <c r="F276" s="740"/>
      <c r="G276" s="740"/>
      <c r="H276" s="740"/>
      <c r="I276" s="740"/>
      <c r="J276" s="740"/>
      <c r="K276" s="740"/>
      <c r="L276" s="740"/>
      <c r="M276" s="740"/>
      <c r="N276" s="740"/>
      <c r="O276" s="740"/>
      <c r="P276" s="740"/>
      <c r="Q276" s="740"/>
      <c r="R276" s="740"/>
      <c r="S276" s="740"/>
      <c r="T276" s="740"/>
      <c r="U276" s="740"/>
      <c r="V276" s="740"/>
      <c r="W276" s="740"/>
      <c r="X276" s="740"/>
      <c r="Y276" s="740"/>
      <c r="Z276" s="740"/>
      <c r="AA276" s="740"/>
      <c r="AB276" s="740"/>
      <c r="AC276" s="740"/>
      <c r="AD276" s="740"/>
      <c r="AE276" s="740"/>
      <c r="AF276" s="740"/>
      <c r="AG276" s="740"/>
      <c r="AH276" s="740"/>
      <c r="AI276" s="740"/>
      <c r="AJ276" s="740"/>
      <c r="AK276" s="740"/>
      <c r="AL276" s="740"/>
      <c r="AM276" s="740"/>
      <c r="AN276" s="740"/>
      <c r="AO276" s="740"/>
      <c r="AP276" s="740"/>
    </row>
    <row r="277" spans="3:42" ht="15">
      <c r="C277" s="68"/>
      <c r="D277" s="740"/>
      <c r="E277" s="740"/>
      <c r="F277" s="740"/>
      <c r="G277" s="740"/>
      <c r="H277" s="740"/>
      <c r="I277" s="740"/>
      <c r="J277" s="740"/>
      <c r="K277" s="740"/>
      <c r="L277" s="740"/>
      <c r="M277" s="740"/>
      <c r="N277" s="740"/>
      <c r="O277" s="740"/>
      <c r="P277" s="740"/>
      <c r="Q277" s="740"/>
      <c r="R277" s="740"/>
      <c r="S277" s="740"/>
      <c r="T277" s="740"/>
      <c r="U277" s="740"/>
      <c r="V277" s="740"/>
      <c r="W277" s="740"/>
      <c r="X277" s="740"/>
      <c r="Y277" s="740"/>
      <c r="Z277" s="740"/>
      <c r="AA277" s="740"/>
      <c r="AB277" s="740"/>
      <c r="AC277" s="740"/>
      <c r="AD277" s="740"/>
      <c r="AE277" s="740"/>
      <c r="AF277" s="740"/>
      <c r="AG277" s="740"/>
      <c r="AH277" s="740"/>
      <c r="AI277" s="740"/>
      <c r="AJ277" s="740"/>
      <c r="AK277" s="740"/>
      <c r="AL277" s="740"/>
      <c r="AM277" s="740"/>
      <c r="AN277" s="740"/>
      <c r="AO277" s="740"/>
      <c r="AP277" s="740"/>
    </row>
    <row r="278" spans="3:42" ht="15">
      <c r="C278" s="68"/>
      <c r="D278" s="740"/>
      <c r="E278" s="740"/>
      <c r="F278" s="740"/>
      <c r="G278" s="740"/>
      <c r="H278" s="740"/>
      <c r="I278" s="740"/>
      <c r="J278" s="740"/>
      <c r="K278" s="740"/>
      <c r="L278" s="740"/>
      <c r="M278" s="740"/>
      <c r="N278" s="740"/>
      <c r="O278" s="740"/>
      <c r="P278" s="740"/>
      <c r="Q278" s="740"/>
      <c r="R278" s="740"/>
      <c r="S278" s="740"/>
      <c r="T278" s="740"/>
      <c r="U278" s="740"/>
      <c r="V278" s="740"/>
      <c r="W278" s="740"/>
      <c r="X278" s="740"/>
      <c r="Y278" s="740"/>
      <c r="Z278" s="740"/>
      <c r="AA278" s="740"/>
      <c r="AB278" s="740"/>
      <c r="AC278" s="740"/>
      <c r="AD278" s="740"/>
      <c r="AE278" s="740"/>
      <c r="AF278" s="740"/>
      <c r="AG278" s="740"/>
      <c r="AH278" s="740"/>
      <c r="AI278" s="740"/>
      <c r="AJ278" s="740"/>
      <c r="AK278" s="740"/>
      <c r="AL278" s="740"/>
      <c r="AM278" s="740"/>
      <c r="AN278" s="740"/>
      <c r="AO278" s="740"/>
      <c r="AP278" s="740"/>
    </row>
    <row r="279" spans="3:42" ht="15">
      <c r="C279" s="68"/>
      <c r="D279" s="740"/>
      <c r="E279" s="740"/>
      <c r="F279" s="740"/>
      <c r="G279" s="740"/>
      <c r="H279" s="740"/>
      <c r="I279" s="740"/>
      <c r="J279" s="740"/>
      <c r="K279" s="740"/>
      <c r="L279" s="740"/>
      <c r="M279" s="740"/>
      <c r="N279" s="740"/>
      <c r="O279" s="740"/>
      <c r="P279" s="740"/>
      <c r="Q279" s="740"/>
      <c r="R279" s="740"/>
      <c r="S279" s="740"/>
      <c r="T279" s="740"/>
      <c r="U279" s="740"/>
      <c r="V279" s="740"/>
      <c r="W279" s="740"/>
      <c r="X279" s="740"/>
      <c r="Y279" s="740"/>
      <c r="Z279" s="740"/>
      <c r="AA279" s="740"/>
      <c r="AB279" s="740"/>
      <c r="AC279" s="740"/>
      <c r="AD279" s="740"/>
      <c r="AE279" s="740"/>
      <c r="AF279" s="740"/>
      <c r="AG279" s="740"/>
      <c r="AH279" s="740"/>
      <c r="AI279" s="740"/>
      <c r="AJ279" s="740"/>
      <c r="AK279" s="740"/>
      <c r="AL279" s="740"/>
      <c r="AM279" s="740"/>
      <c r="AN279" s="740"/>
      <c r="AO279" s="740"/>
      <c r="AP279" s="740"/>
    </row>
    <row r="280" spans="3:42" ht="15">
      <c r="C280" s="68"/>
      <c r="D280" s="740"/>
      <c r="E280" s="740"/>
      <c r="F280" s="740"/>
      <c r="G280" s="740"/>
      <c r="H280" s="740"/>
      <c r="I280" s="740"/>
      <c r="J280" s="740"/>
      <c r="K280" s="740"/>
      <c r="L280" s="740"/>
      <c r="M280" s="740"/>
      <c r="N280" s="740"/>
      <c r="O280" s="740"/>
      <c r="P280" s="740"/>
      <c r="Q280" s="740"/>
      <c r="R280" s="740"/>
      <c r="S280" s="740"/>
      <c r="T280" s="740"/>
      <c r="U280" s="740"/>
      <c r="V280" s="740"/>
      <c r="W280" s="740"/>
      <c r="X280" s="740"/>
      <c r="Y280" s="740"/>
      <c r="Z280" s="740"/>
      <c r="AA280" s="740"/>
      <c r="AB280" s="740"/>
      <c r="AC280" s="740"/>
      <c r="AD280" s="740"/>
      <c r="AE280" s="740"/>
      <c r="AF280" s="740"/>
      <c r="AG280" s="740"/>
      <c r="AH280" s="740"/>
      <c r="AI280" s="740"/>
      <c r="AJ280" s="740"/>
      <c r="AK280" s="740"/>
      <c r="AL280" s="740"/>
      <c r="AM280" s="740"/>
      <c r="AN280" s="740"/>
      <c r="AO280" s="740"/>
      <c r="AP280" s="740"/>
    </row>
    <row r="281" spans="3:42" ht="15">
      <c r="C281" s="68"/>
      <c r="D281" s="740"/>
      <c r="E281" s="740"/>
      <c r="F281" s="740"/>
      <c r="G281" s="740"/>
      <c r="H281" s="740"/>
      <c r="I281" s="740"/>
      <c r="J281" s="740"/>
      <c r="K281" s="740"/>
      <c r="L281" s="740"/>
      <c r="M281" s="740"/>
      <c r="N281" s="740"/>
      <c r="O281" s="740"/>
      <c r="P281" s="740"/>
      <c r="Q281" s="740"/>
      <c r="R281" s="740"/>
      <c r="S281" s="740"/>
      <c r="T281" s="740"/>
      <c r="U281" s="740"/>
      <c r="V281" s="740"/>
      <c r="W281" s="740"/>
      <c r="X281" s="740"/>
      <c r="Y281" s="740"/>
      <c r="Z281" s="740"/>
      <c r="AA281" s="740"/>
      <c r="AB281" s="740"/>
      <c r="AC281" s="740"/>
      <c r="AD281" s="740"/>
      <c r="AE281" s="740"/>
      <c r="AF281" s="740"/>
      <c r="AG281" s="740"/>
      <c r="AH281" s="740"/>
      <c r="AI281" s="740"/>
      <c r="AJ281" s="740"/>
      <c r="AK281" s="740"/>
      <c r="AL281" s="740"/>
      <c r="AM281" s="740"/>
      <c r="AN281" s="740"/>
      <c r="AO281" s="740"/>
      <c r="AP281" s="740"/>
    </row>
    <row r="282" spans="3:42" ht="15">
      <c r="C282" s="68"/>
      <c r="D282" s="740"/>
      <c r="E282" s="740"/>
      <c r="F282" s="740"/>
      <c r="G282" s="740"/>
      <c r="H282" s="740"/>
      <c r="I282" s="740"/>
      <c r="J282" s="740"/>
      <c r="K282" s="740"/>
      <c r="L282" s="740"/>
      <c r="M282" s="740"/>
      <c r="N282" s="740"/>
      <c r="O282" s="740"/>
      <c r="P282" s="740"/>
      <c r="Q282" s="740"/>
      <c r="R282" s="740"/>
      <c r="S282" s="740"/>
      <c r="T282" s="740"/>
      <c r="U282" s="740"/>
      <c r="V282" s="740"/>
      <c r="W282" s="740"/>
      <c r="X282" s="740"/>
      <c r="Y282" s="740"/>
      <c r="Z282" s="740"/>
      <c r="AA282" s="740"/>
      <c r="AB282" s="740"/>
      <c r="AC282" s="740"/>
      <c r="AD282" s="740"/>
      <c r="AE282" s="740"/>
      <c r="AF282" s="740"/>
      <c r="AG282" s="740"/>
      <c r="AH282" s="740"/>
      <c r="AI282" s="740"/>
      <c r="AJ282" s="740"/>
      <c r="AK282" s="740"/>
      <c r="AL282" s="740"/>
      <c r="AM282" s="740"/>
      <c r="AN282" s="740"/>
      <c r="AO282" s="740"/>
      <c r="AP282" s="740"/>
    </row>
    <row r="283" spans="3:42" ht="15">
      <c r="C283" s="68"/>
      <c r="D283" s="740"/>
      <c r="E283" s="740"/>
      <c r="F283" s="740"/>
      <c r="G283" s="740"/>
      <c r="H283" s="740"/>
      <c r="I283" s="740"/>
      <c r="J283" s="740"/>
      <c r="K283" s="740"/>
      <c r="L283" s="740"/>
      <c r="M283" s="740"/>
      <c r="N283" s="740"/>
      <c r="O283" s="740"/>
      <c r="P283" s="740"/>
      <c r="Q283" s="740"/>
      <c r="R283" s="740"/>
      <c r="S283" s="740"/>
      <c r="T283" s="740"/>
      <c r="U283" s="740"/>
      <c r="V283" s="740"/>
      <c r="W283" s="740"/>
      <c r="X283" s="740"/>
      <c r="Y283" s="740"/>
      <c r="Z283" s="740"/>
      <c r="AA283" s="740"/>
      <c r="AB283" s="740"/>
      <c r="AC283" s="740"/>
      <c r="AD283" s="740"/>
      <c r="AE283" s="740"/>
      <c r="AF283" s="740"/>
      <c r="AG283" s="740"/>
      <c r="AH283" s="740"/>
      <c r="AI283" s="740"/>
      <c r="AJ283" s="740"/>
      <c r="AK283" s="740"/>
      <c r="AL283" s="740"/>
      <c r="AM283" s="740"/>
      <c r="AN283" s="740"/>
      <c r="AO283" s="740"/>
      <c r="AP283" s="740"/>
    </row>
    <row r="284" spans="3:42" ht="15">
      <c r="C284" s="68"/>
      <c r="D284" s="740"/>
      <c r="E284" s="740"/>
      <c r="F284" s="740"/>
      <c r="G284" s="740"/>
      <c r="H284" s="740"/>
      <c r="I284" s="740"/>
      <c r="J284" s="740"/>
      <c r="K284" s="740"/>
      <c r="L284" s="740"/>
      <c r="M284" s="740"/>
      <c r="N284" s="740"/>
      <c r="O284" s="740"/>
      <c r="P284" s="740"/>
      <c r="Q284" s="740"/>
      <c r="R284" s="740"/>
      <c r="S284" s="740"/>
      <c r="T284" s="740"/>
      <c r="U284" s="740"/>
      <c r="V284" s="740"/>
      <c r="W284" s="740"/>
      <c r="X284" s="740"/>
      <c r="Y284" s="740"/>
      <c r="Z284" s="740"/>
      <c r="AA284" s="740"/>
      <c r="AB284" s="740"/>
      <c r="AC284" s="740"/>
      <c r="AD284" s="740"/>
      <c r="AE284" s="740"/>
      <c r="AF284" s="740"/>
      <c r="AG284" s="740"/>
      <c r="AH284" s="740"/>
      <c r="AI284" s="740"/>
      <c r="AJ284" s="740"/>
      <c r="AK284" s="740"/>
      <c r="AL284" s="740"/>
      <c r="AM284" s="740"/>
      <c r="AN284" s="740"/>
      <c r="AO284" s="740"/>
      <c r="AP284" s="740"/>
    </row>
    <row r="285" spans="3:42" ht="15">
      <c r="C285" s="68"/>
      <c r="D285" s="740"/>
      <c r="E285" s="740"/>
      <c r="F285" s="740"/>
      <c r="G285" s="740"/>
      <c r="H285" s="740"/>
      <c r="I285" s="740"/>
      <c r="J285" s="740"/>
      <c r="K285" s="740"/>
      <c r="L285" s="740"/>
      <c r="M285" s="740"/>
      <c r="N285" s="740"/>
      <c r="O285" s="740"/>
      <c r="P285" s="740"/>
      <c r="Q285" s="740"/>
      <c r="R285" s="740"/>
      <c r="S285" s="740"/>
      <c r="T285" s="740"/>
      <c r="U285" s="740"/>
      <c r="V285" s="740"/>
      <c r="W285" s="740"/>
      <c r="X285" s="740"/>
      <c r="Y285" s="740"/>
      <c r="Z285" s="740"/>
      <c r="AA285" s="740"/>
      <c r="AB285" s="740"/>
      <c r="AC285" s="740"/>
      <c r="AD285" s="740"/>
      <c r="AE285" s="740"/>
      <c r="AF285" s="740"/>
      <c r="AG285" s="740"/>
      <c r="AH285" s="740"/>
      <c r="AI285" s="740"/>
      <c r="AJ285" s="740"/>
      <c r="AK285" s="740"/>
      <c r="AL285" s="740"/>
      <c r="AM285" s="740"/>
      <c r="AN285" s="740"/>
      <c r="AO285" s="740"/>
      <c r="AP285" s="740"/>
    </row>
    <row r="286" spans="3:42" ht="15">
      <c r="C286" s="68"/>
      <c r="D286" s="740"/>
      <c r="E286" s="740"/>
      <c r="F286" s="740"/>
      <c r="G286" s="740"/>
      <c r="H286" s="740"/>
      <c r="I286" s="740"/>
      <c r="J286" s="740"/>
      <c r="K286" s="740"/>
      <c r="L286" s="740"/>
      <c r="M286" s="740"/>
      <c r="N286" s="740"/>
      <c r="O286" s="740"/>
      <c r="P286" s="740"/>
      <c r="Q286" s="740"/>
      <c r="R286" s="740"/>
      <c r="S286" s="740"/>
      <c r="T286" s="740"/>
      <c r="U286" s="740"/>
      <c r="V286" s="740"/>
      <c r="W286" s="740"/>
      <c r="X286" s="740"/>
      <c r="Y286" s="740"/>
      <c r="Z286" s="740"/>
      <c r="AA286" s="740"/>
      <c r="AB286" s="740"/>
      <c r="AC286" s="740"/>
      <c r="AD286" s="740"/>
      <c r="AE286" s="740"/>
      <c r="AF286" s="740"/>
      <c r="AG286" s="740"/>
      <c r="AH286" s="740"/>
      <c r="AI286" s="740"/>
      <c r="AJ286" s="740"/>
      <c r="AK286" s="740"/>
      <c r="AL286" s="740"/>
      <c r="AM286" s="740"/>
      <c r="AN286" s="740"/>
      <c r="AO286" s="740"/>
      <c r="AP286" s="740"/>
    </row>
    <row r="287" spans="3:42" ht="15">
      <c r="C287" s="68"/>
      <c r="D287" s="740"/>
      <c r="E287" s="740"/>
      <c r="F287" s="740"/>
      <c r="G287" s="740"/>
      <c r="H287" s="740"/>
      <c r="I287" s="740"/>
      <c r="J287" s="740"/>
      <c r="K287" s="740"/>
      <c r="L287" s="740"/>
      <c r="M287" s="740"/>
      <c r="N287" s="740"/>
      <c r="O287" s="740"/>
      <c r="P287" s="740"/>
      <c r="Q287" s="740"/>
      <c r="R287" s="740"/>
      <c r="S287" s="740"/>
      <c r="T287" s="740"/>
      <c r="U287" s="740"/>
      <c r="V287" s="740"/>
      <c r="W287" s="740"/>
      <c r="X287" s="740"/>
      <c r="Y287" s="740"/>
      <c r="Z287" s="740"/>
      <c r="AA287" s="740"/>
      <c r="AB287" s="740"/>
      <c r="AC287" s="740"/>
      <c r="AD287" s="740"/>
      <c r="AE287" s="740"/>
      <c r="AF287" s="740"/>
      <c r="AG287" s="740"/>
      <c r="AH287" s="740"/>
      <c r="AI287" s="740"/>
      <c r="AJ287" s="740"/>
      <c r="AK287" s="740"/>
      <c r="AL287" s="740"/>
      <c r="AM287" s="740"/>
      <c r="AN287" s="740"/>
      <c r="AO287" s="740"/>
      <c r="AP287" s="740"/>
    </row>
    <row r="288" spans="3:42" ht="15">
      <c r="C288" s="68"/>
      <c r="D288" s="740"/>
      <c r="E288" s="740"/>
      <c r="F288" s="740"/>
      <c r="G288" s="740"/>
      <c r="H288" s="740"/>
      <c r="I288" s="740"/>
      <c r="J288" s="740"/>
      <c r="K288" s="740"/>
      <c r="L288" s="740"/>
      <c r="M288" s="740"/>
      <c r="N288" s="740"/>
      <c r="O288" s="740"/>
      <c r="P288" s="740"/>
      <c r="Q288" s="740"/>
      <c r="R288" s="740"/>
      <c r="S288" s="740"/>
      <c r="T288" s="740"/>
      <c r="U288" s="740"/>
      <c r="V288" s="740"/>
      <c r="W288" s="740"/>
      <c r="X288" s="740"/>
      <c r="Y288" s="740"/>
      <c r="Z288" s="740"/>
      <c r="AA288" s="740"/>
      <c r="AB288" s="740"/>
      <c r="AC288" s="740"/>
      <c r="AD288" s="740"/>
      <c r="AE288" s="740"/>
      <c r="AF288" s="740"/>
      <c r="AG288" s="740"/>
      <c r="AH288" s="740"/>
      <c r="AI288" s="740"/>
      <c r="AJ288" s="740"/>
      <c r="AK288" s="740"/>
      <c r="AL288" s="740"/>
      <c r="AM288" s="740"/>
      <c r="AN288" s="740"/>
      <c r="AO288" s="740"/>
      <c r="AP288" s="740"/>
    </row>
    <row r="289" spans="3:42" ht="15">
      <c r="C289" s="68"/>
      <c r="D289" s="740"/>
      <c r="E289" s="740"/>
      <c r="F289" s="740"/>
      <c r="G289" s="740"/>
      <c r="H289" s="740"/>
      <c r="I289" s="740"/>
      <c r="J289" s="740"/>
      <c r="K289" s="740"/>
      <c r="L289" s="740"/>
      <c r="M289" s="740"/>
      <c r="N289" s="740"/>
      <c r="O289" s="740"/>
      <c r="P289" s="740"/>
      <c r="Q289" s="740"/>
      <c r="R289" s="740"/>
      <c r="S289" s="740"/>
      <c r="T289" s="740"/>
      <c r="U289" s="740"/>
      <c r="V289" s="740"/>
      <c r="W289" s="740"/>
      <c r="X289" s="740"/>
      <c r="Y289" s="740"/>
      <c r="Z289" s="740"/>
      <c r="AA289" s="740"/>
      <c r="AB289" s="740"/>
      <c r="AC289" s="740"/>
      <c r="AD289" s="740"/>
      <c r="AE289" s="740"/>
      <c r="AF289" s="740"/>
      <c r="AG289" s="740"/>
      <c r="AH289" s="740"/>
      <c r="AI289" s="740"/>
      <c r="AJ289" s="740"/>
      <c r="AK289" s="740"/>
      <c r="AL289" s="740"/>
      <c r="AM289" s="740"/>
      <c r="AN289" s="740"/>
      <c r="AO289" s="740"/>
      <c r="AP289" s="740"/>
    </row>
    <row r="290" spans="3:42" ht="15">
      <c r="C290" s="68"/>
      <c r="D290" s="740"/>
      <c r="E290" s="740"/>
      <c r="F290" s="740"/>
      <c r="G290" s="740"/>
      <c r="H290" s="740"/>
      <c r="I290" s="740"/>
      <c r="J290" s="740"/>
      <c r="K290" s="740"/>
      <c r="L290" s="740"/>
      <c r="M290" s="740"/>
      <c r="N290" s="740"/>
      <c r="O290" s="740"/>
      <c r="P290" s="740"/>
      <c r="Q290" s="740"/>
      <c r="R290" s="740"/>
      <c r="S290" s="740"/>
      <c r="T290" s="740"/>
      <c r="U290" s="740"/>
      <c r="V290" s="740"/>
      <c r="W290" s="740"/>
      <c r="X290" s="740"/>
      <c r="Y290" s="740"/>
      <c r="Z290" s="740"/>
      <c r="AA290" s="740"/>
      <c r="AB290" s="740"/>
      <c r="AC290" s="740"/>
      <c r="AD290" s="740"/>
      <c r="AE290" s="740"/>
      <c r="AF290" s="740"/>
      <c r="AG290" s="740"/>
      <c r="AH290" s="740"/>
      <c r="AI290" s="740"/>
      <c r="AJ290" s="740"/>
      <c r="AK290" s="740"/>
      <c r="AL290" s="740"/>
      <c r="AM290" s="740"/>
      <c r="AN290" s="740"/>
      <c r="AO290" s="740"/>
      <c r="AP290" s="740"/>
    </row>
    <row r="291" spans="3:42" ht="15">
      <c r="C291" s="68"/>
      <c r="D291" s="740"/>
      <c r="E291" s="740"/>
      <c r="F291" s="740"/>
      <c r="G291" s="740"/>
      <c r="H291" s="740"/>
      <c r="I291" s="740"/>
      <c r="J291" s="740"/>
      <c r="K291" s="740"/>
      <c r="L291" s="740"/>
      <c r="M291" s="740"/>
      <c r="N291" s="740"/>
      <c r="O291" s="740"/>
      <c r="P291" s="740"/>
      <c r="Q291" s="740"/>
      <c r="R291" s="740"/>
      <c r="S291" s="740"/>
      <c r="T291" s="740"/>
      <c r="U291" s="740"/>
      <c r="V291" s="740"/>
      <c r="W291" s="740"/>
      <c r="X291" s="740"/>
      <c r="Y291" s="740"/>
      <c r="Z291" s="740"/>
      <c r="AA291" s="740"/>
      <c r="AB291" s="740"/>
      <c r="AC291" s="740"/>
      <c r="AD291" s="740"/>
      <c r="AE291" s="740"/>
      <c r="AF291" s="740"/>
      <c r="AG291" s="740"/>
      <c r="AH291" s="740"/>
      <c r="AI291" s="740"/>
      <c r="AJ291" s="740"/>
      <c r="AK291" s="740"/>
      <c r="AL291" s="740"/>
      <c r="AM291" s="740"/>
      <c r="AN291" s="740"/>
      <c r="AO291" s="740"/>
      <c r="AP291" s="740"/>
    </row>
    <row r="292" spans="3:42" ht="15">
      <c r="C292" s="68"/>
      <c r="D292" s="740"/>
      <c r="E292" s="740"/>
      <c r="F292" s="740"/>
      <c r="G292" s="740"/>
      <c r="H292" s="740"/>
      <c r="I292" s="740"/>
      <c r="J292" s="740"/>
      <c r="K292" s="740"/>
      <c r="L292" s="740"/>
      <c r="M292" s="740"/>
      <c r="N292" s="740"/>
      <c r="O292" s="740"/>
      <c r="P292" s="740"/>
      <c r="Q292" s="740"/>
      <c r="R292" s="740"/>
      <c r="S292" s="740"/>
      <c r="T292" s="740"/>
      <c r="U292" s="740"/>
      <c r="V292" s="740"/>
      <c r="W292" s="740"/>
      <c r="X292" s="740"/>
      <c r="Y292" s="740"/>
      <c r="Z292" s="740"/>
      <c r="AA292" s="740"/>
      <c r="AB292" s="740"/>
      <c r="AC292" s="740"/>
      <c r="AD292" s="740"/>
      <c r="AE292" s="740"/>
      <c r="AF292" s="740"/>
      <c r="AG292" s="740"/>
      <c r="AH292" s="740"/>
      <c r="AI292" s="740"/>
      <c r="AJ292" s="740"/>
      <c r="AK292" s="740"/>
      <c r="AL292" s="740"/>
      <c r="AM292" s="740"/>
      <c r="AN292" s="740"/>
      <c r="AO292" s="740"/>
      <c r="AP292" s="740"/>
    </row>
    <row r="293" spans="3:42" ht="15">
      <c r="C293" s="68"/>
      <c r="D293" s="740"/>
      <c r="E293" s="740"/>
      <c r="F293" s="740"/>
      <c r="G293" s="740"/>
      <c r="H293" s="740"/>
      <c r="I293" s="740"/>
      <c r="J293" s="740"/>
      <c r="K293" s="740"/>
      <c r="L293" s="740"/>
      <c r="M293" s="740"/>
      <c r="N293" s="740"/>
      <c r="O293" s="740"/>
      <c r="P293" s="740"/>
      <c r="Q293" s="740"/>
      <c r="R293" s="740"/>
      <c r="S293" s="740"/>
      <c r="T293" s="740"/>
      <c r="U293" s="740"/>
      <c r="V293" s="740"/>
      <c r="W293" s="740"/>
      <c r="X293" s="740"/>
      <c r="Y293" s="740"/>
      <c r="Z293" s="740"/>
      <c r="AA293" s="740"/>
      <c r="AB293" s="740"/>
      <c r="AC293" s="740"/>
      <c r="AD293" s="740"/>
      <c r="AE293" s="740"/>
      <c r="AF293" s="740"/>
      <c r="AG293" s="740"/>
      <c r="AH293" s="740"/>
      <c r="AI293" s="740"/>
      <c r="AJ293" s="740"/>
      <c r="AK293" s="740"/>
      <c r="AL293" s="740"/>
      <c r="AM293" s="740"/>
      <c r="AN293" s="740"/>
      <c r="AO293" s="740"/>
      <c r="AP293" s="740"/>
    </row>
    <row r="294" spans="3:42" ht="15">
      <c r="C294" s="68"/>
      <c r="D294" s="740"/>
      <c r="E294" s="740"/>
      <c r="F294" s="740"/>
      <c r="G294" s="740"/>
      <c r="H294" s="740"/>
      <c r="I294" s="740"/>
      <c r="J294" s="740"/>
      <c r="K294" s="740"/>
      <c r="L294" s="740"/>
      <c r="M294" s="740"/>
      <c r="N294" s="740"/>
      <c r="O294" s="740"/>
      <c r="P294" s="740"/>
      <c r="Q294" s="740"/>
      <c r="R294" s="740"/>
      <c r="S294" s="740"/>
      <c r="T294" s="740"/>
      <c r="U294" s="740"/>
      <c r="V294" s="740"/>
      <c r="W294" s="740"/>
      <c r="X294" s="740"/>
      <c r="Y294" s="740"/>
      <c r="Z294" s="740"/>
      <c r="AA294" s="740"/>
      <c r="AB294" s="740"/>
      <c r="AC294" s="740"/>
      <c r="AD294" s="740"/>
      <c r="AE294" s="740"/>
      <c r="AF294" s="740"/>
      <c r="AG294" s="740"/>
      <c r="AH294" s="740"/>
      <c r="AI294" s="740"/>
      <c r="AJ294" s="740"/>
      <c r="AK294" s="740"/>
      <c r="AL294" s="740"/>
      <c r="AM294" s="740"/>
      <c r="AN294" s="740"/>
      <c r="AO294" s="740"/>
      <c r="AP294" s="740"/>
    </row>
    <row r="295" spans="3:42" ht="15">
      <c r="C295" s="68"/>
      <c r="D295" s="740"/>
      <c r="E295" s="740"/>
      <c r="F295" s="740"/>
      <c r="G295" s="740"/>
      <c r="H295" s="740"/>
      <c r="I295" s="740"/>
      <c r="J295" s="740"/>
      <c r="K295" s="740"/>
      <c r="L295" s="740"/>
      <c r="M295" s="740"/>
      <c r="N295" s="740"/>
      <c r="O295" s="740"/>
      <c r="P295" s="740"/>
      <c r="Q295" s="740"/>
      <c r="R295" s="740"/>
      <c r="S295" s="740"/>
      <c r="T295" s="740"/>
      <c r="U295" s="740"/>
      <c r="V295" s="740"/>
      <c r="W295" s="740"/>
      <c r="X295" s="740"/>
      <c r="Y295" s="740"/>
      <c r="Z295" s="740"/>
      <c r="AA295" s="740"/>
      <c r="AB295" s="740"/>
      <c r="AC295" s="740"/>
      <c r="AD295" s="740"/>
      <c r="AE295" s="740"/>
      <c r="AF295" s="740"/>
      <c r="AG295" s="740"/>
      <c r="AH295" s="740"/>
      <c r="AI295" s="740"/>
      <c r="AJ295" s="740"/>
      <c r="AK295" s="740"/>
      <c r="AL295" s="740"/>
      <c r="AM295" s="740"/>
      <c r="AN295" s="740"/>
      <c r="AO295" s="740"/>
      <c r="AP295" s="740"/>
    </row>
    <row r="296" spans="3:42" ht="15">
      <c r="C296" s="68"/>
      <c r="D296" s="740"/>
      <c r="E296" s="740"/>
      <c r="F296" s="740"/>
      <c r="G296" s="740"/>
      <c r="H296" s="740"/>
      <c r="I296" s="740"/>
      <c r="J296" s="740"/>
      <c r="K296" s="740"/>
      <c r="L296" s="740"/>
      <c r="M296" s="740"/>
      <c r="N296" s="740"/>
      <c r="O296" s="740"/>
      <c r="P296" s="740"/>
      <c r="Q296" s="740"/>
      <c r="R296" s="740"/>
      <c r="S296" s="740"/>
      <c r="T296" s="740"/>
      <c r="U296" s="740"/>
      <c r="V296" s="740"/>
      <c r="W296" s="740"/>
      <c r="X296" s="740"/>
      <c r="Y296" s="740"/>
      <c r="Z296" s="740"/>
      <c r="AA296" s="740"/>
      <c r="AB296" s="740"/>
      <c r="AC296" s="740"/>
      <c r="AD296" s="740"/>
      <c r="AE296" s="740"/>
      <c r="AF296" s="740"/>
      <c r="AG296" s="740"/>
      <c r="AH296" s="740"/>
      <c r="AI296" s="740"/>
      <c r="AJ296" s="740"/>
      <c r="AK296" s="740"/>
      <c r="AL296" s="740"/>
      <c r="AM296" s="740"/>
      <c r="AN296" s="740"/>
      <c r="AO296" s="740"/>
      <c r="AP296" s="740"/>
    </row>
    <row r="297" spans="3:42" ht="15">
      <c r="C297" s="68"/>
      <c r="D297" s="740"/>
      <c r="E297" s="740"/>
      <c r="F297" s="740"/>
      <c r="G297" s="740"/>
      <c r="H297" s="740"/>
      <c r="I297" s="740"/>
      <c r="J297" s="740"/>
      <c r="K297" s="740"/>
      <c r="L297" s="740"/>
      <c r="M297" s="740"/>
      <c r="N297" s="740"/>
      <c r="O297" s="740"/>
      <c r="P297" s="740"/>
      <c r="Q297" s="740"/>
      <c r="R297" s="740"/>
      <c r="S297" s="740"/>
      <c r="T297" s="740"/>
      <c r="U297" s="740"/>
      <c r="V297" s="740"/>
      <c r="W297" s="740"/>
      <c r="X297" s="740"/>
      <c r="Y297" s="740"/>
      <c r="Z297" s="740"/>
      <c r="AA297" s="740"/>
      <c r="AB297" s="740"/>
      <c r="AC297" s="740"/>
      <c r="AD297" s="740"/>
      <c r="AE297" s="740"/>
      <c r="AF297" s="740"/>
      <c r="AG297" s="740"/>
      <c r="AH297" s="740"/>
      <c r="AI297" s="740"/>
      <c r="AJ297" s="740"/>
      <c r="AK297" s="740"/>
      <c r="AL297" s="740"/>
      <c r="AM297" s="740"/>
      <c r="AN297" s="740"/>
      <c r="AO297" s="740"/>
      <c r="AP297" s="740"/>
    </row>
    <row r="298" spans="3:42" ht="15">
      <c r="C298" s="68"/>
      <c r="D298" s="740"/>
      <c r="E298" s="740"/>
      <c r="F298" s="740"/>
      <c r="G298" s="740"/>
      <c r="H298" s="740"/>
      <c r="I298" s="740"/>
      <c r="J298" s="740"/>
      <c r="K298" s="740"/>
      <c r="L298" s="740"/>
      <c r="M298" s="740"/>
      <c r="N298" s="740"/>
      <c r="O298" s="740"/>
      <c r="P298" s="740"/>
      <c r="Q298" s="740"/>
      <c r="R298" s="740"/>
      <c r="S298" s="740"/>
      <c r="T298" s="740"/>
      <c r="U298" s="740"/>
      <c r="V298" s="740"/>
      <c r="W298" s="740"/>
      <c r="X298" s="740"/>
      <c r="Y298" s="740"/>
      <c r="Z298" s="740"/>
      <c r="AA298" s="740"/>
      <c r="AB298" s="740"/>
      <c r="AC298" s="740"/>
      <c r="AD298" s="740"/>
      <c r="AE298" s="740"/>
      <c r="AF298" s="740"/>
      <c r="AG298" s="740"/>
      <c r="AH298" s="740"/>
      <c r="AI298" s="740"/>
      <c r="AJ298" s="740"/>
      <c r="AK298" s="740"/>
      <c r="AL298" s="740"/>
      <c r="AM298" s="740"/>
      <c r="AN298" s="740"/>
      <c r="AO298" s="740"/>
      <c r="AP298" s="740"/>
    </row>
    <row r="299" spans="3:42" ht="15">
      <c r="C299" s="68"/>
      <c r="D299" s="740"/>
      <c r="E299" s="740"/>
      <c r="F299" s="740"/>
      <c r="G299" s="740"/>
      <c r="H299" s="740"/>
      <c r="I299" s="740"/>
      <c r="J299" s="740"/>
      <c r="K299" s="740"/>
      <c r="L299" s="740"/>
      <c r="M299" s="740"/>
      <c r="N299" s="740"/>
      <c r="O299" s="740"/>
      <c r="P299" s="740"/>
      <c r="Q299" s="740"/>
      <c r="R299" s="740"/>
      <c r="S299" s="740"/>
      <c r="T299" s="740"/>
      <c r="U299" s="740"/>
      <c r="V299" s="740"/>
      <c r="W299" s="740"/>
      <c r="X299" s="740"/>
      <c r="Y299" s="740"/>
      <c r="Z299" s="740"/>
      <c r="AA299" s="740"/>
      <c r="AB299" s="740"/>
      <c r="AC299" s="740"/>
      <c r="AD299" s="740"/>
      <c r="AE299" s="740"/>
      <c r="AF299" s="740"/>
      <c r="AG299" s="740"/>
      <c r="AH299" s="740"/>
      <c r="AI299" s="740"/>
      <c r="AJ299" s="740"/>
      <c r="AK299" s="740"/>
      <c r="AL299" s="740"/>
      <c r="AM299" s="740"/>
      <c r="AN299" s="740"/>
      <c r="AO299" s="740"/>
      <c r="AP299" s="740"/>
    </row>
    <row r="300" spans="3:42" ht="15">
      <c r="C300" s="68"/>
      <c r="D300" s="740"/>
      <c r="E300" s="740"/>
      <c r="F300" s="740"/>
      <c r="G300" s="740"/>
      <c r="H300" s="740"/>
      <c r="I300" s="740"/>
      <c r="J300" s="740"/>
      <c r="K300" s="740"/>
      <c r="L300" s="740"/>
      <c r="M300" s="740"/>
      <c r="N300" s="740"/>
      <c r="O300" s="740"/>
      <c r="P300" s="740"/>
      <c r="Q300" s="740"/>
      <c r="R300" s="740"/>
      <c r="S300" s="740"/>
      <c r="T300" s="740"/>
      <c r="U300" s="740"/>
      <c r="V300" s="740"/>
      <c r="W300" s="740"/>
      <c r="X300" s="740"/>
      <c r="Y300" s="740"/>
      <c r="Z300" s="740"/>
      <c r="AA300" s="740"/>
      <c r="AB300" s="740"/>
      <c r="AC300" s="740"/>
      <c r="AD300" s="740"/>
      <c r="AE300" s="740"/>
      <c r="AF300" s="740"/>
      <c r="AG300" s="740"/>
      <c r="AH300" s="740"/>
      <c r="AI300" s="740"/>
      <c r="AJ300" s="740"/>
      <c r="AK300" s="740"/>
      <c r="AL300" s="740"/>
      <c r="AM300" s="740"/>
      <c r="AN300" s="740"/>
      <c r="AO300" s="740"/>
      <c r="AP300" s="740"/>
    </row>
    <row r="301" spans="3:42" ht="15">
      <c r="C301" s="68"/>
      <c r="D301" s="740"/>
      <c r="E301" s="740"/>
      <c r="F301" s="740"/>
      <c r="G301" s="740"/>
      <c r="H301" s="740"/>
      <c r="I301" s="740"/>
      <c r="J301" s="740"/>
      <c r="K301" s="740"/>
      <c r="L301" s="740"/>
      <c r="M301" s="740"/>
      <c r="N301" s="740"/>
      <c r="O301" s="740"/>
      <c r="P301" s="740"/>
      <c r="Q301" s="740"/>
      <c r="R301" s="740"/>
      <c r="S301" s="740"/>
      <c r="T301" s="740"/>
      <c r="U301" s="740"/>
      <c r="V301" s="740"/>
      <c r="W301" s="740"/>
      <c r="X301" s="740"/>
      <c r="Y301" s="740"/>
      <c r="Z301" s="740"/>
      <c r="AA301" s="740"/>
      <c r="AB301" s="740"/>
      <c r="AC301" s="740"/>
      <c r="AD301" s="740"/>
      <c r="AE301" s="740"/>
      <c r="AF301" s="740"/>
      <c r="AG301" s="740"/>
      <c r="AH301" s="740"/>
      <c r="AI301" s="740"/>
      <c r="AJ301" s="740"/>
      <c r="AK301" s="740"/>
      <c r="AL301" s="740"/>
      <c r="AM301" s="740"/>
      <c r="AN301" s="740"/>
      <c r="AO301" s="740"/>
      <c r="AP301" s="740"/>
    </row>
    <row r="302" spans="3:42" ht="15">
      <c r="C302" s="68"/>
      <c r="D302" s="740"/>
      <c r="E302" s="740"/>
      <c r="F302" s="740"/>
      <c r="G302" s="740"/>
      <c r="H302" s="740"/>
      <c r="I302" s="740"/>
      <c r="J302" s="740"/>
      <c r="K302" s="740"/>
      <c r="L302" s="740"/>
      <c r="M302" s="740"/>
      <c r="N302" s="740"/>
      <c r="O302" s="740"/>
      <c r="P302" s="740"/>
      <c r="Q302" s="740"/>
      <c r="R302" s="740"/>
      <c r="S302" s="740"/>
      <c r="T302" s="740"/>
      <c r="U302" s="740"/>
      <c r="V302" s="740"/>
      <c r="W302" s="740"/>
      <c r="X302" s="740"/>
      <c r="Y302" s="740"/>
      <c r="Z302" s="740"/>
      <c r="AA302" s="740"/>
      <c r="AB302" s="740"/>
      <c r="AC302" s="740"/>
      <c r="AD302" s="740"/>
      <c r="AE302" s="740"/>
      <c r="AF302" s="740"/>
      <c r="AG302" s="740"/>
      <c r="AH302" s="740"/>
      <c r="AI302" s="740"/>
      <c r="AJ302" s="740"/>
      <c r="AK302" s="740"/>
      <c r="AL302" s="740"/>
      <c r="AM302" s="740"/>
      <c r="AN302" s="740"/>
      <c r="AO302" s="740"/>
      <c r="AP302" s="740"/>
    </row>
    <row r="303" spans="3:42" ht="15">
      <c r="C303" s="68"/>
      <c r="D303" s="740"/>
      <c r="E303" s="740"/>
      <c r="F303" s="740"/>
      <c r="G303" s="740"/>
      <c r="H303" s="740"/>
      <c r="I303" s="740"/>
      <c r="J303" s="740"/>
      <c r="K303" s="740"/>
      <c r="L303" s="740"/>
      <c r="M303" s="740"/>
      <c r="N303" s="740"/>
      <c r="O303" s="740"/>
      <c r="P303" s="740"/>
      <c r="Q303" s="740"/>
      <c r="R303" s="740"/>
      <c r="S303" s="740"/>
      <c r="T303" s="740"/>
      <c r="U303" s="740"/>
      <c r="V303" s="740"/>
      <c r="W303" s="740"/>
      <c r="X303" s="740"/>
      <c r="Y303" s="740"/>
      <c r="Z303" s="740"/>
      <c r="AA303" s="740"/>
      <c r="AB303" s="740"/>
      <c r="AC303" s="740"/>
      <c r="AD303" s="740"/>
      <c r="AE303" s="740"/>
      <c r="AF303" s="740"/>
      <c r="AG303" s="740"/>
      <c r="AH303" s="740"/>
      <c r="AI303" s="740"/>
      <c r="AJ303" s="740"/>
      <c r="AK303" s="740"/>
      <c r="AL303" s="740"/>
      <c r="AM303" s="740"/>
      <c r="AN303" s="740"/>
      <c r="AO303" s="740"/>
      <c r="AP303" s="740"/>
    </row>
    <row r="304" spans="3:42" ht="15">
      <c r="C304" s="68"/>
      <c r="D304" s="740"/>
      <c r="E304" s="740"/>
      <c r="F304" s="740"/>
      <c r="G304" s="740"/>
      <c r="H304" s="740"/>
      <c r="I304" s="740"/>
      <c r="J304" s="740"/>
      <c r="K304" s="740"/>
      <c r="L304" s="740"/>
      <c r="M304" s="740"/>
      <c r="N304" s="740"/>
      <c r="O304" s="740"/>
      <c r="P304" s="740"/>
      <c r="Q304" s="740"/>
      <c r="R304" s="740"/>
      <c r="S304" s="740"/>
      <c r="T304" s="740"/>
      <c r="U304" s="740"/>
      <c r="V304" s="740"/>
      <c r="W304" s="740"/>
      <c r="X304" s="740"/>
      <c r="Y304" s="740"/>
      <c r="Z304" s="740"/>
      <c r="AA304" s="740"/>
      <c r="AB304" s="740"/>
      <c r="AC304" s="740"/>
      <c r="AD304" s="740"/>
      <c r="AE304" s="740"/>
      <c r="AF304" s="740"/>
      <c r="AG304" s="740"/>
      <c r="AH304" s="740"/>
      <c r="AI304" s="740"/>
      <c r="AJ304" s="740"/>
      <c r="AK304" s="740"/>
      <c r="AL304" s="740"/>
      <c r="AM304" s="740"/>
      <c r="AN304" s="740"/>
      <c r="AO304" s="740"/>
      <c r="AP304" s="740"/>
    </row>
    <row r="305" spans="3:42" ht="15">
      <c r="C305" s="68"/>
      <c r="D305" s="740"/>
      <c r="E305" s="740"/>
      <c r="F305" s="740"/>
      <c r="G305" s="740"/>
      <c r="H305" s="740"/>
      <c r="I305" s="740"/>
      <c r="J305" s="740"/>
      <c r="K305" s="740"/>
      <c r="L305" s="740"/>
      <c r="M305" s="740"/>
      <c r="N305" s="740"/>
      <c r="O305" s="740"/>
      <c r="P305" s="740"/>
      <c r="Q305" s="740"/>
      <c r="R305" s="740"/>
      <c r="S305" s="740"/>
      <c r="T305" s="740"/>
      <c r="U305" s="740"/>
      <c r="V305" s="740"/>
      <c r="W305" s="740"/>
      <c r="X305" s="740"/>
      <c r="Y305" s="740"/>
      <c r="Z305" s="740"/>
      <c r="AA305" s="740"/>
      <c r="AB305" s="740"/>
      <c r="AC305" s="740"/>
      <c r="AD305" s="740"/>
      <c r="AE305" s="740"/>
      <c r="AF305" s="740"/>
      <c r="AG305" s="740"/>
      <c r="AH305" s="740"/>
      <c r="AI305" s="740"/>
      <c r="AJ305" s="740"/>
      <c r="AK305" s="740"/>
      <c r="AL305" s="740"/>
      <c r="AM305" s="740"/>
      <c r="AN305" s="740"/>
      <c r="AO305" s="740"/>
      <c r="AP305" s="740"/>
    </row>
    <row r="306" spans="3:42" ht="15">
      <c r="C306" s="68"/>
      <c r="D306" s="740"/>
      <c r="E306" s="740"/>
      <c r="F306" s="740"/>
      <c r="G306" s="740"/>
      <c r="H306" s="740"/>
      <c r="I306" s="740"/>
      <c r="J306" s="740"/>
      <c r="K306" s="740"/>
      <c r="L306" s="740"/>
      <c r="M306" s="740"/>
      <c r="N306" s="740"/>
      <c r="O306" s="740"/>
      <c r="P306" s="740"/>
      <c r="Q306" s="740"/>
      <c r="R306" s="740"/>
      <c r="S306" s="740"/>
      <c r="T306" s="740"/>
      <c r="U306" s="740"/>
      <c r="V306" s="740"/>
      <c r="W306" s="740"/>
      <c r="X306" s="740"/>
      <c r="Y306" s="740"/>
      <c r="Z306" s="740"/>
      <c r="AA306" s="740"/>
      <c r="AB306" s="740"/>
      <c r="AC306" s="740"/>
      <c r="AD306" s="740"/>
      <c r="AE306" s="740"/>
      <c r="AF306" s="740"/>
      <c r="AG306" s="740"/>
      <c r="AH306" s="740"/>
      <c r="AI306" s="740"/>
      <c r="AJ306" s="740"/>
      <c r="AK306" s="740"/>
      <c r="AL306" s="740"/>
      <c r="AM306" s="740"/>
      <c r="AN306" s="740"/>
      <c r="AO306" s="740"/>
      <c r="AP306" s="740"/>
    </row>
    <row r="307" spans="3:42" ht="15">
      <c r="C307" s="68"/>
      <c r="D307" s="740"/>
      <c r="E307" s="740"/>
      <c r="F307" s="740"/>
      <c r="G307" s="740"/>
      <c r="H307" s="740"/>
      <c r="I307" s="740"/>
      <c r="J307" s="740"/>
      <c r="K307" s="740"/>
      <c r="L307" s="740"/>
      <c r="M307" s="740"/>
      <c r="N307" s="740"/>
      <c r="O307" s="740"/>
      <c r="P307" s="740"/>
      <c r="Q307" s="740"/>
      <c r="R307" s="740"/>
      <c r="S307" s="740"/>
      <c r="T307" s="740"/>
      <c r="U307" s="740"/>
      <c r="V307" s="740"/>
      <c r="W307" s="740"/>
      <c r="X307" s="740"/>
      <c r="Y307" s="740"/>
      <c r="Z307" s="740"/>
      <c r="AA307" s="740"/>
      <c r="AB307" s="740"/>
      <c r="AC307" s="740"/>
      <c r="AD307" s="740"/>
      <c r="AE307" s="740"/>
      <c r="AF307" s="740"/>
      <c r="AG307" s="740"/>
      <c r="AH307" s="740"/>
      <c r="AI307" s="740"/>
      <c r="AJ307" s="740"/>
      <c r="AK307" s="740"/>
      <c r="AL307" s="740"/>
      <c r="AM307" s="740"/>
      <c r="AN307" s="740"/>
      <c r="AO307" s="740"/>
      <c r="AP307" s="740"/>
    </row>
    <row r="308" spans="3:42" ht="15">
      <c r="C308" s="68"/>
      <c r="D308" s="740"/>
      <c r="E308" s="740"/>
      <c r="F308" s="740"/>
      <c r="G308" s="740"/>
      <c r="H308" s="740"/>
      <c r="I308" s="740"/>
      <c r="J308" s="740"/>
      <c r="K308" s="740"/>
      <c r="L308" s="740"/>
      <c r="M308" s="740"/>
      <c r="N308" s="740"/>
      <c r="O308" s="740"/>
      <c r="P308" s="740"/>
      <c r="Q308" s="740"/>
      <c r="R308" s="740"/>
      <c r="S308" s="740"/>
      <c r="T308" s="740"/>
      <c r="U308" s="740"/>
      <c r="V308" s="740"/>
      <c r="W308" s="740"/>
      <c r="X308" s="740"/>
      <c r="Y308" s="740"/>
      <c r="Z308" s="740"/>
      <c r="AA308" s="740"/>
      <c r="AB308" s="740"/>
      <c r="AC308" s="740"/>
      <c r="AD308" s="740"/>
      <c r="AE308" s="740"/>
      <c r="AF308" s="740"/>
      <c r="AG308" s="740"/>
      <c r="AH308" s="740"/>
      <c r="AI308" s="740"/>
      <c r="AJ308" s="740"/>
      <c r="AK308" s="740"/>
      <c r="AL308" s="740"/>
      <c r="AM308" s="740"/>
      <c r="AN308" s="740"/>
      <c r="AO308" s="740"/>
      <c r="AP308" s="740"/>
    </row>
    <row r="309" spans="3:42" ht="15">
      <c r="C309" s="68"/>
      <c r="D309" s="740"/>
      <c r="E309" s="740"/>
      <c r="F309" s="740"/>
      <c r="G309" s="740"/>
      <c r="H309" s="740"/>
      <c r="I309" s="740"/>
      <c r="J309" s="740"/>
      <c r="K309" s="740"/>
      <c r="L309" s="740"/>
      <c r="M309" s="740"/>
      <c r="N309" s="740"/>
      <c r="O309" s="740"/>
      <c r="P309" s="740"/>
      <c r="Q309" s="740"/>
      <c r="R309" s="740"/>
      <c r="S309" s="740"/>
      <c r="T309" s="740"/>
      <c r="U309" s="740"/>
      <c r="V309" s="740"/>
      <c r="W309" s="740"/>
      <c r="X309" s="740"/>
      <c r="Y309" s="740"/>
      <c r="Z309" s="740"/>
      <c r="AA309" s="740"/>
      <c r="AB309" s="740"/>
      <c r="AC309" s="740"/>
      <c r="AD309" s="740"/>
      <c r="AE309" s="740"/>
      <c r="AF309" s="740"/>
      <c r="AG309" s="740"/>
      <c r="AH309" s="740"/>
      <c r="AI309" s="740"/>
      <c r="AJ309" s="740"/>
      <c r="AK309" s="740"/>
      <c r="AL309" s="740"/>
      <c r="AM309" s="740"/>
      <c r="AN309" s="740"/>
      <c r="AO309" s="740"/>
      <c r="AP309" s="740"/>
    </row>
    <row r="310" spans="3:42" ht="15">
      <c r="C310" s="68"/>
      <c r="D310" s="740"/>
      <c r="E310" s="740"/>
      <c r="F310" s="740"/>
      <c r="G310" s="740"/>
      <c r="H310" s="740"/>
      <c r="I310" s="740"/>
      <c r="J310" s="740"/>
      <c r="K310" s="740"/>
      <c r="L310" s="740"/>
      <c r="M310" s="740"/>
      <c r="N310" s="740"/>
      <c r="O310" s="740"/>
      <c r="P310" s="740"/>
      <c r="Q310" s="740"/>
      <c r="R310" s="740"/>
      <c r="S310" s="740"/>
      <c r="T310" s="740"/>
      <c r="U310" s="740"/>
      <c r="V310" s="740"/>
      <c r="W310" s="740"/>
      <c r="X310" s="740"/>
      <c r="Y310" s="740"/>
      <c r="Z310" s="740"/>
      <c r="AA310" s="740"/>
      <c r="AB310" s="740"/>
      <c r="AC310" s="740"/>
      <c r="AD310" s="740"/>
      <c r="AE310" s="740"/>
      <c r="AF310" s="740"/>
      <c r="AG310" s="740"/>
      <c r="AH310" s="740"/>
      <c r="AI310" s="740"/>
      <c r="AJ310" s="740"/>
      <c r="AK310" s="740"/>
      <c r="AL310" s="740"/>
      <c r="AM310" s="740"/>
      <c r="AN310" s="740"/>
      <c r="AO310" s="740"/>
      <c r="AP310" s="740"/>
    </row>
    <row r="311" spans="3:42" ht="15">
      <c r="C311" s="68"/>
      <c r="D311" s="740"/>
      <c r="E311" s="740"/>
      <c r="F311" s="740"/>
      <c r="G311" s="740"/>
      <c r="H311" s="740"/>
      <c r="I311" s="740"/>
      <c r="J311" s="740"/>
      <c r="K311" s="740"/>
      <c r="L311" s="740"/>
      <c r="M311" s="740"/>
      <c r="N311" s="740"/>
      <c r="O311" s="740"/>
      <c r="P311" s="740"/>
      <c r="Q311" s="740"/>
      <c r="R311" s="740"/>
      <c r="S311" s="740"/>
      <c r="T311" s="740"/>
      <c r="U311" s="740"/>
      <c r="V311" s="740"/>
      <c r="W311" s="740"/>
      <c r="X311" s="740"/>
      <c r="Y311" s="740"/>
      <c r="Z311" s="740"/>
      <c r="AA311" s="740"/>
      <c r="AB311" s="740"/>
      <c r="AC311" s="740"/>
      <c r="AD311" s="740"/>
      <c r="AE311" s="740"/>
      <c r="AF311" s="740"/>
      <c r="AG311" s="740"/>
      <c r="AH311" s="740"/>
      <c r="AI311" s="740"/>
      <c r="AJ311" s="740"/>
      <c r="AK311" s="740"/>
      <c r="AL311" s="740"/>
      <c r="AM311" s="740"/>
      <c r="AN311" s="740"/>
      <c r="AO311" s="740"/>
      <c r="AP311" s="740"/>
    </row>
    <row r="312" spans="3:42" ht="15">
      <c r="C312" s="68"/>
      <c r="D312" s="740"/>
      <c r="E312" s="740"/>
      <c r="F312" s="740"/>
      <c r="G312" s="740"/>
      <c r="H312" s="740"/>
      <c r="I312" s="740"/>
      <c r="J312" s="740"/>
      <c r="K312" s="740"/>
      <c r="L312" s="740"/>
      <c r="M312" s="740"/>
      <c r="N312" s="740"/>
      <c r="O312" s="740"/>
      <c r="P312" s="740"/>
      <c r="Q312" s="740"/>
      <c r="R312" s="740"/>
      <c r="S312" s="740"/>
      <c r="T312" s="740"/>
      <c r="U312" s="740"/>
      <c r="V312" s="740"/>
      <c r="W312" s="740"/>
      <c r="X312" s="740"/>
      <c r="Y312" s="740"/>
      <c r="Z312" s="740"/>
      <c r="AA312" s="740"/>
      <c r="AB312" s="740"/>
      <c r="AC312" s="740"/>
      <c r="AD312" s="740"/>
      <c r="AE312" s="740"/>
      <c r="AF312" s="740"/>
      <c r="AG312" s="740"/>
      <c r="AH312" s="740"/>
      <c r="AI312" s="740"/>
      <c r="AJ312" s="740"/>
      <c r="AK312" s="740"/>
      <c r="AL312" s="740"/>
      <c r="AM312" s="740"/>
      <c r="AN312" s="740"/>
      <c r="AO312" s="740"/>
      <c r="AP312" s="740"/>
    </row>
    <row r="313" spans="3:42" ht="15">
      <c r="C313" s="68"/>
      <c r="D313" s="740"/>
      <c r="E313" s="740"/>
      <c r="F313" s="740"/>
      <c r="G313" s="740"/>
      <c r="H313" s="740"/>
      <c r="I313" s="740"/>
      <c r="J313" s="740"/>
      <c r="K313" s="740"/>
      <c r="L313" s="740"/>
      <c r="M313" s="740"/>
      <c r="N313" s="740"/>
      <c r="O313" s="740"/>
      <c r="P313" s="740"/>
      <c r="Q313" s="740"/>
      <c r="R313" s="740"/>
      <c r="S313" s="740"/>
      <c r="T313" s="740"/>
      <c r="U313" s="740"/>
      <c r="V313" s="740"/>
      <c r="W313" s="740"/>
      <c r="X313" s="740"/>
      <c r="Y313" s="740"/>
      <c r="Z313" s="740"/>
      <c r="AA313" s="740"/>
      <c r="AB313" s="740"/>
      <c r="AC313" s="740"/>
      <c r="AD313" s="740"/>
      <c r="AE313" s="740"/>
      <c r="AF313" s="740"/>
      <c r="AG313" s="740"/>
      <c r="AH313" s="740"/>
      <c r="AI313" s="740"/>
      <c r="AJ313" s="740"/>
      <c r="AK313" s="740"/>
      <c r="AL313" s="740"/>
      <c r="AM313" s="740"/>
      <c r="AN313" s="740"/>
      <c r="AO313" s="740"/>
      <c r="AP313" s="740"/>
    </row>
    <row r="314" spans="3:42" ht="15">
      <c r="C314" s="68"/>
      <c r="D314" s="740"/>
      <c r="E314" s="740"/>
      <c r="F314" s="740"/>
      <c r="G314" s="740"/>
      <c r="H314" s="740"/>
      <c r="I314" s="740"/>
      <c r="J314" s="740"/>
      <c r="K314" s="740"/>
      <c r="L314" s="740"/>
      <c r="M314" s="740"/>
      <c r="N314" s="740"/>
      <c r="O314" s="740"/>
      <c r="P314" s="740"/>
      <c r="Q314" s="740"/>
      <c r="R314" s="740"/>
      <c r="S314" s="740"/>
      <c r="T314" s="740"/>
      <c r="U314" s="740"/>
      <c r="V314" s="740"/>
      <c r="W314" s="740"/>
      <c r="X314" s="740"/>
      <c r="Y314" s="740"/>
      <c r="Z314" s="740"/>
      <c r="AA314" s="740"/>
      <c r="AB314" s="740"/>
      <c r="AC314" s="740"/>
      <c r="AD314" s="740"/>
      <c r="AE314" s="740"/>
      <c r="AF314" s="740"/>
      <c r="AG314" s="740"/>
      <c r="AH314" s="740"/>
      <c r="AI314" s="740"/>
      <c r="AJ314" s="740"/>
      <c r="AK314" s="740"/>
      <c r="AL314" s="740"/>
      <c r="AM314" s="740"/>
      <c r="AN314" s="740"/>
      <c r="AO314" s="740"/>
      <c r="AP314" s="740"/>
    </row>
    <row r="315" spans="3:42" ht="15">
      <c r="C315" s="68"/>
      <c r="D315" s="740"/>
      <c r="E315" s="740"/>
      <c r="F315" s="740"/>
      <c r="G315" s="740"/>
      <c r="H315" s="740"/>
      <c r="I315" s="740"/>
      <c r="J315" s="740"/>
      <c r="K315" s="740"/>
      <c r="L315" s="740"/>
      <c r="M315" s="740"/>
      <c r="N315" s="740"/>
      <c r="O315" s="740"/>
      <c r="P315" s="740"/>
      <c r="Q315" s="740"/>
      <c r="R315" s="740"/>
      <c r="S315" s="740"/>
      <c r="T315" s="740"/>
      <c r="U315" s="740"/>
      <c r="V315" s="740"/>
      <c r="W315" s="740"/>
      <c r="X315" s="740"/>
      <c r="Y315" s="740"/>
      <c r="Z315" s="740"/>
      <c r="AA315" s="740"/>
      <c r="AB315" s="740"/>
      <c r="AC315" s="740"/>
      <c r="AD315" s="740"/>
      <c r="AE315" s="740"/>
      <c r="AF315" s="740"/>
      <c r="AG315" s="740"/>
      <c r="AH315" s="740"/>
      <c r="AI315" s="740"/>
      <c r="AJ315" s="740"/>
      <c r="AK315" s="740"/>
      <c r="AL315" s="740"/>
      <c r="AM315" s="740"/>
      <c r="AN315" s="740"/>
      <c r="AO315" s="740"/>
      <c r="AP315" s="740"/>
    </row>
    <row r="316" spans="3:42" ht="15">
      <c r="C316" s="68"/>
      <c r="D316" s="740"/>
      <c r="E316" s="740"/>
      <c r="F316" s="740"/>
      <c r="G316" s="740"/>
      <c r="H316" s="740"/>
      <c r="I316" s="740"/>
      <c r="J316" s="740"/>
      <c r="K316" s="740"/>
      <c r="L316" s="740"/>
      <c r="M316" s="740"/>
      <c r="N316" s="740"/>
      <c r="O316" s="740"/>
      <c r="P316" s="740"/>
      <c r="Q316" s="740"/>
      <c r="R316" s="740"/>
      <c r="S316" s="740"/>
      <c r="T316" s="740"/>
      <c r="U316" s="740"/>
      <c r="V316" s="740"/>
      <c r="W316" s="740"/>
      <c r="X316" s="740"/>
      <c r="Y316" s="740"/>
      <c r="Z316" s="740"/>
      <c r="AA316" s="740"/>
      <c r="AB316" s="740"/>
      <c r="AC316" s="740"/>
      <c r="AD316" s="740"/>
      <c r="AE316" s="740"/>
      <c r="AF316" s="740"/>
      <c r="AG316" s="740"/>
      <c r="AH316" s="740"/>
      <c r="AI316" s="740"/>
      <c r="AJ316" s="740"/>
      <c r="AK316" s="740"/>
      <c r="AL316" s="740"/>
      <c r="AM316" s="740"/>
      <c r="AN316" s="740"/>
      <c r="AO316" s="740"/>
      <c r="AP316" s="740"/>
    </row>
    <row r="317" spans="3:42" ht="15">
      <c r="C317" s="68"/>
      <c r="D317" s="740"/>
      <c r="E317" s="740"/>
      <c r="F317" s="740"/>
      <c r="G317" s="740"/>
      <c r="H317" s="740"/>
      <c r="I317" s="740"/>
      <c r="J317" s="740"/>
      <c r="K317" s="740"/>
      <c r="L317" s="740"/>
      <c r="M317" s="740"/>
      <c r="N317" s="740"/>
      <c r="O317" s="740"/>
      <c r="P317" s="740"/>
      <c r="Q317" s="740"/>
      <c r="R317" s="740"/>
      <c r="S317" s="740"/>
      <c r="T317" s="740"/>
      <c r="U317" s="740"/>
      <c r="V317" s="740"/>
      <c r="W317" s="740"/>
      <c r="X317" s="740"/>
      <c r="Y317" s="740"/>
      <c r="Z317" s="740"/>
      <c r="AA317" s="740"/>
      <c r="AB317" s="740"/>
      <c r="AC317" s="740"/>
      <c r="AD317" s="740"/>
      <c r="AE317" s="740"/>
      <c r="AF317" s="740"/>
      <c r="AG317" s="740"/>
      <c r="AH317" s="740"/>
      <c r="AI317" s="740"/>
      <c r="AJ317" s="740"/>
      <c r="AK317" s="740"/>
      <c r="AL317" s="740"/>
      <c r="AM317" s="740"/>
      <c r="AN317" s="740"/>
      <c r="AO317" s="740"/>
      <c r="AP317" s="740"/>
    </row>
    <row r="318" spans="3:42" ht="15">
      <c r="C318" s="68"/>
      <c r="D318" s="740"/>
      <c r="E318" s="740"/>
      <c r="F318" s="740"/>
      <c r="G318" s="740"/>
      <c r="H318" s="740"/>
      <c r="I318" s="740"/>
      <c r="J318" s="740"/>
      <c r="K318" s="740"/>
      <c r="L318" s="740"/>
      <c r="M318" s="740"/>
      <c r="N318" s="740"/>
      <c r="O318" s="740"/>
      <c r="P318" s="740"/>
      <c r="Q318" s="740"/>
      <c r="R318" s="740"/>
      <c r="S318" s="740"/>
      <c r="T318" s="740"/>
      <c r="U318" s="740"/>
      <c r="V318" s="740"/>
      <c r="W318" s="740"/>
      <c r="X318" s="740"/>
      <c r="Y318" s="740"/>
      <c r="Z318" s="740"/>
      <c r="AA318" s="740"/>
      <c r="AB318" s="740"/>
      <c r="AC318" s="740"/>
      <c r="AD318" s="740"/>
      <c r="AE318" s="740"/>
      <c r="AF318" s="740"/>
      <c r="AG318" s="740"/>
      <c r="AH318" s="740"/>
      <c r="AI318" s="740"/>
      <c r="AJ318" s="740"/>
      <c r="AK318" s="740"/>
      <c r="AL318" s="740"/>
      <c r="AM318" s="740"/>
      <c r="AN318" s="740"/>
      <c r="AO318" s="740"/>
      <c r="AP318" s="740"/>
    </row>
    <row r="319" spans="3:42" ht="15">
      <c r="C319" s="68"/>
      <c r="D319" s="740"/>
      <c r="E319" s="740"/>
      <c r="F319" s="740"/>
      <c r="G319" s="740"/>
      <c r="H319" s="740"/>
      <c r="I319" s="740"/>
      <c r="J319" s="740"/>
      <c r="K319" s="740"/>
      <c r="L319" s="740"/>
      <c r="M319" s="740"/>
      <c r="N319" s="740"/>
      <c r="O319" s="740"/>
      <c r="P319" s="740"/>
      <c r="Q319" s="740"/>
      <c r="R319" s="740"/>
      <c r="S319" s="740"/>
      <c r="T319" s="740"/>
      <c r="U319" s="740"/>
      <c r="V319" s="740"/>
      <c r="W319" s="740"/>
      <c r="X319" s="740"/>
      <c r="Y319" s="740"/>
      <c r="Z319" s="740"/>
      <c r="AA319" s="740"/>
      <c r="AB319" s="740"/>
      <c r="AC319" s="740"/>
      <c r="AD319" s="740"/>
      <c r="AE319" s="740"/>
      <c r="AF319" s="740"/>
      <c r="AG319" s="740"/>
      <c r="AH319" s="740"/>
      <c r="AI319" s="740"/>
      <c r="AJ319" s="740"/>
      <c r="AK319" s="740"/>
      <c r="AL319" s="740"/>
      <c r="AM319" s="740"/>
      <c r="AN319" s="740"/>
      <c r="AO319" s="740"/>
      <c r="AP319" s="740"/>
    </row>
    <row r="320" spans="3:42" ht="15">
      <c r="C320" s="68"/>
      <c r="D320" s="740"/>
      <c r="E320" s="740"/>
      <c r="F320" s="740"/>
      <c r="G320" s="740"/>
      <c r="H320" s="740"/>
      <c r="I320" s="740"/>
      <c r="J320" s="740"/>
      <c r="K320" s="740"/>
      <c r="L320" s="740"/>
      <c r="M320" s="740"/>
      <c r="N320" s="740"/>
      <c r="O320" s="740"/>
      <c r="P320" s="740"/>
      <c r="Q320" s="740"/>
      <c r="R320" s="740"/>
      <c r="S320" s="740"/>
      <c r="T320" s="740"/>
      <c r="U320" s="740"/>
      <c r="V320" s="740"/>
      <c r="W320" s="740"/>
      <c r="X320" s="740"/>
      <c r="Y320" s="740"/>
      <c r="Z320" s="740"/>
      <c r="AA320" s="740"/>
      <c r="AB320" s="740"/>
      <c r="AC320" s="740"/>
      <c r="AD320" s="740"/>
      <c r="AE320" s="740"/>
      <c r="AF320" s="740"/>
      <c r="AG320" s="740"/>
      <c r="AH320" s="740"/>
      <c r="AI320" s="740"/>
      <c r="AJ320" s="740"/>
      <c r="AK320" s="740"/>
      <c r="AL320" s="740"/>
      <c r="AM320" s="740"/>
      <c r="AN320" s="740"/>
      <c r="AO320" s="740"/>
      <c r="AP320" s="740"/>
    </row>
    <row r="321" spans="3:42" ht="15">
      <c r="C321" s="68"/>
      <c r="D321" s="740"/>
      <c r="E321" s="740"/>
      <c r="F321" s="740"/>
      <c r="G321" s="740"/>
      <c r="H321" s="740"/>
      <c r="I321" s="740"/>
      <c r="J321" s="740"/>
      <c r="K321" s="740"/>
      <c r="L321" s="740"/>
      <c r="M321" s="740"/>
      <c r="N321" s="740"/>
      <c r="O321" s="740"/>
      <c r="P321" s="740"/>
      <c r="Q321" s="740"/>
      <c r="R321" s="740"/>
      <c r="S321" s="740"/>
      <c r="T321" s="740"/>
      <c r="U321" s="740"/>
      <c r="V321" s="740"/>
      <c r="W321" s="740"/>
      <c r="X321" s="740"/>
      <c r="Y321" s="740"/>
      <c r="Z321" s="740"/>
      <c r="AA321" s="740"/>
      <c r="AB321" s="740"/>
      <c r="AC321" s="740"/>
      <c r="AD321" s="740"/>
      <c r="AE321" s="740"/>
      <c r="AF321" s="740"/>
      <c r="AG321" s="740"/>
      <c r="AH321" s="740"/>
      <c r="AI321" s="740"/>
      <c r="AJ321" s="740"/>
      <c r="AK321" s="740"/>
      <c r="AL321" s="740"/>
      <c r="AM321" s="740"/>
      <c r="AN321" s="740"/>
      <c r="AO321" s="740"/>
      <c r="AP321" s="740"/>
    </row>
    <row r="322" spans="3:42" ht="15">
      <c r="C322" s="68"/>
      <c r="D322" s="740"/>
      <c r="E322" s="740"/>
      <c r="F322" s="740"/>
      <c r="G322" s="740"/>
      <c r="H322" s="740"/>
      <c r="I322" s="740"/>
      <c r="J322" s="740"/>
      <c r="K322" s="740"/>
      <c r="L322" s="740"/>
      <c r="M322" s="740"/>
      <c r="N322" s="740"/>
      <c r="O322" s="740"/>
      <c r="P322" s="740"/>
      <c r="Q322" s="740"/>
      <c r="R322" s="740"/>
      <c r="S322" s="740"/>
      <c r="T322" s="740"/>
      <c r="U322" s="740"/>
      <c r="V322" s="740"/>
      <c r="W322" s="740"/>
      <c r="X322" s="740"/>
      <c r="Y322" s="740"/>
      <c r="Z322" s="740"/>
      <c r="AA322" s="740"/>
      <c r="AB322" s="740"/>
      <c r="AC322" s="740"/>
      <c r="AD322" s="740"/>
      <c r="AE322" s="740"/>
      <c r="AF322" s="740"/>
      <c r="AG322" s="740"/>
      <c r="AH322" s="740"/>
      <c r="AI322" s="740"/>
      <c r="AJ322" s="740"/>
      <c r="AK322" s="740"/>
      <c r="AL322" s="740"/>
      <c r="AM322" s="740"/>
      <c r="AN322" s="740"/>
      <c r="AO322" s="740"/>
      <c r="AP322" s="740"/>
    </row>
    <row r="323" spans="3:42" ht="15">
      <c r="C323" s="68"/>
      <c r="D323" s="740"/>
      <c r="E323" s="740"/>
      <c r="F323" s="740"/>
      <c r="G323" s="740"/>
      <c r="H323" s="740"/>
      <c r="I323" s="740"/>
      <c r="J323" s="740"/>
      <c r="K323" s="740"/>
      <c r="L323" s="740"/>
      <c r="M323" s="740"/>
      <c r="N323" s="740"/>
      <c r="O323" s="740"/>
      <c r="P323" s="740"/>
      <c r="Q323" s="740"/>
      <c r="R323" s="740"/>
      <c r="S323" s="740"/>
      <c r="T323" s="740"/>
      <c r="U323" s="740"/>
      <c r="V323" s="740"/>
      <c r="W323" s="740"/>
      <c r="X323" s="740"/>
      <c r="Y323" s="740"/>
      <c r="Z323" s="740"/>
      <c r="AA323" s="740"/>
      <c r="AB323" s="740"/>
      <c r="AC323" s="740"/>
      <c r="AD323" s="740"/>
      <c r="AE323" s="740"/>
      <c r="AF323" s="740"/>
      <c r="AG323" s="740"/>
      <c r="AH323" s="740"/>
      <c r="AI323" s="740"/>
      <c r="AJ323" s="740"/>
      <c r="AK323" s="740"/>
      <c r="AL323" s="740"/>
      <c r="AM323" s="740"/>
      <c r="AN323" s="740"/>
      <c r="AO323" s="740"/>
      <c r="AP323" s="740"/>
    </row>
    <row r="324" spans="3:42" ht="15">
      <c r="C324" s="68"/>
      <c r="D324" s="740"/>
      <c r="E324" s="740"/>
      <c r="F324" s="740"/>
      <c r="G324" s="740"/>
      <c r="H324" s="740"/>
      <c r="I324" s="740"/>
      <c r="J324" s="740"/>
      <c r="K324" s="740"/>
      <c r="L324" s="740"/>
      <c r="M324" s="740"/>
      <c r="N324" s="740"/>
      <c r="O324" s="740"/>
      <c r="P324" s="740"/>
      <c r="Q324" s="740"/>
      <c r="R324" s="740"/>
      <c r="S324" s="740"/>
      <c r="T324" s="740"/>
      <c r="U324" s="740"/>
      <c r="V324" s="740"/>
      <c r="W324" s="740"/>
      <c r="X324" s="740"/>
      <c r="Y324" s="740"/>
      <c r="Z324" s="740"/>
      <c r="AA324" s="740"/>
      <c r="AB324" s="740"/>
      <c r="AC324" s="740"/>
      <c r="AD324" s="740"/>
      <c r="AE324" s="740"/>
      <c r="AF324" s="740"/>
      <c r="AG324" s="740"/>
      <c r="AH324" s="740"/>
      <c r="AI324" s="740"/>
      <c r="AJ324" s="740"/>
      <c r="AK324" s="740"/>
      <c r="AL324" s="740"/>
      <c r="AM324" s="740"/>
      <c r="AN324" s="740"/>
      <c r="AO324" s="740"/>
      <c r="AP324" s="740"/>
    </row>
    <row r="325" spans="3:42" ht="15">
      <c r="C325" s="68"/>
      <c r="D325" s="740"/>
      <c r="E325" s="740"/>
      <c r="F325" s="740"/>
      <c r="G325" s="740"/>
      <c r="H325" s="740"/>
      <c r="I325" s="740"/>
      <c r="J325" s="740"/>
      <c r="K325" s="740"/>
      <c r="L325" s="740"/>
      <c r="M325" s="740"/>
      <c r="N325" s="740"/>
      <c r="O325" s="740"/>
      <c r="P325" s="740"/>
      <c r="Q325" s="740"/>
      <c r="R325" s="740"/>
      <c r="S325" s="740"/>
      <c r="T325" s="740"/>
      <c r="U325" s="740"/>
      <c r="V325" s="740"/>
      <c r="W325" s="740"/>
      <c r="X325" s="740"/>
      <c r="Y325" s="740"/>
      <c r="Z325" s="740"/>
      <c r="AA325" s="740"/>
      <c r="AB325" s="740"/>
      <c r="AC325" s="740"/>
      <c r="AD325" s="740"/>
      <c r="AE325" s="740"/>
      <c r="AF325" s="740"/>
      <c r="AG325" s="740"/>
      <c r="AH325" s="740"/>
      <c r="AI325" s="740"/>
      <c r="AJ325" s="740"/>
      <c r="AK325" s="740"/>
      <c r="AL325" s="740"/>
      <c r="AM325" s="740"/>
      <c r="AN325" s="740"/>
      <c r="AO325" s="740"/>
      <c r="AP325" s="740"/>
    </row>
    <row r="326" spans="3:42" ht="15">
      <c r="C326" s="68"/>
      <c r="D326" s="740"/>
      <c r="E326" s="740"/>
      <c r="F326" s="740"/>
      <c r="G326" s="740"/>
      <c r="H326" s="740"/>
      <c r="I326" s="740"/>
      <c r="J326" s="740"/>
      <c r="K326" s="740"/>
      <c r="L326" s="740"/>
      <c r="M326" s="740"/>
      <c r="N326" s="740"/>
      <c r="O326" s="740"/>
      <c r="P326" s="740"/>
      <c r="Q326" s="740"/>
      <c r="R326" s="740"/>
      <c r="S326" s="740"/>
      <c r="T326" s="740"/>
      <c r="U326" s="740"/>
      <c r="V326" s="740"/>
      <c r="W326" s="740"/>
      <c r="X326" s="740"/>
      <c r="Y326" s="740"/>
      <c r="Z326" s="740"/>
      <c r="AA326" s="740"/>
      <c r="AB326" s="740"/>
      <c r="AC326" s="740"/>
      <c r="AD326" s="740"/>
      <c r="AE326" s="740"/>
      <c r="AF326" s="740"/>
      <c r="AG326" s="740"/>
      <c r="AH326" s="740"/>
      <c r="AI326" s="740"/>
      <c r="AJ326" s="740"/>
      <c r="AK326" s="740"/>
      <c r="AL326" s="740"/>
      <c r="AM326" s="740"/>
      <c r="AN326" s="740"/>
      <c r="AO326" s="740"/>
      <c r="AP326" s="740"/>
    </row>
    <row r="327" spans="3:42" ht="15">
      <c r="C327" s="68"/>
      <c r="D327" s="740"/>
      <c r="E327" s="740"/>
      <c r="F327" s="740"/>
      <c r="G327" s="740"/>
      <c r="H327" s="740"/>
      <c r="I327" s="740"/>
      <c r="J327" s="740"/>
      <c r="K327" s="740"/>
      <c r="L327" s="740"/>
      <c r="M327" s="740"/>
      <c r="N327" s="740"/>
      <c r="O327" s="740"/>
      <c r="P327" s="740"/>
      <c r="Q327" s="740"/>
      <c r="R327" s="740"/>
      <c r="S327" s="740"/>
      <c r="T327" s="740"/>
      <c r="U327" s="740"/>
      <c r="V327" s="740"/>
      <c r="W327" s="740"/>
      <c r="X327" s="740"/>
      <c r="Y327" s="740"/>
      <c r="Z327" s="740"/>
      <c r="AA327" s="740"/>
      <c r="AB327" s="740"/>
      <c r="AC327" s="740"/>
      <c r="AD327" s="740"/>
      <c r="AE327" s="740"/>
      <c r="AF327" s="740"/>
      <c r="AG327" s="740"/>
      <c r="AH327" s="740"/>
      <c r="AI327" s="740"/>
      <c r="AJ327" s="740"/>
      <c r="AK327" s="740"/>
      <c r="AL327" s="740"/>
      <c r="AM327" s="740"/>
      <c r="AN327" s="740"/>
      <c r="AO327" s="740"/>
      <c r="AP327" s="740"/>
    </row>
    <row r="328" spans="3:42" ht="15">
      <c r="C328" s="68"/>
      <c r="D328" s="740"/>
      <c r="E328" s="740"/>
      <c r="F328" s="740"/>
      <c r="G328" s="740"/>
      <c r="H328" s="740"/>
      <c r="I328" s="740"/>
      <c r="J328" s="740"/>
      <c r="K328" s="740"/>
      <c r="L328" s="740"/>
      <c r="M328" s="740"/>
      <c r="N328" s="740"/>
      <c r="O328" s="740"/>
      <c r="P328" s="740"/>
      <c r="Q328" s="740"/>
      <c r="R328" s="740"/>
      <c r="S328" s="740"/>
      <c r="T328" s="740"/>
      <c r="U328" s="740"/>
      <c r="V328" s="740"/>
      <c r="W328" s="740"/>
      <c r="X328" s="740"/>
      <c r="Y328" s="740"/>
      <c r="Z328" s="740"/>
      <c r="AA328" s="740"/>
      <c r="AB328" s="740"/>
      <c r="AC328" s="740"/>
      <c r="AD328" s="740"/>
      <c r="AE328" s="740"/>
      <c r="AF328" s="740"/>
      <c r="AG328" s="740"/>
      <c r="AH328" s="740"/>
      <c r="AI328" s="740"/>
      <c r="AJ328" s="740"/>
      <c r="AK328" s="740"/>
      <c r="AL328" s="740"/>
      <c r="AM328" s="740"/>
      <c r="AN328" s="740"/>
      <c r="AO328" s="740"/>
      <c r="AP328" s="740"/>
    </row>
    <row r="329" spans="3:42" ht="15">
      <c r="C329" s="68"/>
      <c r="D329" s="740"/>
      <c r="E329" s="740"/>
      <c r="F329" s="740"/>
      <c r="G329" s="740"/>
      <c r="H329" s="740"/>
      <c r="I329" s="740"/>
      <c r="J329" s="740"/>
      <c r="K329" s="740"/>
      <c r="L329" s="740"/>
      <c r="M329" s="740"/>
      <c r="N329" s="740"/>
      <c r="O329" s="740"/>
      <c r="P329" s="740"/>
      <c r="Q329" s="740"/>
      <c r="R329" s="740"/>
      <c r="S329" s="740"/>
      <c r="T329" s="740"/>
      <c r="U329" s="740"/>
      <c r="V329" s="740"/>
      <c r="W329" s="740"/>
      <c r="X329" s="740"/>
      <c r="Y329" s="740"/>
      <c r="Z329" s="740"/>
      <c r="AA329" s="740"/>
      <c r="AB329" s="740"/>
      <c r="AC329" s="740"/>
      <c r="AD329" s="740"/>
      <c r="AE329" s="740"/>
      <c r="AF329" s="740"/>
      <c r="AG329" s="740"/>
      <c r="AH329" s="740"/>
      <c r="AI329" s="740"/>
      <c r="AJ329" s="740"/>
      <c r="AK329" s="740"/>
      <c r="AL329" s="740"/>
      <c r="AM329" s="740"/>
      <c r="AN329" s="740"/>
      <c r="AO329" s="740"/>
      <c r="AP329" s="740"/>
    </row>
    <row r="330" spans="3:42" ht="15">
      <c r="C330" s="68"/>
      <c r="D330" s="740"/>
      <c r="E330" s="740"/>
      <c r="F330" s="740"/>
      <c r="G330" s="740"/>
      <c r="H330" s="740"/>
      <c r="I330" s="740"/>
      <c r="J330" s="740"/>
      <c r="K330" s="740"/>
      <c r="L330" s="740"/>
      <c r="M330" s="740"/>
      <c r="N330" s="740"/>
      <c r="O330" s="740"/>
      <c r="P330" s="740"/>
      <c r="Q330" s="740"/>
      <c r="R330" s="740"/>
      <c r="S330" s="740"/>
      <c r="T330" s="740"/>
      <c r="U330" s="740"/>
      <c r="V330" s="740"/>
      <c r="W330" s="740"/>
      <c r="X330" s="740"/>
      <c r="Y330" s="740"/>
      <c r="Z330" s="740"/>
      <c r="AA330" s="740"/>
      <c r="AB330" s="740"/>
      <c r="AC330" s="740"/>
      <c r="AD330" s="740"/>
      <c r="AE330" s="740"/>
      <c r="AF330" s="740"/>
      <c r="AG330" s="740"/>
      <c r="AH330" s="740"/>
      <c r="AI330" s="740"/>
      <c r="AJ330" s="740"/>
      <c r="AK330" s="740"/>
      <c r="AL330" s="740"/>
      <c r="AM330" s="740"/>
      <c r="AN330" s="740"/>
      <c r="AO330" s="740"/>
      <c r="AP330" s="740"/>
    </row>
    <row r="331" spans="3:42" ht="15">
      <c r="C331" s="68"/>
      <c r="D331" s="740"/>
      <c r="E331" s="740"/>
      <c r="F331" s="740"/>
      <c r="G331" s="740"/>
      <c r="H331" s="740"/>
      <c r="I331" s="740"/>
      <c r="J331" s="740"/>
      <c r="K331" s="740"/>
      <c r="L331" s="740"/>
      <c r="M331" s="740"/>
      <c r="N331" s="740"/>
      <c r="O331" s="740"/>
      <c r="P331" s="740"/>
      <c r="Q331" s="740"/>
      <c r="R331" s="740"/>
      <c r="S331" s="740"/>
      <c r="T331" s="740"/>
      <c r="U331" s="740"/>
      <c r="V331" s="740"/>
      <c r="W331" s="740"/>
      <c r="X331" s="740"/>
      <c r="Y331" s="740"/>
      <c r="Z331" s="740"/>
      <c r="AA331" s="740"/>
      <c r="AB331" s="740"/>
      <c r="AC331" s="740"/>
      <c r="AD331" s="740"/>
      <c r="AE331" s="740"/>
      <c r="AF331" s="740"/>
      <c r="AG331" s="740"/>
      <c r="AH331" s="740"/>
      <c r="AI331" s="740"/>
      <c r="AJ331" s="740"/>
      <c r="AK331" s="740"/>
      <c r="AL331" s="740"/>
      <c r="AM331" s="740"/>
      <c r="AN331" s="740"/>
      <c r="AO331" s="740"/>
      <c r="AP331" s="740"/>
    </row>
    <row r="332" spans="3:42" ht="15">
      <c r="C332" s="68"/>
      <c r="D332" s="740"/>
      <c r="E332" s="740"/>
      <c r="F332" s="740"/>
      <c r="G332" s="740"/>
      <c r="H332" s="740"/>
      <c r="I332" s="740"/>
      <c r="J332" s="740"/>
      <c r="K332" s="740"/>
      <c r="L332" s="740"/>
      <c r="M332" s="740"/>
      <c r="N332" s="740"/>
      <c r="O332" s="740"/>
      <c r="P332" s="740"/>
      <c r="Q332" s="740"/>
      <c r="R332" s="740"/>
      <c r="S332" s="740"/>
      <c r="T332" s="740"/>
      <c r="U332" s="740"/>
      <c r="V332" s="740"/>
      <c r="W332" s="740"/>
      <c r="X332" s="740"/>
      <c r="Y332" s="740"/>
      <c r="Z332" s="740"/>
      <c r="AA332" s="740"/>
      <c r="AB332" s="740"/>
      <c r="AC332" s="740"/>
      <c r="AD332" s="740"/>
      <c r="AE332" s="740"/>
      <c r="AF332" s="740"/>
      <c r="AG332" s="740"/>
      <c r="AH332" s="740"/>
      <c r="AI332" s="740"/>
      <c r="AJ332" s="740"/>
      <c r="AK332" s="740"/>
      <c r="AL332" s="740"/>
      <c r="AM332" s="740"/>
      <c r="AN332" s="740"/>
      <c r="AO332" s="740"/>
      <c r="AP332" s="740"/>
    </row>
    <row r="333" spans="3:42" ht="15">
      <c r="C333" s="68"/>
      <c r="D333" s="740"/>
      <c r="E333" s="740"/>
      <c r="F333" s="740"/>
      <c r="G333" s="740"/>
      <c r="H333" s="740"/>
      <c r="I333" s="740"/>
      <c r="J333" s="740"/>
      <c r="K333" s="740"/>
      <c r="L333" s="740"/>
      <c r="M333" s="740"/>
      <c r="N333" s="740"/>
      <c r="O333" s="740"/>
      <c r="P333" s="740"/>
      <c r="Q333" s="740"/>
      <c r="R333" s="740"/>
      <c r="S333" s="740"/>
      <c r="T333" s="740"/>
      <c r="U333" s="740"/>
      <c r="V333" s="740"/>
      <c r="W333" s="740"/>
      <c r="X333" s="740"/>
      <c r="Y333" s="740"/>
      <c r="Z333" s="740"/>
      <c r="AA333" s="740"/>
      <c r="AB333" s="740"/>
      <c r="AC333" s="740"/>
      <c r="AD333" s="740"/>
      <c r="AE333" s="740"/>
      <c r="AF333" s="740"/>
      <c r="AG333" s="740"/>
      <c r="AH333" s="740"/>
      <c r="AI333" s="740"/>
      <c r="AJ333" s="740"/>
      <c r="AK333" s="740"/>
      <c r="AL333" s="740"/>
      <c r="AM333" s="740"/>
      <c r="AN333" s="740"/>
      <c r="AO333" s="740"/>
      <c r="AP333" s="740"/>
    </row>
    <row r="334" spans="3:42" ht="15">
      <c r="C334" s="68"/>
      <c r="D334" s="740"/>
      <c r="E334" s="740"/>
      <c r="F334" s="740"/>
      <c r="G334" s="740"/>
      <c r="H334" s="740"/>
      <c r="I334" s="740"/>
      <c r="J334" s="740"/>
      <c r="K334" s="740"/>
      <c r="L334" s="740"/>
      <c r="M334" s="740"/>
      <c r="N334" s="740"/>
      <c r="O334" s="740"/>
      <c r="P334" s="740"/>
      <c r="Q334" s="740"/>
      <c r="R334" s="740"/>
      <c r="S334" s="740"/>
      <c r="T334" s="740"/>
      <c r="U334" s="740"/>
      <c r="V334" s="740"/>
      <c r="W334" s="740"/>
      <c r="X334" s="740"/>
      <c r="Y334" s="740"/>
      <c r="Z334" s="740"/>
      <c r="AA334" s="740"/>
      <c r="AB334" s="740"/>
      <c r="AC334" s="740"/>
      <c r="AD334" s="740"/>
      <c r="AE334" s="740"/>
      <c r="AF334" s="740"/>
      <c r="AG334" s="740"/>
      <c r="AH334" s="740"/>
      <c r="AI334" s="740"/>
      <c r="AJ334" s="740"/>
      <c r="AK334" s="740"/>
      <c r="AL334" s="740"/>
      <c r="AM334" s="740"/>
      <c r="AN334" s="740"/>
      <c r="AO334" s="740"/>
      <c r="AP334" s="740"/>
    </row>
    <row r="335" spans="3:42" ht="15">
      <c r="C335" s="68"/>
      <c r="D335" s="740"/>
      <c r="E335" s="740"/>
      <c r="F335" s="740"/>
      <c r="G335" s="740"/>
      <c r="H335" s="740"/>
      <c r="I335" s="740"/>
      <c r="J335" s="740"/>
      <c r="K335" s="740"/>
      <c r="L335" s="740"/>
      <c r="M335" s="740"/>
      <c r="N335" s="740"/>
      <c r="O335" s="740"/>
      <c r="P335" s="740"/>
      <c r="Q335" s="740"/>
      <c r="R335" s="740"/>
      <c r="S335" s="740"/>
      <c r="T335" s="740"/>
      <c r="U335" s="740"/>
      <c r="V335" s="740"/>
      <c r="W335" s="740"/>
      <c r="X335" s="740"/>
      <c r="Y335" s="740"/>
      <c r="Z335" s="740"/>
      <c r="AA335" s="740"/>
      <c r="AB335" s="740"/>
      <c r="AC335" s="740"/>
      <c r="AD335" s="740"/>
      <c r="AE335" s="740"/>
      <c r="AF335" s="740"/>
      <c r="AG335" s="740"/>
      <c r="AH335" s="740"/>
      <c r="AI335" s="740"/>
      <c r="AJ335" s="740"/>
      <c r="AK335" s="740"/>
      <c r="AL335" s="740"/>
      <c r="AM335" s="740"/>
      <c r="AN335" s="740"/>
      <c r="AO335" s="740"/>
      <c r="AP335" s="740"/>
    </row>
    <row r="336" spans="3:42" ht="15">
      <c r="C336" s="68"/>
      <c r="D336" s="740"/>
      <c r="E336" s="740"/>
      <c r="F336" s="740"/>
      <c r="G336" s="740"/>
      <c r="H336" s="740"/>
      <c r="I336" s="740"/>
      <c r="J336" s="740"/>
      <c r="K336" s="740"/>
      <c r="L336" s="740"/>
      <c r="M336" s="740"/>
      <c r="N336" s="740"/>
      <c r="O336" s="740"/>
      <c r="P336" s="740"/>
      <c r="Q336" s="740"/>
      <c r="R336" s="740"/>
      <c r="S336" s="740"/>
      <c r="T336" s="740"/>
      <c r="U336" s="740"/>
      <c r="V336" s="740"/>
      <c r="W336" s="740"/>
      <c r="X336" s="740"/>
      <c r="Y336" s="740"/>
      <c r="Z336" s="740"/>
      <c r="AA336" s="740"/>
      <c r="AB336" s="740"/>
      <c r="AC336" s="740"/>
      <c r="AD336" s="740"/>
      <c r="AE336" s="740"/>
      <c r="AF336" s="740"/>
      <c r="AG336" s="740"/>
      <c r="AH336" s="740"/>
      <c r="AI336" s="740"/>
      <c r="AJ336" s="740"/>
      <c r="AK336" s="740"/>
      <c r="AL336" s="740"/>
      <c r="AM336" s="740"/>
      <c r="AN336" s="740"/>
      <c r="AO336" s="740"/>
      <c r="AP336" s="740"/>
    </row>
    <row r="337" spans="3:42" ht="15">
      <c r="C337" s="68"/>
      <c r="D337" s="740"/>
      <c r="E337" s="740"/>
      <c r="F337" s="740"/>
      <c r="G337" s="740"/>
      <c r="H337" s="740"/>
      <c r="I337" s="740"/>
      <c r="J337" s="740"/>
      <c r="K337" s="740"/>
      <c r="L337" s="740"/>
      <c r="M337" s="740"/>
      <c r="N337" s="740"/>
      <c r="O337" s="740"/>
      <c r="P337" s="740"/>
      <c r="Q337" s="740"/>
      <c r="R337" s="740"/>
      <c r="S337" s="740"/>
      <c r="T337" s="740"/>
      <c r="U337" s="740"/>
      <c r="V337" s="740"/>
      <c r="W337" s="740"/>
      <c r="X337" s="740"/>
      <c r="Y337" s="740"/>
      <c r="Z337" s="740"/>
      <c r="AA337" s="740"/>
      <c r="AB337" s="740"/>
      <c r="AC337" s="740"/>
      <c r="AD337" s="740"/>
      <c r="AE337" s="740"/>
      <c r="AF337" s="740"/>
      <c r="AG337" s="740"/>
      <c r="AH337" s="740"/>
      <c r="AI337" s="740"/>
      <c r="AJ337" s="740"/>
      <c r="AK337" s="740"/>
      <c r="AL337" s="740"/>
      <c r="AM337" s="740"/>
      <c r="AN337" s="740"/>
      <c r="AO337" s="740"/>
      <c r="AP337" s="740"/>
    </row>
    <row r="338" spans="3:42" ht="15">
      <c r="C338" s="68"/>
      <c r="D338" s="740"/>
      <c r="E338" s="740"/>
      <c r="F338" s="740"/>
      <c r="G338" s="740"/>
      <c r="H338" s="740"/>
      <c r="I338" s="740"/>
      <c r="J338" s="740"/>
      <c r="K338" s="740"/>
      <c r="L338" s="740"/>
      <c r="M338" s="740"/>
      <c r="N338" s="740"/>
      <c r="O338" s="740"/>
      <c r="P338" s="740"/>
      <c r="Q338" s="740"/>
      <c r="R338" s="740"/>
      <c r="S338" s="740"/>
      <c r="T338" s="740"/>
      <c r="U338" s="740"/>
      <c r="V338" s="740"/>
      <c r="W338" s="740"/>
      <c r="X338" s="740"/>
      <c r="Y338" s="740"/>
      <c r="Z338" s="740"/>
      <c r="AA338" s="740"/>
      <c r="AB338" s="740"/>
      <c r="AC338" s="740"/>
      <c r="AD338" s="740"/>
      <c r="AE338" s="740"/>
      <c r="AF338" s="740"/>
      <c r="AG338" s="740"/>
      <c r="AH338" s="740"/>
      <c r="AI338" s="740"/>
      <c r="AJ338" s="740"/>
      <c r="AK338" s="740"/>
      <c r="AL338" s="740"/>
      <c r="AM338" s="740"/>
      <c r="AN338" s="740"/>
      <c r="AO338" s="740"/>
      <c r="AP338" s="740"/>
    </row>
    <row r="339" spans="3:42" ht="15">
      <c r="C339" s="68"/>
      <c r="D339" s="740"/>
      <c r="E339" s="740"/>
      <c r="F339" s="740"/>
      <c r="G339" s="740"/>
      <c r="H339" s="740"/>
      <c r="I339" s="740"/>
      <c r="J339" s="740"/>
      <c r="K339" s="740"/>
      <c r="L339" s="740"/>
      <c r="M339" s="740"/>
      <c r="N339" s="740"/>
      <c r="O339" s="740"/>
      <c r="P339" s="740"/>
      <c r="Q339" s="740"/>
      <c r="R339" s="740"/>
      <c r="S339" s="740"/>
      <c r="T339" s="740"/>
      <c r="U339" s="740"/>
      <c r="V339" s="740"/>
      <c r="W339" s="740"/>
      <c r="X339" s="740"/>
      <c r="Y339" s="740"/>
      <c r="Z339" s="740"/>
      <c r="AA339" s="740"/>
      <c r="AB339" s="740"/>
      <c r="AC339" s="740"/>
      <c r="AD339" s="740"/>
      <c r="AE339" s="740"/>
      <c r="AF339" s="740"/>
      <c r="AG339" s="740"/>
      <c r="AH339" s="740"/>
      <c r="AI339" s="740"/>
      <c r="AJ339" s="740"/>
      <c r="AK339" s="740"/>
      <c r="AL339" s="740"/>
      <c r="AM339" s="740"/>
      <c r="AN339" s="740"/>
      <c r="AO339" s="740"/>
      <c r="AP339" s="740"/>
    </row>
    <row r="340" spans="3:42" ht="15">
      <c r="C340" s="68"/>
      <c r="D340" s="740"/>
      <c r="E340" s="740"/>
      <c r="F340" s="740"/>
      <c r="G340" s="740"/>
      <c r="H340" s="740"/>
      <c r="I340" s="740"/>
      <c r="J340" s="740"/>
      <c r="K340" s="740"/>
      <c r="L340" s="740"/>
      <c r="M340" s="740"/>
      <c r="N340" s="740"/>
      <c r="O340" s="740"/>
      <c r="P340" s="740"/>
      <c r="Q340" s="740"/>
      <c r="R340" s="740"/>
      <c r="S340" s="740"/>
      <c r="T340" s="740"/>
      <c r="U340" s="740"/>
      <c r="V340" s="740"/>
      <c r="W340" s="740"/>
      <c r="X340" s="740"/>
      <c r="Y340" s="740"/>
      <c r="Z340" s="740"/>
      <c r="AA340" s="740"/>
      <c r="AB340" s="740"/>
      <c r="AC340" s="740"/>
      <c r="AD340" s="740"/>
      <c r="AE340" s="740"/>
      <c r="AF340" s="740"/>
      <c r="AG340" s="740"/>
      <c r="AH340" s="740"/>
      <c r="AI340" s="740"/>
      <c r="AJ340" s="740"/>
      <c r="AK340" s="740"/>
      <c r="AL340" s="740"/>
      <c r="AM340" s="740"/>
      <c r="AN340" s="740"/>
      <c r="AO340" s="740"/>
      <c r="AP340" s="740"/>
    </row>
    <row r="341" spans="3:42" ht="15">
      <c r="C341" s="68"/>
      <c r="D341" s="740"/>
      <c r="E341" s="740"/>
      <c r="F341" s="740"/>
      <c r="G341" s="740"/>
      <c r="H341" s="740"/>
      <c r="I341" s="740"/>
      <c r="J341" s="740"/>
      <c r="K341" s="740"/>
      <c r="L341" s="740"/>
      <c r="M341" s="740"/>
      <c r="N341" s="740"/>
      <c r="O341" s="740"/>
      <c r="P341" s="740"/>
      <c r="Q341" s="740"/>
      <c r="R341" s="740"/>
      <c r="S341" s="740"/>
      <c r="T341" s="740"/>
      <c r="U341" s="740"/>
      <c r="V341" s="740"/>
      <c r="W341" s="740"/>
      <c r="X341" s="740"/>
      <c r="Y341" s="740"/>
      <c r="Z341" s="740"/>
      <c r="AA341" s="740"/>
      <c r="AB341" s="740"/>
      <c r="AC341" s="740"/>
      <c r="AD341" s="740"/>
      <c r="AE341" s="740"/>
      <c r="AF341" s="740"/>
      <c r="AG341" s="740"/>
      <c r="AH341" s="740"/>
      <c r="AI341" s="740"/>
      <c r="AJ341" s="740"/>
      <c r="AK341" s="740"/>
      <c r="AL341" s="740"/>
      <c r="AM341" s="740"/>
      <c r="AN341" s="740"/>
      <c r="AO341" s="740"/>
      <c r="AP341" s="740"/>
    </row>
    <row r="342" spans="3:42" ht="15">
      <c r="C342" s="68"/>
      <c r="D342" s="740"/>
      <c r="E342" s="740"/>
      <c r="F342" s="740"/>
      <c r="G342" s="740"/>
      <c r="H342" s="740"/>
      <c r="I342" s="740"/>
      <c r="J342" s="740"/>
      <c r="K342" s="740"/>
      <c r="L342" s="740"/>
      <c r="M342" s="740"/>
      <c r="N342" s="740"/>
      <c r="O342" s="740"/>
      <c r="P342" s="740"/>
      <c r="Q342" s="740"/>
      <c r="R342" s="740"/>
      <c r="S342" s="740"/>
      <c r="T342" s="740"/>
      <c r="U342" s="740"/>
      <c r="V342" s="740"/>
      <c r="W342" s="740"/>
      <c r="X342" s="740"/>
      <c r="Y342" s="740"/>
      <c r="Z342" s="740"/>
      <c r="AA342" s="740"/>
      <c r="AB342" s="740"/>
      <c r="AC342" s="740"/>
      <c r="AD342" s="740"/>
      <c r="AE342" s="740"/>
      <c r="AF342" s="740"/>
      <c r="AG342" s="740"/>
      <c r="AH342" s="740"/>
      <c r="AI342" s="740"/>
      <c r="AJ342" s="740"/>
      <c r="AK342" s="740"/>
      <c r="AL342" s="740"/>
      <c r="AM342" s="740"/>
      <c r="AN342" s="740"/>
      <c r="AO342" s="740"/>
      <c r="AP342" s="740"/>
    </row>
    <row r="343" spans="3:42" ht="15">
      <c r="C343" s="68"/>
      <c r="D343" s="740"/>
      <c r="E343" s="740"/>
      <c r="F343" s="740"/>
      <c r="G343" s="740"/>
      <c r="H343" s="740"/>
      <c r="I343" s="740"/>
      <c r="J343" s="740"/>
      <c r="K343" s="740"/>
      <c r="L343" s="740"/>
      <c r="M343" s="740"/>
      <c r="N343" s="740"/>
      <c r="O343" s="740"/>
      <c r="P343" s="740"/>
      <c r="Q343" s="740"/>
      <c r="R343" s="740"/>
      <c r="S343" s="740"/>
      <c r="T343" s="740"/>
      <c r="U343" s="740"/>
      <c r="V343" s="740"/>
      <c r="W343" s="740"/>
      <c r="X343" s="740"/>
      <c r="Y343" s="740"/>
      <c r="Z343" s="740"/>
      <c r="AA343" s="740"/>
      <c r="AB343" s="740"/>
      <c r="AC343" s="740"/>
      <c r="AD343" s="740"/>
      <c r="AE343" s="740"/>
      <c r="AF343" s="740"/>
      <c r="AG343" s="740"/>
      <c r="AH343" s="740"/>
      <c r="AI343" s="740"/>
      <c r="AJ343" s="740"/>
      <c r="AK343" s="740"/>
      <c r="AL343" s="740"/>
      <c r="AM343" s="740"/>
      <c r="AN343" s="740"/>
      <c r="AO343" s="740"/>
      <c r="AP343" s="740"/>
    </row>
    <row r="344" spans="3:42" ht="15">
      <c r="C344" s="68"/>
      <c r="D344" s="740"/>
      <c r="E344" s="740"/>
      <c r="F344" s="740"/>
      <c r="G344" s="740"/>
      <c r="H344" s="740"/>
      <c r="I344" s="740"/>
      <c r="J344" s="740"/>
      <c r="K344" s="740"/>
      <c r="L344" s="740"/>
      <c r="M344" s="740"/>
      <c r="N344" s="740"/>
      <c r="O344" s="740"/>
      <c r="P344" s="740"/>
      <c r="Q344" s="740"/>
      <c r="R344" s="740"/>
      <c r="S344" s="740"/>
      <c r="T344" s="740"/>
      <c r="U344" s="740"/>
      <c r="V344" s="740"/>
      <c r="W344" s="740"/>
      <c r="X344" s="740"/>
      <c r="Y344" s="740"/>
      <c r="Z344" s="740"/>
      <c r="AA344" s="740"/>
      <c r="AB344" s="740"/>
      <c r="AC344" s="740"/>
      <c r="AD344" s="740"/>
      <c r="AE344" s="740"/>
      <c r="AF344" s="740"/>
      <c r="AG344" s="740"/>
      <c r="AH344" s="740"/>
      <c r="AI344" s="740"/>
      <c r="AJ344" s="740"/>
      <c r="AK344" s="740"/>
      <c r="AL344" s="740"/>
      <c r="AM344" s="740"/>
      <c r="AN344" s="740"/>
      <c r="AO344" s="740"/>
      <c r="AP344" s="740"/>
    </row>
    <row r="345" spans="3:42" ht="15">
      <c r="C345" s="68"/>
      <c r="D345" s="740"/>
      <c r="E345" s="740"/>
      <c r="F345" s="740"/>
      <c r="G345" s="740"/>
      <c r="H345" s="740"/>
      <c r="I345" s="740"/>
      <c r="J345" s="740"/>
      <c r="K345" s="740"/>
      <c r="L345" s="740"/>
      <c r="M345" s="740"/>
      <c r="N345" s="740"/>
      <c r="O345" s="740"/>
      <c r="P345" s="740"/>
      <c r="Q345" s="740"/>
      <c r="R345" s="740"/>
      <c r="S345" s="740"/>
      <c r="T345" s="740"/>
      <c r="U345" s="740"/>
      <c r="V345" s="740"/>
      <c r="W345" s="740"/>
      <c r="X345" s="740"/>
      <c r="Y345" s="740"/>
      <c r="Z345" s="740"/>
      <c r="AA345" s="740"/>
      <c r="AB345" s="740"/>
      <c r="AC345" s="740"/>
      <c r="AD345" s="740"/>
      <c r="AE345" s="740"/>
      <c r="AF345" s="740"/>
      <c r="AG345" s="740"/>
      <c r="AH345" s="740"/>
      <c r="AI345" s="740"/>
      <c r="AJ345" s="740"/>
      <c r="AK345" s="740"/>
      <c r="AL345" s="740"/>
      <c r="AM345" s="740"/>
      <c r="AN345" s="740"/>
      <c r="AO345" s="740"/>
      <c r="AP345" s="740"/>
    </row>
    <row r="346" spans="3:42" ht="15">
      <c r="C346" s="68"/>
      <c r="D346" s="740"/>
      <c r="E346" s="740"/>
      <c r="F346" s="740"/>
      <c r="G346" s="740"/>
      <c r="H346" s="740"/>
      <c r="I346" s="740"/>
      <c r="J346" s="740"/>
      <c r="K346" s="740"/>
      <c r="L346" s="740"/>
      <c r="M346" s="740"/>
      <c r="N346" s="740"/>
      <c r="O346" s="740"/>
      <c r="P346" s="740"/>
      <c r="Q346" s="740"/>
      <c r="R346" s="740"/>
      <c r="S346" s="740"/>
      <c r="T346" s="740"/>
      <c r="U346" s="740"/>
      <c r="V346" s="740"/>
      <c r="W346" s="740"/>
      <c r="X346" s="740"/>
      <c r="Y346" s="740"/>
      <c r="Z346" s="740"/>
      <c r="AA346" s="740"/>
      <c r="AB346" s="740"/>
      <c r="AC346" s="740"/>
      <c r="AD346" s="740"/>
      <c r="AE346" s="740"/>
      <c r="AF346" s="740"/>
      <c r="AG346" s="740"/>
      <c r="AH346" s="740"/>
      <c r="AI346" s="740"/>
      <c r="AJ346" s="740"/>
      <c r="AK346" s="740"/>
      <c r="AL346" s="740"/>
      <c r="AM346" s="740"/>
      <c r="AN346" s="740"/>
      <c r="AO346" s="740"/>
      <c r="AP346" s="740"/>
    </row>
    <row r="347" spans="3:42" ht="15">
      <c r="C347" s="68"/>
      <c r="D347" s="740"/>
      <c r="E347" s="740"/>
      <c r="F347" s="740"/>
      <c r="G347" s="740"/>
      <c r="H347" s="740"/>
      <c r="I347" s="740"/>
      <c r="J347" s="740"/>
      <c r="K347" s="740"/>
      <c r="L347" s="740"/>
      <c r="M347" s="740"/>
      <c r="N347" s="740"/>
      <c r="O347" s="740"/>
      <c r="P347" s="740"/>
      <c r="Q347" s="740"/>
      <c r="R347" s="740"/>
      <c r="S347" s="740"/>
      <c r="T347" s="740"/>
      <c r="U347" s="740"/>
      <c r="V347" s="740"/>
      <c r="W347" s="740"/>
      <c r="X347" s="740"/>
      <c r="Y347" s="740"/>
      <c r="Z347" s="740"/>
      <c r="AA347" s="740"/>
      <c r="AB347" s="740"/>
      <c r="AC347" s="740"/>
      <c r="AD347" s="740"/>
      <c r="AE347" s="740"/>
      <c r="AF347" s="740"/>
      <c r="AG347" s="740"/>
      <c r="AH347" s="740"/>
      <c r="AI347" s="740"/>
      <c r="AJ347" s="740"/>
      <c r="AK347" s="740"/>
      <c r="AL347" s="740"/>
      <c r="AM347" s="740"/>
      <c r="AN347" s="740"/>
      <c r="AO347" s="740"/>
      <c r="AP347" s="740"/>
    </row>
    <row r="348" spans="3:42" ht="15">
      <c r="C348" s="68"/>
      <c r="D348" s="740"/>
      <c r="E348" s="740"/>
      <c r="F348" s="740"/>
      <c r="G348" s="740"/>
      <c r="H348" s="740"/>
      <c r="I348" s="740"/>
      <c r="J348" s="740"/>
      <c r="K348" s="740"/>
      <c r="L348" s="740"/>
      <c r="M348" s="740"/>
      <c r="N348" s="740"/>
      <c r="O348" s="740"/>
      <c r="P348" s="740"/>
      <c r="Q348" s="740"/>
      <c r="R348" s="740"/>
      <c r="S348" s="740"/>
      <c r="T348" s="740"/>
      <c r="U348" s="740"/>
      <c r="V348" s="740"/>
      <c r="W348" s="740"/>
      <c r="X348" s="740"/>
      <c r="Y348" s="740"/>
      <c r="Z348" s="740"/>
      <c r="AA348" s="740"/>
      <c r="AB348" s="740"/>
      <c r="AC348" s="740"/>
      <c r="AD348" s="740"/>
      <c r="AE348" s="740"/>
      <c r="AF348" s="740"/>
      <c r="AG348" s="740"/>
      <c r="AH348" s="740"/>
      <c r="AI348" s="740"/>
      <c r="AJ348" s="740"/>
      <c r="AK348" s="740"/>
      <c r="AL348" s="740"/>
      <c r="AM348" s="740"/>
      <c r="AN348" s="740"/>
      <c r="AO348" s="740"/>
      <c r="AP348" s="740"/>
    </row>
    <row r="349" spans="3:42" ht="15">
      <c r="C349" s="68"/>
      <c r="D349" s="740"/>
      <c r="E349" s="740"/>
      <c r="F349" s="740"/>
      <c r="G349" s="740"/>
      <c r="H349" s="740"/>
      <c r="I349" s="740"/>
      <c r="J349" s="740"/>
      <c r="K349" s="740"/>
      <c r="L349" s="740"/>
      <c r="M349" s="740"/>
      <c r="N349" s="740"/>
      <c r="O349" s="740"/>
      <c r="P349" s="740"/>
      <c r="Q349" s="740"/>
      <c r="R349" s="740"/>
      <c r="S349" s="740"/>
      <c r="T349" s="740"/>
      <c r="U349" s="740"/>
      <c r="V349" s="740"/>
      <c r="W349" s="740"/>
      <c r="X349" s="740"/>
      <c r="Y349" s="740"/>
      <c r="Z349" s="740"/>
      <c r="AA349" s="740"/>
      <c r="AB349" s="740"/>
      <c r="AC349" s="740"/>
      <c r="AD349" s="740"/>
      <c r="AE349" s="740"/>
      <c r="AF349" s="740"/>
      <c r="AG349" s="740"/>
      <c r="AH349" s="740"/>
      <c r="AI349" s="740"/>
      <c r="AJ349" s="740"/>
      <c r="AK349" s="740"/>
      <c r="AL349" s="740"/>
      <c r="AM349" s="740"/>
      <c r="AN349" s="740"/>
      <c r="AO349" s="740"/>
      <c r="AP349" s="740"/>
    </row>
    <row r="350" spans="3:42" ht="15">
      <c r="C350" s="68"/>
      <c r="D350" s="740"/>
      <c r="E350" s="740"/>
      <c r="F350" s="740"/>
      <c r="G350" s="740"/>
      <c r="H350" s="740"/>
      <c r="I350" s="740"/>
      <c r="J350" s="740"/>
      <c r="K350" s="740"/>
      <c r="L350" s="740"/>
      <c r="M350" s="740"/>
      <c r="N350" s="740"/>
      <c r="O350" s="740"/>
      <c r="P350" s="740"/>
      <c r="Q350" s="740"/>
      <c r="R350" s="740"/>
      <c r="S350" s="740"/>
      <c r="T350" s="740"/>
      <c r="U350" s="740"/>
      <c r="V350" s="740"/>
      <c r="W350" s="740"/>
      <c r="X350" s="740"/>
      <c r="Y350" s="740"/>
      <c r="Z350" s="740"/>
      <c r="AA350" s="740"/>
      <c r="AB350" s="740"/>
      <c r="AC350" s="740"/>
      <c r="AD350" s="740"/>
      <c r="AE350" s="740"/>
      <c r="AF350" s="740"/>
      <c r="AG350" s="740"/>
      <c r="AH350" s="740"/>
      <c r="AI350" s="740"/>
      <c r="AJ350" s="740"/>
      <c r="AK350" s="740"/>
      <c r="AL350" s="740"/>
      <c r="AM350" s="740"/>
      <c r="AN350" s="740"/>
      <c r="AO350" s="740"/>
      <c r="AP350" s="740"/>
    </row>
    <row r="351" spans="3:42" ht="15">
      <c r="C351" s="68"/>
      <c r="D351" s="740"/>
      <c r="E351" s="740"/>
      <c r="F351" s="740"/>
      <c r="G351" s="740"/>
      <c r="H351" s="740"/>
      <c r="I351" s="740"/>
      <c r="J351" s="740"/>
      <c r="K351" s="740"/>
      <c r="L351" s="740"/>
      <c r="M351" s="740"/>
      <c r="N351" s="740"/>
      <c r="O351" s="740"/>
      <c r="P351" s="740"/>
      <c r="Q351" s="740"/>
      <c r="R351" s="740"/>
      <c r="S351" s="740"/>
      <c r="T351" s="740"/>
      <c r="U351" s="740"/>
      <c r="V351" s="740"/>
      <c r="W351" s="740"/>
      <c r="X351" s="740"/>
      <c r="Y351" s="740"/>
      <c r="Z351" s="740"/>
      <c r="AA351" s="740"/>
      <c r="AB351" s="740"/>
      <c r="AC351" s="740"/>
      <c r="AD351" s="740"/>
      <c r="AE351" s="740"/>
      <c r="AF351" s="740"/>
      <c r="AG351" s="740"/>
      <c r="AH351" s="740"/>
      <c r="AI351" s="740"/>
      <c r="AJ351" s="740"/>
      <c r="AK351" s="740"/>
      <c r="AL351" s="740"/>
      <c r="AM351" s="740"/>
      <c r="AN351" s="740"/>
      <c r="AO351" s="740"/>
      <c r="AP351" s="740"/>
    </row>
    <row r="352" spans="3:42" ht="15">
      <c r="C352" s="68"/>
      <c r="D352" s="740"/>
      <c r="E352" s="740"/>
      <c r="F352" s="740"/>
      <c r="G352" s="740"/>
      <c r="H352" s="740"/>
      <c r="I352" s="740"/>
      <c r="J352" s="740"/>
      <c r="K352" s="740"/>
      <c r="L352" s="740"/>
      <c r="M352" s="740"/>
      <c r="N352" s="740"/>
      <c r="O352" s="740"/>
      <c r="P352" s="740"/>
      <c r="Q352" s="740"/>
      <c r="R352" s="740"/>
      <c r="S352" s="740"/>
      <c r="T352" s="740"/>
      <c r="U352" s="740"/>
      <c r="V352" s="740"/>
      <c r="W352" s="740"/>
      <c r="X352" s="740"/>
      <c r="Y352" s="740"/>
      <c r="Z352" s="740"/>
      <c r="AA352" s="740"/>
      <c r="AB352" s="740"/>
      <c r="AC352" s="740"/>
      <c r="AD352" s="740"/>
      <c r="AE352" s="740"/>
      <c r="AF352" s="740"/>
      <c r="AG352" s="740"/>
      <c r="AH352" s="740"/>
      <c r="AI352" s="740"/>
      <c r="AJ352" s="740"/>
      <c r="AK352" s="740"/>
      <c r="AL352" s="740"/>
      <c r="AM352" s="740"/>
      <c r="AN352" s="740"/>
      <c r="AO352" s="740"/>
      <c r="AP352" s="740"/>
    </row>
    <row r="353" spans="3:42" ht="15">
      <c r="C353" s="68"/>
      <c r="D353" s="740"/>
      <c r="E353" s="740"/>
      <c r="F353" s="740"/>
      <c r="G353" s="740"/>
      <c r="H353" s="740"/>
      <c r="I353" s="740"/>
      <c r="J353" s="740"/>
      <c r="K353" s="740"/>
      <c r="L353" s="740"/>
      <c r="M353" s="740"/>
      <c r="N353" s="740"/>
      <c r="O353" s="740"/>
      <c r="P353" s="740"/>
      <c r="Q353" s="740"/>
      <c r="R353" s="740"/>
      <c r="S353" s="740"/>
      <c r="T353" s="740"/>
      <c r="U353" s="740"/>
      <c r="V353" s="740"/>
      <c r="W353" s="740"/>
      <c r="X353" s="740"/>
      <c r="Y353" s="740"/>
      <c r="Z353" s="740"/>
      <c r="AA353" s="740"/>
      <c r="AB353" s="740"/>
      <c r="AC353" s="740"/>
      <c r="AD353" s="740"/>
      <c r="AE353" s="740"/>
      <c r="AF353" s="740"/>
      <c r="AG353" s="740"/>
      <c r="AH353" s="740"/>
      <c r="AI353" s="740"/>
      <c r="AJ353" s="740"/>
      <c r="AK353" s="740"/>
      <c r="AL353" s="740"/>
      <c r="AM353" s="740"/>
      <c r="AN353" s="740"/>
      <c r="AO353" s="740"/>
      <c r="AP353" s="740"/>
    </row>
    <row r="354" spans="3:42" ht="15">
      <c r="C354" s="68"/>
      <c r="D354" s="740"/>
      <c r="E354" s="740"/>
      <c r="F354" s="740"/>
      <c r="G354" s="740"/>
      <c r="H354" s="740"/>
      <c r="I354" s="740"/>
      <c r="J354" s="740"/>
      <c r="K354" s="740"/>
      <c r="L354" s="740"/>
      <c r="M354" s="740"/>
      <c r="N354" s="740"/>
      <c r="O354" s="740"/>
      <c r="P354" s="740"/>
      <c r="Q354" s="740"/>
      <c r="R354" s="740"/>
      <c r="S354" s="740"/>
      <c r="T354" s="740"/>
      <c r="U354" s="740"/>
      <c r="V354" s="740"/>
      <c r="W354" s="740"/>
      <c r="X354" s="740"/>
      <c r="Y354" s="740"/>
      <c r="Z354" s="740"/>
      <c r="AA354" s="740"/>
      <c r="AB354" s="740"/>
      <c r="AC354" s="740"/>
      <c r="AD354" s="740"/>
      <c r="AE354" s="740"/>
      <c r="AF354" s="740"/>
      <c r="AG354" s="740"/>
      <c r="AH354" s="740"/>
      <c r="AI354" s="740"/>
      <c r="AJ354" s="740"/>
      <c r="AK354" s="740"/>
      <c r="AL354" s="740"/>
      <c r="AM354" s="740"/>
      <c r="AN354" s="740"/>
      <c r="AO354" s="740"/>
      <c r="AP354" s="740"/>
    </row>
    <row r="355" spans="3:42" ht="15">
      <c r="C355" s="68"/>
      <c r="D355" s="740"/>
      <c r="E355" s="740"/>
      <c r="F355" s="740"/>
      <c r="G355" s="740"/>
      <c r="H355" s="740"/>
      <c r="I355" s="740"/>
      <c r="J355" s="740"/>
      <c r="K355" s="740"/>
      <c r="L355" s="740"/>
      <c r="M355" s="740"/>
      <c r="N355" s="740"/>
      <c r="O355" s="740"/>
      <c r="P355" s="740"/>
      <c r="Q355" s="740"/>
      <c r="R355" s="740"/>
      <c r="S355" s="740"/>
      <c r="T355" s="740"/>
      <c r="U355" s="740"/>
      <c r="V355" s="740"/>
      <c r="W355" s="740"/>
      <c r="X355" s="740"/>
      <c r="Y355" s="740"/>
      <c r="Z355" s="740"/>
      <c r="AA355" s="740"/>
      <c r="AB355" s="740"/>
      <c r="AC355" s="740"/>
      <c r="AD355" s="740"/>
      <c r="AE355" s="740"/>
      <c r="AF355" s="740"/>
      <c r="AG355" s="740"/>
      <c r="AH355" s="740"/>
      <c r="AI355" s="740"/>
      <c r="AJ355" s="740"/>
      <c r="AK355" s="740"/>
      <c r="AL355" s="740"/>
      <c r="AM355" s="740"/>
      <c r="AN355" s="740"/>
      <c r="AO355" s="740"/>
      <c r="AP355" s="740"/>
    </row>
    <row r="356" spans="3:42" ht="15">
      <c r="C356" s="68"/>
      <c r="D356" s="740"/>
      <c r="E356" s="740"/>
      <c r="F356" s="740"/>
      <c r="G356" s="740"/>
      <c r="H356" s="740"/>
      <c r="I356" s="740"/>
      <c r="J356" s="740"/>
      <c r="K356" s="740"/>
      <c r="L356" s="740"/>
      <c r="M356" s="740"/>
      <c r="N356" s="740"/>
      <c r="O356" s="740"/>
      <c r="P356" s="740"/>
      <c r="Q356" s="740"/>
      <c r="R356" s="740"/>
      <c r="S356" s="740"/>
      <c r="T356" s="740"/>
      <c r="U356" s="740"/>
      <c r="V356" s="740"/>
      <c r="W356" s="740"/>
      <c r="X356" s="740"/>
      <c r="Y356" s="740"/>
      <c r="Z356" s="740"/>
      <c r="AA356" s="740"/>
      <c r="AB356" s="740"/>
      <c r="AC356" s="740"/>
      <c r="AD356" s="740"/>
      <c r="AE356" s="740"/>
      <c r="AF356" s="740"/>
      <c r="AG356" s="740"/>
      <c r="AH356" s="740"/>
      <c r="AI356" s="740"/>
      <c r="AJ356" s="740"/>
      <c r="AK356" s="740"/>
      <c r="AL356" s="740"/>
      <c r="AM356" s="740"/>
      <c r="AN356" s="740"/>
      <c r="AO356" s="740"/>
      <c r="AP356" s="740"/>
    </row>
    <row r="357" spans="3:42" ht="15">
      <c r="C357" s="68"/>
      <c r="D357" s="740"/>
      <c r="E357" s="740"/>
      <c r="F357" s="740"/>
      <c r="G357" s="740"/>
      <c r="H357" s="740"/>
      <c r="I357" s="740"/>
      <c r="J357" s="740"/>
      <c r="K357" s="740"/>
      <c r="L357" s="740"/>
      <c r="M357" s="740"/>
      <c r="N357" s="740"/>
      <c r="O357" s="740"/>
      <c r="P357" s="740"/>
      <c r="Q357" s="740"/>
      <c r="R357" s="740"/>
      <c r="S357" s="740"/>
      <c r="T357" s="740"/>
      <c r="U357" s="740"/>
      <c r="V357" s="740"/>
      <c r="W357" s="740"/>
      <c r="X357" s="740"/>
      <c r="Y357" s="740"/>
      <c r="Z357" s="740"/>
      <c r="AA357" s="740"/>
      <c r="AB357" s="740"/>
      <c r="AC357" s="740"/>
      <c r="AD357" s="740"/>
      <c r="AE357" s="740"/>
      <c r="AF357" s="740"/>
      <c r="AG357" s="740"/>
      <c r="AH357" s="740"/>
      <c r="AI357" s="740"/>
      <c r="AJ357" s="740"/>
      <c r="AK357" s="740"/>
      <c r="AL357" s="740"/>
      <c r="AM357" s="740"/>
      <c r="AN357" s="740"/>
      <c r="AO357" s="740"/>
      <c r="AP357" s="740"/>
    </row>
    <row r="358" spans="3:42" ht="15">
      <c r="C358" s="68"/>
      <c r="D358" s="740"/>
      <c r="E358" s="740"/>
      <c r="F358" s="740"/>
      <c r="G358" s="740"/>
      <c r="H358" s="740"/>
      <c r="I358" s="740"/>
      <c r="J358" s="740"/>
      <c r="K358" s="740"/>
      <c r="L358" s="740"/>
      <c r="M358" s="740"/>
      <c r="N358" s="740"/>
      <c r="O358" s="740"/>
      <c r="P358" s="740"/>
      <c r="Q358" s="740"/>
      <c r="R358" s="740"/>
      <c r="S358" s="740"/>
      <c r="T358" s="740"/>
      <c r="U358" s="740"/>
      <c r="V358" s="740"/>
      <c r="W358" s="740"/>
      <c r="X358" s="740"/>
      <c r="Y358" s="740"/>
      <c r="Z358" s="740"/>
      <c r="AA358" s="740"/>
      <c r="AB358" s="740"/>
      <c r="AC358" s="740"/>
      <c r="AD358" s="740"/>
      <c r="AE358" s="740"/>
      <c r="AF358" s="740"/>
      <c r="AG358" s="740"/>
      <c r="AH358" s="740"/>
      <c r="AI358" s="740"/>
      <c r="AJ358" s="740"/>
      <c r="AK358" s="740"/>
      <c r="AL358" s="740"/>
      <c r="AM358" s="740"/>
      <c r="AN358" s="740"/>
      <c r="AO358" s="740"/>
      <c r="AP358" s="740"/>
    </row>
    <row r="359" spans="3:42" ht="15">
      <c r="C359" s="68"/>
      <c r="D359" s="740"/>
      <c r="E359" s="740"/>
      <c r="F359" s="740"/>
      <c r="G359" s="740"/>
      <c r="H359" s="740"/>
      <c r="I359" s="740"/>
      <c r="J359" s="740"/>
      <c r="K359" s="740"/>
      <c r="L359" s="740"/>
      <c r="M359" s="740"/>
      <c r="N359" s="740"/>
      <c r="O359" s="740"/>
      <c r="P359" s="740"/>
      <c r="Q359" s="740"/>
      <c r="R359" s="740"/>
      <c r="S359" s="740"/>
      <c r="T359" s="740"/>
      <c r="U359" s="740"/>
      <c r="V359" s="740"/>
      <c r="W359" s="740"/>
      <c r="X359" s="740"/>
      <c r="Y359" s="740"/>
      <c r="Z359" s="740"/>
      <c r="AA359" s="740"/>
      <c r="AB359" s="740"/>
      <c r="AC359" s="740"/>
      <c r="AD359" s="740"/>
      <c r="AE359" s="740"/>
      <c r="AF359" s="740"/>
      <c r="AG359" s="740"/>
      <c r="AH359" s="740"/>
      <c r="AI359" s="740"/>
      <c r="AJ359" s="740"/>
      <c r="AK359" s="740"/>
      <c r="AL359" s="740"/>
      <c r="AM359" s="740"/>
      <c r="AN359" s="740"/>
      <c r="AO359" s="740"/>
      <c r="AP359" s="740"/>
    </row>
    <row r="360" spans="3:42" ht="15">
      <c r="C360" s="68"/>
      <c r="D360" s="740"/>
      <c r="E360" s="740"/>
      <c r="F360" s="740"/>
      <c r="G360" s="740"/>
      <c r="H360" s="740"/>
      <c r="I360" s="740"/>
      <c r="J360" s="740"/>
      <c r="K360" s="740"/>
      <c r="L360" s="740"/>
      <c r="M360" s="740"/>
      <c r="N360" s="740"/>
      <c r="O360" s="740"/>
      <c r="P360" s="740"/>
      <c r="Q360" s="740"/>
      <c r="R360" s="740"/>
      <c r="S360" s="740"/>
      <c r="T360" s="740"/>
      <c r="U360" s="740"/>
      <c r="V360" s="740"/>
      <c r="W360" s="740"/>
      <c r="X360" s="740"/>
      <c r="Y360" s="740"/>
      <c r="Z360" s="740"/>
      <c r="AA360" s="740"/>
      <c r="AB360" s="740"/>
      <c r="AC360" s="740"/>
      <c r="AD360" s="740"/>
      <c r="AE360" s="740"/>
      <c r="AF360" s="740"/>
      <c r="AG360" s="740"/>
      <c r="AH360" s="740"/>
      <c r="AI360" s="740"/>
      <c r="AJ360" s="740"/>
      <c r="AK360" s="740"/>
      <c r="AL360" s="740"/>
      <c r="AM360" s="740"/>
      <c r="AN360" s="740"/>
      <c r="AO360" s="740"/>
      <c r="AP360" s="740"/>
    </row>
    <row r="361" spans="3:42" ht="15">
      <c r="C361" s="68"/>
      <c r="D361" s="740"/>
      <c r="E361" s="740"/>
      <c r="F361" s="740"/>
      <c r="G361" s="740"/>
      <c r="H361" s="740"/>
      <c r="I361" s="740"/>
      <c r="J361" s="740"/>
      <c r="K361" s="740"/>
      <c r="L361" s="740"/>
      <c r="M361" s="740"/>
      <c r="N361" s="740"/>
      <c r="O361" s="740"/>
      <c r="P361" s="740"/>
      <c r="Q361" s="740"/>
      <c r="R361" s="740"/>
      <c r="S361" s="740"/>
      <c r="T361" s="740"/>
      <c r="U361" s="740"/>
      <c r="V361" s="740"/>
      <c r="W361" s="740"/>
      <c r="X361" s="740"/>
      <c r="Y361" s="740"/>
      <c r="Z361" s="740"/>
      <c r="AA361" s="740"/>
      <c r="AB361" s="740"/>
      <c r="AC361" s="740"/>
      <c r="AD361" s="740"/>
      <c r="AE361" s="740"/>
      <c r="AF361" s="740"/>
      <c r="AG361" s="740"/>
      <c r="AH361" s="740"/>
      <c r="AI361" s="740"/>
      <c r="AJ361" s="740"/>
      <c r="AK361" s="740"/>
      <c r="AL361" s="740"/>
      <c r="AM361" s="740"/>
      <c r="AN361" s="740"/>
      <c r="AO361" s="740"/>
      <c r="AP361" s="740"/>
    </row>
    <row r="362" spans="3:42" ht="15">
      <c r="C362" s="68"/>
      <c r="D362" s="740"/>
      <c r="E362" s="740"/>
      <c r="F362" s="740"/>
      <c r="G362" s="740"/>
      <c r="H362" s="740"/>
      <c r="I362" s="740"/>
      <c r="J362" s="740"/>
      <c r="K362" s="740"/>
      <c r="L362" s="740"/>
      <c r="M362" s="740"/>
      <c r="N362" s="740"/>
      <c r="O362" s="740"/>
      <c r="P362" s="740"/>
      <c r="Q362" s="740"/>
      <c r="R362" s="740"/>
      <c r="S362" s="740"/>
      <c r="T362" s="740"/>
      <c r="U362" s="740"/>
      <c r="V362" s="740"/>
      <c r="W362" s="740"/>
      <c r="X362" s="740"/>
      <c r="Y362" s="740"/>
      <c r="Z362" s="740"/>
      <c r="AA362" s="740"/>
      <c r="AB362" s="740"/>
      <c r="AC362" s="740"/>
      <c r="AD362" s="740"/>
      <c r="AE362" s="740"/>
      <c r="AF362" s="740"/>
      <c r="AG362" s="740"/>
      <c r="AH362" s="740"/>
      <c r="AI362" s="740"/>
      <c r="AJ362" s="740"/>
      <c r="AK362" s="740"/>
      <c r="AL362" s="740"/>
      <c r="AM362" s="740"/>
      <c r="AN362" s="740"/>
      <c r="AO362" s="740"/>
      <c r="AP362" s="740"/>
    </row>
    <row r="363" spans="3:42" ht="15">
      <c r="C363" s="68"/>
      <c r="D363" s="740"/>
      <c r="E363" s="740"/>
      <c r="F363" s="740"/>
      <c r="G363" s="740"/>
      <c r="H363" s="740"/>
      <c r="I363" s="740"/>
      <c r="J363" s="740"/>
      <c r="K363" s="740"/>
      <c r="L363" s="740"/>
      <c r="M363" s="740"/>
      <c r="N363" s="740"/>
      <c r="O363" s="740"/>
      <c r="P363" s="740"/>
      <c r="Q363" s="740"/>
      <c r="R363" s="740"/>
      <c r="S363" s="740"/>
      <c r="T363" s="740"/>
      <c r="U363" s="740"/>
      <c r="V363" s="740"/>
      <c r="W363" s="740"/>
      <c r="X363" s="740"/>
      <c r="Y363" s="740"/>
      <c r="Z363" s="740"/>
      <c r="AA363" s="740"/>
      <c r="AB363" s="740"/>
      <c r="AC363" s="740"/>
      <c r="AD363" s="740"/>
      <c r="AE363" s="740"/>
      <c r="AF363" s="740"/>
      <c r="AG363" s="740"/>
      <c r="AH363" s="740"/>
      <c r="AI363" s="740"/>
      <c r="AJ363" s="740"/>
      <c r="AK363" s="740"/>
      <c r="AL363" s="740"/>
      <c r="AM363" s="740"/>
      <c r="AN363" s="740"/>
      <c r="AO363" s="740"/>
      <c r="AP363" s="740"/>
    </row>
    <row r="364" spans="3:42" ht="15">
      <c r="C364" s="68"/>
      <c r="D364" s="740"/>
      <c r="E364" s="740"/>
      <c r="F364" s="740"/>
      <c r="G364" s="740"/>
      <c r="H364" s="740"/>
      <c r="I364" s="740"/>
      <c r="J364" s="740"/>
      <c r="K364" s="740"/>
      <c r="L364" s="740"/>
      <c r="M364" s="740"/>
      <c r="N364" s="740"/>
      <c r="O364" s="740"/>
      <c r="P364" s="740"/>
      <c r="Q364" s="740"/>
      <c r="R364" s="740"/>
      <c r="S364" s="740"/>
      <c r="T364" s="740"/>
      <c r="U364" s="740"/>
      <c r="V364" s="740"/>
      <c r="W364" s="740"/>
      <c r="X364" s="740"/>
      <c r="Y364" s="740"/>
      <c r="Z364" s="740"/>
      <c r="AA364" s="740"/>
      <c r="AB364" s="740"/>
      <c r="AC364" s="740"/>
      <c r="AD364" s="740"/>
      <c r="AE364" s="740"/>
      <c r="AF364" s="740"/>
      <c r="AG364" s="740"/>
      <c r="AH364" s="740"/>
      <c r="AI364" s="740"/>
      <c r="AJ364" s="740"/>
      <c r="AK364" s="740"/>
      <c r="AL364" s="740"/>
      <c r="AM364" s="740"/>
      <c r="AN364" s="740"/>
      <c r="AO364" s="740"/>
      <c r="AP364" s="740"/>
    </row>
    <row r="365" spans="3:42" ht="15">
      <c r="C365" s="68"/>
      <c r="D365" s="740"/>
      <c r="E365" s="740"/>
      <c r="F365" s="740"/>
      <c r="G365" s="740"/>
      <c r="H365" s="740"/>
      <c r="I365" s="740"/>
      <c r="J365" s="740"/>
      <c r="K365" s="740"/>
      <c r="L365" s="740"/>
      <c r="M365" s="740"/>
      <c r="N365" s="740"/>
      <c r="O365" s="740"/>
      <c r="P365" s="740"/>
      <c r="Q365" s="740"/>
      <c r="R365" s="740"/>
      <c r="S365" s="740"/>
      <c r="T365" s="740"/>
      <c r="U365" s="740"/>
      <c r="V365" s="740"/>
      <c r="W365" s="740"/>
      <c r="X365" s="740"/>
      <c r="Y365" s="740"/>
      <c r="Z365" s="740"/>
      <c r="AA365" s="740"/>
      <c r="AB365" s="740"/>
      <c r="AC365" s="740"/>
      <c r="AD365" s="740"/>
      <c r="AE365" s="740"/>
      <c r="AF365" s="740"/>
      <c r="AG365" s="740"/>
      <c r="AH365" s="740"/>
      <c r="AI365" s="740"/>
      <c r="AJ365" s="740"/>
      <c r="AK365" s="740"/>
      <c r="AL365" s="740"/>
      <c r="AM365" s="740"/>
      <c r="AN365" s="740"/>
      <c r="AO365" s="740"/>
      <c r="AP365" s="740"/>
    </row>
    <row r="366" spans="3:42" ht="15">
      <c r="C366" s="68"/>
      <c r="D366" s="740"/>
      <c r="E366" s="740"/>
      <c r="F366" s="740"/>
      <c r="G366" s="740"/>
      <c r="H366" s="740"/>
      <c r="I366" s="740"/>
      <c r="J366" s="740"/>
      <c r="K366" s="740"/>
      <c r="L366" s="740"/>
      <c r="M366" s="740"/>
      <c r="N366" s="740"/>
      <c r="O366" s="740"/>
      <c r="P366" s="740"/>
      <c r="Q366" s="740"/>
      <c r="R366" s="740"/>
      <c r="S366" s="740"/>
      <c r="T366" s="740"/>
      <c r="U366" s="740"/>
      <c r="V366" s="740"/>
      <c r="W366" s="740"/>
      <c r="X366" s="740"/>
      <c r="Y366" s="740"/>
      <c r="Z366" s="740"/>
      <c r="AA366" s="740"/>
      <c r="AB366" s="740"/>
      <c r="AC366" s="740"/>
      <c r="AD366" s="740"/>
      <c r="AE366" s="740"/>
      <c r="AF366" s="740"/>
      <c r="AG366" s="740"/>
      <c r="AH366" s="740"/>
      <c r="AI366" s="740"/>
      <c r="AJ366" s="740"/>
      <c r="AK366" s="740"/>
      <c r="AL366" s="740"/>
      <c r="AM366" s="740"/>
      <c r="AN366" s="740"/>
      <c r="AO366" s="740"/>
      <c r="AP366" s="740"/>
    </row>
    <row r="367" spans="3:42" ht="15">
      <c r="C367" s="68"/>
      <c r="D367" s="740"/>
      <c r="E367" s="740"/>
      <c r="F367" s="740"/>
      <c r="G367" s="740"/>
      <c r="H367" s="740"/>
      <c r="I367" s="740"/>
      <c r="J367" s="740"/>
      <c r="K367" s="740"/>
      <c r="L367" s="740"/>
      <c r="M367" s="740"/>
      <c r="N367" s="740"/>
      <c r="O367" s="740"/>
      <c r="P367" s="740"/>
      <c r="Q367" s="740"/>
      <c r="R367" s="740"/>
      <c r="S367" s="740"/>
      <c r="T367" s="740"/>
      <c r="U367" s="740"/>
      <c r="V367" s="740"/>
      <c r="W367" s="740"/>
      <c r="X367" s="740"/>
      <c r="Y367" s="740"/>
      <c r="Z367" s="740"/>
      <c r="AA367" s="740"/>
      <c r="AB367" s="740"/>
      <c r="AC367" s="740"/>
      <c r="AD367" s="740"/>
      <c r="AE367" s="740"/>
      <c r="AF367" s="740"/>
      <c r="AG367" s="740"/>
      <c r="AH367" s="740"/>
      <c r="AI367" s="740"/>
      <c r="AJ367" s="740"/>
      <c r="AK367" s="740"/>
      <c r="AL367" s="740"/>
      <c r="AM367" s="740"/>
      <c r="AN367" s="740"/>
      <c r="AO367" s="740"/>
      <c r="AP367" s="740"/>
    </row>
    <row r="368" spans="3:42" ht="15">
      <c r="C368" s="68"/>
      <c r="D368" s="740"/>
      <c r="E368" s="740"/>
      <c r="F368" s="740"/>
      <c r="G368" s="740"/>
      <c r="H368" s="740"/>
      <c r="I368" s="740"/>
      <c r="J368" s="740"/>
      <c r="K368" s="740"/>
      <c r="L368" s="740"/>
      <c r="M368" s="740"/>
      <c r="N368" s="740"/>
      <c r="O368" s="740"/>
      <c r="P368" s="740"/>
      <c r="Q368" s="740"/>
      <c r="R368" s="740"/>
      <c r="S368" s="740"/>
      <c r="T368" s="740"/>
      <c r="U368" s="740"/>
      <c r="V368" s="740"/>
      <c r="W368" s="740"/>
      <c r="X368" s="740"/>
      <c r="Y368" s="740"/>
      <c r="Z368" s="740"/>
      <c r="AA368" s="740"/>
      <c r="AB368" s="740"/>
      <c r="AC368" s="740"/>
      <c r="AD368" s="740"/>
      <c r="AE368" s="740"/>
      <c r="AF368" s="740"/>
      <c r="AG368" s="740"/>
      <c r="AH368" s="740"/>
      <c r="AI368" s="740"/>
      <c r="AJ368" s="740"/>
      <c r="AK368" s="740"/>
      <c r="AL368" s="740"/>
      <c r="AM368" s="740"/>
      <c r="AN368" s="740"/>
      <c r="AO368" s="740"/>
      <c r="AP368" s="740"/>
    </row>
    <row r="369" spans="3:42" ht="15">
      <c r="C369" s="68"/>
      <c r="D369" s="740"/>
      <c r="E369" s="740"/>
      <c r="F369" s="740"/>
      <c r="G369" s="740"/>
      <c r="H369" s="740"/>
      <c r="I369" s="740"/>
      <c r="J369" s="740"/>
      <c r="K369" s="740"/>
      <c r="L369" s="740"/>
      <c r="M369" s="740"/>
      <c r="N369" s="740"/>
      <c r="O369" s="740"/>
      <c r="P369" s="740"/>
      <c r="Q369" s="740"/>
      <c r="R369" s="740"/>
      <c r="S369" s="740"/>
      <c r="T369" s="740"/>
      <c r="U369" s="740"/>
      <c r="V369" s="740"/>
      <c r="W369" s="740"/>
      <c r="X369" s="740"/>
      <c r="Y369" s="740"/>
      <c r="Z369" s="740"/>
      <c r="AA369" s="740"/>
      <c r="AB369" s="740"/>
      <c r="AC369" s="740"/>
      <c r="AD369" s="740"/>
      <c r="AE369" s="740"/>
      <c r="AF369" s="740"/>
      <c r="AG369" s="740"/>
      <c r="AH369" s="740"/>
      <c r="AI369" s="740"/>
      <c r="AJ369" s="740"/>
      <c r="AK369" s="740"/>
      <c r="AL369" s="740"/>
      <c r="AM369" s="740"/>
      <c r="AN369" s="740"/>
      <c r="AO369" s="740"/>
      <c r="AP369" s="740"/>
    </row>
    <row r="370" spans="3:42" ht="15">
      <c r="C370" s="68"/>
      <c r="D370" s="740"/>
      <c r="E370" s="740"/>
      <c r="F370" s="740"/>
      <c r="G370" s="740"/>
      <c r="H370" s="740"/>
      <c r="I370" s="740"/>
      <c r="J370" s="740"/>
      <c r="K370" s="740"/>
      <c r="L370" s="740"/>
      <c r="M370" s="740"/>
      <c r="N370" s="740"/>
      <c r="O370" s="740"/>
      <c r="P370" s="740"/>
      <c r="Q370" s="740"/>
      <c r="R370" s="740"/>
      <c r="S370" s="740"/>
      <c r="T370" s="740"/>
      <c r="U370" s="740"/>
      <c r="V370" s="740"/>
      <c r="W370" s="740"/>
      <c r="X370" s="740"/>
      <c r="Y370" s="740"/>
      <c r="Z370" s="740"/>
      <c r="AA370" s="740"/>
      <c r="AB370" s="740"/>
      <c r="AC370" s="740"/>
      <c r="AD370" s="740"/>
      <c r="AE370" s="740"/>
      <c r="AF370" s="740"/>
      <c r="AG370" s="740"/>
      <c r="AH370" s="740"/>
      <c r="AI370" s="740"/>
      <c r="AJ370" s="740"/>
      <c r="AK370" s="740"/>
      <c r="AL370" s="740"/>
      <c r="AM370" s="740"/>
      <c r="AN370" s="740"/>
      <c r="AO370" s="740"/>
      <c r="AP370" s="740"/>
    </row>
    <row r="371" spans="3:42" ht="15">
      <c r="C371" s="68"/>
      <c r="D371" s="740"/>
      <c r="E371" s="740"/>
      <c r="F371" s="740"/>
      <c r="G371" s="740"/>
      <c r="H371" s="740"/>
      <c r="I371" s="740"/>
      <c r="J371" s="740"/>
      <c r="K371" s="740"/>
      <c r="L371" s="740"/>
      <c r="M371" s="740"/>
      <c r="N371" s="740"/>
      <c r="O371" s="740"/>
      <c r="P371" s="740"/>
      <c r="Q371" s="740"/>
      <c r="R371" s="740"/>
      <c r="S371" s="740"/>
      <c r="T371" s="740"/>
      <c r="U371" s="740"/>
      <c r="V371" s="740"/>
      <c r="W371" s="740"/>
      <c r="X371" s="740"/>
      <c r="Y371" s="740"/>
      <c r="Z371" s="740"/>
      <c r="AA371" s="740"/>
      <c r="AB371" s="740"/>
      <c r="AC371" s="740"/>
      <c r="AD371" s="740"/>
      <c r="AE371" s="740"/>
      <c r="AF371" s="740"/>
      <c r="AG371" s="740"/>
      <c r="AH371" s="740"/>
      <c r="AI371" s="740"/>
      <c r="AJ371" s="740"/>
      <c r="AK371" s="740"/>
      <c r="AL371" s="740"/>
      <c r="AM371" s="740"/>
      <c r="AN371" s="740"/>
      <c r="AO371" s="740"/>
      <c r="AP371" s="740"/>
    </row>
    <row r="372" spans="3:42" ht="15">
      <c r="C372" s="68"/>
      <c r="D372" s="740"/>
      <c r="E372" s="740"/>
      <c r="F372" s="740"/>
      <c r="G372" s="740"/>
      <c r="H372" s="740"/>
      <c r="I372" s="740"/>
      <c r="J372" s="740"/>
      <c r="K372" s="740"/>
      <c r="L372" s="740"/>
      <c r="M372" s="740"/>
      <c r="N372" s="740"/>
      <c r="O372" s="740"/>
      <c r="P372" s="740"/>
      <c r="Q372" s="740"/>
      <c r="R372" s="740"/>
      <c r="S372" s="740"/>
      <c r="T372" s="740"/>
      <c r="U372" s="740"/>
      <c r="V372" s="740"/>
      <c r="W372" s="740"/>
      <c r="X372" s="740"/>
      <c r="Y372" s="740"/>
      <c r="Z372" s="740"/>
      <c r="AA372" s="740"/>
      <c r="AB372" s="740"/>
      <c r="AC372" s="740"/>
      <c r="AD372" s="740"/>
      <c r="AE372" s="740"/>
      <c r="AF372" s="740"/>
      <c r="AG372" s="740"/>
      <c r="AH372" s="740"/>
      <c r="AI372" s="740"/>
      <c r="AJ372" s="740"/>
      <c r="AK372" s="740"/>
      <c r="AL372" s="740"/>
      <c r="AM372" s="740"/>
      <c r="AN372" s="740"/>
      <c r="AO372" s="740"/>
      <c r="AP372" s="740"/>
    </row>
    <row r="373" spans="3:42" ht="15">
      <c r="C373" s="68"/>
      <c r="D373" s="740"/>
      <c r="E373" s="740"/>
      <c r="F373" s="740"/>
      <c r="G373" s="740"/>
      <c r="H373" s="740"/>
      <c r="I373" s="740"/>
      <c r="J373" s="740"/>
      <c r="K373" s="740"/>
      <c r="L373" s="740"/>
      <c r="M373" s="740"/>
      <c r="N373" s="740"/>
      <c r="O373" s="740"/>
      <c r="P373" s="740"/>
      <c r="Q373" s="740"/>
      <c r="R373" s="740"/>
      <c r="S373" s="740"/>
      <c r="T373" s="740"/>
      <c r="U373" s="740"/>
      <c r="V373" s="740"/>
      <c r="W373" s="740"/>
      <c r="X373" s="740"/>
      <c r="Y373" s="740"/>
      <c r="Z373" s="740"/>
      <c r="AA373" s="740"/>
      <c r="AB373" s="740"/>
      <c r="AC373" s="740"/>
      <c r="AD373" s="740"/>
      <c r="AE373" s="740"/>
      <c r="AF373" s="740"/>
      <c r="AG373" s="740"/>
      <c r="AH373" s="740"/>
      <c r="AI373" s="740"/>
      <c r="AJ373" s="740"/>
      <c r="AK373" s="740"/>
      <c r="AL373" s="740"/>
      <c r="AM373" s="740"/>
      <c r="AN373" s="740"/>
      <c r="AO373" s="740"/>
      <c r="AP373" s="740"/>
    </row>
    <row r="374" spans="3:42" ht="15">
      <c r="C374" s="68"/>
      <c r="D374" s="740"/>
      <c r="E374" s="740"/>
      <c r="F374" s="740"/>
      <c r="G374" s="740"/>
      <c r="H374" s="740"/>
      <c r="I374" s="740"/>
      <c r="J374" s="740"/>
      <c r="K374" s="740"/>
      <c r="L374" s="740"/>
      <c r="M374" s="740"/>
      <c r="N374" s="740"/>
      <c r="O374" s="740"/>
      <c r="P374" s="740"/>
      <c r="Q374" s="740"/>
      <c r="R374" s="740"/>
      <c r="S374" s="740"/>
      <c r="T374" s="740"/>
      <c r="U374" s="740"/>
      <c r="V374" s="740"/>
      <c r="W374" s="740"/>
      <c r="X374" s="740"/>
      <c r="Y374" s="740"/>
      <c r="Z374" s="740"/>
      <c r="AA374" s="740"/>
      <c r="AB374" s="740"/>
      <c r="AC374" s="740"/>
      <c r="AD374" s="740"/>
      <c r="AE374" s="740"/>
      <c r="AF374" s="740"/>
      <c r="AG374" s="740"/>
      <c r="AH374" s="740"/>
      <c r="AI374" s="740"/>
      <c r="AJ374" s="740"/>
      <c r="AK374" s="740"/>
      <c r="AL374" s="740"/>
      <c r="AM374" s="740"/>
      <c r="AN374" s="740"/>
      <c r="AO374" s="740"/>
      <c r="AP374" s="740"/>
    </row>
    <row r="375" spans="3:42" ht="15">
      <c r="C375" s="68"/>
      <c r="D375" s="740"/>
      <c r="E375" s="740"/>
      <c r="F375" s="740"/>
      <c r="G375" s="740"/>
      <c r="H375" s="740"/>
      <c r="I375" s="740"/>
      <c r="J375" s="740"/>
      <c r="K375" s="740"/>
      <c r="L375" s="740"/>
      <c r="M375" s="740"/>
      <c r="N375" s="740"/>
      <c r="O375" s="740"/>
      <c r="P375" s="740"/>
      <c r="Q375" s="740"/>
      <c r="R375" s="740"/>
      <c r="S375" s="740"/>
      <c r="T375" s="740"/>
      <c r="U375" s="740"/>
      <c r="V375" s="740"/>
      <c r="W375" s="740"/>
      <c r="X375" s="740"/>
      <c r="Y375" s="740"/>
      <c r="Z375" s="740"/>
      <c r="AA375" s="740"/>
      <c r="AB375" s="740"/>
      <c r="AC375" s="740"/>
      <c r="AD375" s="740"/>
      <c r="AE375" s="740"/>
      <c r="AF375" s="740"/>
      <c r="AG375" s="740"/>
      <c r="AH375" s="740"/>
      <c r="AI375" s="740"/>
      <c r="AJ375" s="740"/>
      <c r="AK375" s="740"/>
      <c r="AL375" s="740"/>
      <c r="AM375" s="740"/>
      <c r="AN375" s="740"/>
      <c r="AO375" s="740"/>
      <c r="AP375" s="740"/>
    </row>
    <row r="376" spans="3:42" ht="15">
      <c r="C376" s="68"/>
      <c r="D376" s="740"/>
      <c r="E376" s="740"/>
      <c r="F376" s="740"/>
      <c r="G376" s="740"/>
      <c r="H376" s="740"/>
      <c r="I376" s="740"/>
      <c r="J376" s="740"/>
      <c r="K376" s="740"/>
      <c r="L376" s="740"/>
      <c r="M376" s="740"/>
      <c r="N376" s="740"/>
      <c r="O376" s="740"/>
      <c r="P376" s="740"/>
      <c r="Q376" s="740"/>
      <c r="R376" s="740"/>
      <c r="S376" s="740"/>
      <c r="T376" s="740"/>
      <c r="U376" s="740"/>
      <c r="V376" s="740"/>
      <c r="W376" s="740"/>
      <c r="X376" s="740"/>
      <c r="Y376" s="740"/>
      <c r="Z376" s="740"/>
      <c r="AA376" s="740"/>
      <c r="AB376" s="740"/>
      <c r="AC376" s="740"/>
      <c r="AD376" s="740"/>
      <c r="AE376" s="740"/>
      <c r="AF376" s="740"/>
      <c r="AG376" s="740"/>
      <c r="AH376" s="740"/>
      <c r="AI376" s="740"/>
      <c r="AJ376" s="740"/>
      <c r="AK376" s="740"/>
      <c r="AL376" s="740"/>
      <c r="AM376" s="740"/>
      <c r="AN376" s="740"/>
      <c r="AO376" s="740"/>
      <c r="AP376" s="740"/>
    </row>
    <row r="377" spans="3:42" ht="15">
      <c r="C377" s="68"/>
      <c r="D377" s="740"/>
      <c r="E377" s="740"/>
      <c r="F377" s="740"/>
      <c r="G377" s="740"/>
      <c r="H377" s="740"/>
      <c r="I377" s="740"/>
      <c r="J377" s="740"/>
      <c r="K377" s="740"/>
      <c r="L377" s="740"/>
      <c r="M377" s="740"/>
      <c r="N377" s="740"/>
      <c r="O377" s="740"/>
      <c r="P377" s="740"/>
      <c r="Q377" s="740"/>
      <c r="R377" s="740"/>
      <c r="S377" s="740"/>
      <c r="T377" s="740"/>
      <c r="U377" s="740"/>
      <c r="V377" s="740"/>
      <c r="W377" s="740"/>
      <c r="X377" s="740"/>
      <c r="Y377" s="740"/>
      <c r="Z377" s="740"/>
      <c r="AA377" s="740"/>
      <c r="AB377" s="740"/>
      <c r="AC377" s="740"/>
      <c r="AD377" s="740"/>
      <c r="AE377" s="740"/>
      <c r="AF377" s="740"/>
      <c r="AG377" s="740"/>
      <c r="AH377" s="740"/>
      <c r="AI377" s="740"/>
      <c r="AJ377" s="740"/>
      <c r="AK377" s="740"/>
      <c r="AL377" s="740"/>
      <c r="AM377" s="740"/>
      <c r="AN377" s="740"/>
      <c r="AO377" s="740"/>
      <c r="AP377" s="740"/>
    </row>
    <row r="378" spans="3:42" ht="15">
      <c r="C378" s="68"/>
      <c r="D378" s="740"/>
      <c r="E378" s="740"/>
      <c r="F378" s="740"/>
      <c r="G378" s="740"/>
      <c r="H378" s="740"/>
      <c r="I378" s="740"/>
      <c r="J378" s="740"/>
      <c r="K378" s="740"/>
      <c r="L378" s="740"/>
      <c r="M378" s="740"/>
      <c r="N378" s="740"/>
      <c r="O378" s="740"/>
      <c r="P378" s="740"/>
      <c r="Q378" s="740"/>
      <c r="R378" s="740"/>
      <c r="S378" s="740"/>
      <c r="T378" s="740"/>
      <c r="U378" s="740"/>
      <c r="V378" s="740"/>
      <c r="W378" s="740"/>
      <c r="X378" s="740"/>
      <c r="Y378" s="740"/>
      <c r="Z378" s="740"/>
      <c r="AA378" s="740"/>
      <c r="AB378" s="740"/>
      <c r="AC378" s="740"/>
      <c r="AD378" s="740"/>
      <c r="AE378" s="740"/>
      <c r="AF378" s="740"/>
      <c r="AG378" s="740"/>
      <c r="AH378" s="740"/>
      <c r="AI378" s="740"/>
      <c r="AJ378" s="740"/>
      <c r="AK378" s="740"/>
      <c r="AL378" s="740"/>
      <c r="AM378" s="740"/>
      <c r="AN378" s="740"/>
      <c r="AO378" s="740"/>
      <c r="AP378" s="740"/>
    </row>
    <row r="379" spans="3:42" ht="15">
      <c r="C379" s="68"/>
      <c r="D379" s="740"/>
      <c r="E379" s="740"/>
      <c r="F379" s="740"/>
      <c r="G379" s="740"/>
      <c r="H379" s="740"/>
      <c r="I379" s="740"/>
      <c r="J379" s="740"/>
      <c r="K379" s="740"/>
      <c r="L379" s="740"/>
      <c r="M379" s="740"/>
      <c r="N379" s="740"/>
      <c r="O379" s="740"/>
      <c r="P379" s="740"/>
      <c r="Q379" s="740"/>
      <c r="R379" s="740"/>
      <c r="S379" s="740"/>
      <c r="T379" s="740"/>
      <c r="U379" s="740"/>
      <c r="V379" s="740"/>
      <c r="W379" s="740"/>
      <c r="X379" s="740"/>
      <c r="Y379" s="740"/>
      <c r="Z379" s="740"/>
      <c r="AA379" s="740"/>
      <c r="AB379" s="740"/>
      <c r="AC379" s="740"/>
      <c r="AD379" s="740"/>
      <c r="AE379" s="740"/>
      <c r="AF379" s="740"/>
      <c r="AG379" s="740"/>
      <c r="AH379" s="740"/>
      <c r="AI379" s="740"/>
      <c r="AJ379" s="740"/>
      <c r="AK379" s="740"/>
      <c r="AL379" s="740"/>
      <c r="AM379" s="740"/>
      <c r="AN379" s="740"/>
      <c r="AO379" s="740"/>
      <c r="AP379" s="740"/>
    </row>
    <row r="380" spans="3:42" ht="15">
      <c r="C380" s="68"/>
      <c r="D380" s="740"/>
      <c r="E380" s="740"/>
      <c r="F380" s="740"/>
      <c r="G380" s="740"/>
      <c r="H380" s="740"/>
      <c r="I380" s="740"/>
      <c r="J380" s="740"/>
      <c r="K380" s="740"/>
      <c r="L380" s="740"/>
      <c r="M380" s="740"/>
      <c r="N380" s="740"/>
      <c r="O380" s="740"/>
      <c r="P380" s="740"/>
      <c r="Q380" s="740"/>
      <c r="R380" s="740"/>
      <c r="S380" s="740"/>
      <c r="T380" s="740"/>
      <c r="U380" s="740"/>
      <c r="V380" s="740"/>
      <c r="W380" s="740"/>
      <c r="X380" s="740"/>
      <c r="Y380" s="740"/>
      <c r="Z380" s="740"/>
      <c r="AA380" s="740"/>
      <c r="AB380" s="740"/>
      <c r="AC380" s="740"/>
      <c r="AD380" s="740"/>
      <c r="AE380" s="740"/>
      <c r="AF380" s="740"/>
      <c r="AG380" s="740"/>
      <c r="AH380" s="740"/>
      <c r="AI380" s="740"/>
      <c r="AJ380" s="740"/>
      <c r="AK380" s="740"/>
      <c r="AL380" s="740"/>
      <c r="AM380" s="740"/>
      <c r="AN380" s="740"/>
      <c r="AO380" s="740"/>
      <c r="AP380" s="740"/>
    </row>
    <row r="381" spans="3:42" ht="15">
      <c r="C381" s="68"/>
      <c r="D381" s="740"/>
      <c r="E381" s="740"/>
      <c r="F381" s="740"/>
      <c r="G381" s="740"/>
      <c r="H381" s="740"/>
      <c r="I381" s="740"/>
      <c r="J381" s="740"/>
      <c r="K381" s="740"/>
      <c r="L381" s="740"/>
      <c r="M381" s="740"/>
      <c r="N381" s="740"/>
      <c r="O381" s="740"/>
      <c r="P381" s="740"/>
      <c r="Q381" s="740"/>
      <c r="R381" s="740"/>
      <c r="S381" s="740"/>
      <c r="T381" s="740"/>
      <c r="U381" s="740"/>
      <c r="V381" s="740"/>
      <c r="W381" s="740"/>
      <c r="X381" s="740"/>
      <c r="Y381" s="740"/>
      <c r="Z381" s="740"/>
      <c r="AA381" s="740"/>
      <c r="AB381" s="740"/>
      <c r="AC381" s="740"/>
      <c r="AD381" s="740"/>
      <c r="AE381" s="740"/>
      <c r="AF381" s="740"/>
      <c r="AG381" s="740"/>
      <c r="AH381" s="740"/>
      <c r="AI381" s="740"/>
      <c r="AJ381" s="740"/>
      <c r="AK381" s="740"/>
      <c r="AL381" s="740"/>
      <c r="AM381" s="740"/>
      <c r="AN381" s="740"/>
      <c r="AO381" s="740"/>
      <c r="AP381" s="740"/>
    </row>
    <row r="382" spans="3:42" ht="15">
      <c r="C382" s="68"/>
      <c r="D382" s="740"/>
      <c r="E382" s="740"/>
      <c r="F382" s="740"/>
      <c r="G382" s="740"/>
      <c r="H382" s="740"/>
      <c r="I382" s="740"/>
      <c r="J382" s="740"/>
      <c r="K382" s="740"/>
      <c r="L382" s="740"/>
      <c r="M382" s="740"/>
      <c r="N382" s="740"/>
      <c r="O382" s="740"/>
      <c r="P382" s="740"/>
      <c r="Q382" s="740"/>
      <c r="R382" s="740"/>
      <c r="S382" s="740"/>
      <c r="T382" s="740"/>
      <c r="U382" s="740"/>
      <c r="V382" s="740"/>
      <c r="W382" s="740"/>
      <c r="X382" s="740"/>
      <c r="Y382" s="740"/>
      <c r="Z382" s="740"/>
      <c r="AA382" s="740"/>
      <c r="AB382" s="740"/>
      <c r="AC382" s="740"/>
      <c r="AD382" s="740"/>
      <c r="AE382" s="740"/>
      <c r="AF382" s="740"/>
      <c r="AG382" s="740"/>
      <c r="AH382" s="740"/>
      <c r="AI382" s="740"/>
      <c r="AJ382" s="740"/>
      <c r="AK382" s="740"/>
      <c r="AL382" s="740"/>
      <c r="AM382" s="740"/>
      <c r="AN382" s="740"/>
      <c r="AO382" s="740"/>
      <c r="AP382" s="740"/>
    </row>
    <row r="383" spans="3:42" ht="15">
      <c r="C383" s="68"/>
      <c r="D383" s="740"/>
      <c r="E383" s="740"/>
      <c r="F383" s="740"/>
      <c r="G383" s="740"/>
      <c r="H383" s="740"/>
      <c r="I383" s="740"/>
      <c r="J383" s="740"/>
      <c r="K383" s="740"/>
      <c r="L383" s="740"/>
      <c r="M383" s="740"/>
      <c r="N383" s="740"/>
      <c r="O383" s="740"/>
      <c r="P383" s="740"/>
      <c r="Q383" s="740"/>
      <c r="R383" s="740"/>
      <c r="S383" s="740"/>
      <c r="T383" s="740"/>
      <c r="U383" s="740"/>
      <c r="V383" s="740"/>
      <c r="W383" s="740"/>
      <c r="X383" s="740"/>
      <c r="Y383" s="740"/>
      <c r="Z383" s="740"/>
      <c r="AA383" s="740"/>
      <c r="AB383" s="740"/>
      <c r="AC383" s="740"/>
      <c r="AD383" s="740"/>
      <c r="AE383" s="740"/>
      <c r="AF383" s="740"/>
      <c r="AG383" s="740"/>
      <c r="AH383" s="740"/>
      <c r="AI383" s="740"/>
      <c r="AJ383" s="740"/>
      <c r="AK383" s="740"/>
      <c r="AL383" s="740"/>
      <c r="AM383" s="740"/>
      <c r="AN383" s="740"/>
      <c r="AO383" s="740"/>
      <c r="AP383" s="740"/>
    </row>
    <row r="384" spans="3:42" ht="15">
      <c r="C384" s="68"/>
      <c r="D384" s="740"/>
      <c r="E384" s="740"/>
      <c r="F384" s="740"/>
      <c r="G384" s="740"/>
      <c r="H384" s="740"/>
      <c r="I384" s="740"/>
      <c r="J384" s="740"/>
      <c r="K384" s="740"/>
      <c r="L384" s="740"/>
      <c r="M384" s="740"/>
      <c r="N384" s="740"/>
      <c r="O384" s="740"/>
      <c r="P384" s="740"/>
      <c r="Q384" s="740"/>
      <c r="R384" s="740"/>
      <c r="S384" s="740"/>
      <c r="T384" s="740"/>
      <c r="U384" s="740"/>
      <c r="V384" s="740"/>
      <c r="W384" s="740"/>
      <c r="X384" s="740"/>
      <c r="Y384" s="740"/>
      <c r="Z384" s="740"/>
      <c r="AA384" s="740"/>
      <c r="AB384" s="740"/>
      <c r="AC384" s="740"/>
      <c r="AD384" s="740"/>
      <c r="AE384" s="740"/>
      <c r="AF384" s="740"/>
      <c r="AG384" s="740"/>
      <c r="AH384" s="740"/>
      <c r="AI384" s="740"/>
      <c r="AJ384" s="740"/>
      <c r="AK384" s="740"/>
      <c r="AL384" s="740"/>
      <c r="AM384" s="740"/>
      <c r="AN384" s="740"/>
      <c r="AO384" s="740"/>
      <c r="AP384" s="740"/>
    </row>
    <row r="385" spans="3:42" ht="15">
      <c r="C385" s="68"/>
      <c r="D385" s="740"/>
      <c r="E385" s="740"/>
      <c r="F385" s="740"/>
      <c r="G385" s="740"/>
      <c r="H385" s="740"/>
      <c r="I385" s="740"/>
      <c r="J385" s="740"/>
      <c r="K385" s="740"/>
      <c r="L385" s="740"/>
      <c r="M385" s="740"/>
      <c r="N385" s="740"/>
      <c r="O385" s="740"/>
      <c r="P385" s="740"/>
      <c r="Q385" s="740"/>
      <c r="R385" s="740"/>
      <c r="S385" s="740"/>
      <c r="T385" s="740"/>
      <c r="U385" s="740"/>
      <c r="V385" s="740"/>
      <c r="W385" s="740"/>
      <c r="X385" s="740"/>
      <c r="Y385" s="740"/>
      <c r="Z385" s="740"/>
      <c r="AA385" s="740"/>
      <c r="AB385" s="740"/>
      <c r="AC385" s="740"/>
      <c r="AD385" s="740"/>
      <c r="AE385" s="740"/>
      <c r="AF385" s="740"/>
      <c r="AG385" s="740"/>
      <c r="AH385" s="740"/>
      <c r="AI385" s="740"/>
      <c r="AJ385" s="740"/>
      <c r="AK385" s="740"/>
      <c r="AL385" s="740"/>
      <c r="AM385" s="740"/>
      <c r="AN385" s="740"/>
      <c r="AO385" s="740"/>
      <c r="AP385" s="740"/>
    </row>
    <row r="386" spans="3:42" ht="15">
      <c r="C386" s="68"/>
      <c r="D386" s="740"/>
      <c r="E386" s="740"/>
      <c r="F386" s="740"/>
      <c r="G386" s="740"/>
      <c r="H386" s="740"/>
      <c r="I386" s="740"/>
      <c r="J386" s="740"/>
      <c r="K386" s="740"/>
      <c r="L386" s="740"/>
      <c r="M386" s="740"/>
      <c r="N386" s="740"/>
      <c r="O386" s="740"/>
      <c r="P386" s="740"/>
      <c r="Q386" s="740"/>
      <c r="R386" s="740"/>
      <c r="S386" s="740"/>
      <c r="T386" s="740"/>
      <c r="U386" s="740"/>
      <c r="V386" s="740"/>
      <c r="W386" s="740"/>
      <c r="X386" s="740"/>
      <c r="Y386" s="740"/>
      <c r="Z386" s="740"/>
      <c r="AA386" s="740"/>
      <c r="AB386" s="740"/>
      <c r="AC386" s="740"/>
      <c r="AD386" s="740"/>
      <c r="AE386" s="740"/>
      <c r="AF386" s="740"/>
      <c r="AG386" s="740"/>
      <c r="AH386" s="740"/>
      <c r="AI386" s="740"/>
      <c r="AJ386" s="740"/>
      <c r="AK386" s="740"/>
      <c r="AL386" s="740"/>
      <c r="AM386" s="740"/>
      <c r="AN386" s="740"/>
      <c r="AO386" s="740"/>
      <c r="AP386" s="740"/>
    </row>
    <row r="387" spans="3:42" ht="15">
      <c r="C387" s="68"/>
      <c r="D387" s="740"/>
      <c r="E387" s="740"/>
      <c r="F387" s="740"/>
      <c r="G387" s="740"/>
      <c r="H387" s="740"/>
      <c r="I387" s="740"/>
      <c r="J387" s="740"/>
      <c r="K387" s="740"/>
      <c r="L387" s="740"/>
      <c r="M387" s="740"/>
      <c r="N387" s="740"/>
      <c r="O387" s="740"/>
      <c r="P387" s="740"/>
      <c r="Q387" s="740"/>
      <c r="R387" s="740"/>
      <c r="S387" s="740"/>
      <c r="T387" s="740"/>
      <c r="U387" s="740"/>
      <c r="V387" s="740"/>
      <c r="W387" s="740"/>
      <c r="X387" s="740"/>
      <c r="Y387" s="740"/>
      <c r="Z387" s="740"/>
      <c r="AA387" s="740"/>
      <c r="AB387" s="740"/>
      <c r="AC387" s="740"/>
      <c r="AD387" s="740"/>
      <c r="AE387" s="740"/>
      <c r="AF387" s="740"/>
      <c r="AG387" s="740"/>
      <c r="AH387" s="740"/>
      <c r="AI387" s="740"/>
      <c r="AJ387" s="740"/>
      <c r="AK387" s="740"/>
      <c r="AL387" s="740"/>
      <c r="AM387" s="740"/>
      <c r="AN387" s="740"/>
      <c r="AO387" s="740"/>
      <c r="AP387" s="740"/>
    </row>
    <row r="388" spans="3:42" ht="15">
      <c r="C388" s="68"/>
      <c r="D388" s="740"/>
      <c r="E388" s="740"/>
      <c r="F388" s="740"/>
      <c r="G388" s="740"/>
      <c r="H388" s="740"/>
      <c r="I388" s="740"/>
      <c r="J388" s="740"/>
      <c r="K388" s="740"/>
      <c r="L388" s="740"/>
      <c r="M388" s="740"/>
      <c r="N388" s="740"/>
      <c r="O388" s="740"/>
      <c r="P388" s="740"/>
      <c r="Q388" s="740"/>
      <c r="R388" s="740"/>
      <c r="S388" s="740"/>
      <c r="T388" s="740"/>
      <c r="U388" s="740"/>
      <c r="V388" s="740"/>
      <c r="W388" s="740"/>
      <c r="X388" s="740"/>
      <c r="Y388" s="740"/>
      <c r="Z388" s="740"/>
      <c r="AA388" s="740"/>
      <c r="AB388" s="740"/>
      <c r="AC388" s="740"/>
      <c r="AD388" s="740"/>
      <c r="AE388" s="740"/>
      <c r="AF388" s="740"/>
      <c r="AG388" s="740"/>
      <c r="AH388" s="740"/>
      <c r="AI388" s="740"/>
      <c r="AJ388" s="740"/>
      <c r="AK388" s="740"/>
      <c r="AL388" s="740"/>
      <c r="AM388" s="740"/>
      <c r="AN388" s="740"/>
      <c r="AO388" s="740"/>
      <c r="AP388" s="740"/>
    </row>
    <row r="389" spans="3:42" ht="15">
      <c r="C389" s="68"/>
      <c r="D389" s="740"/>
      <c r="E389" s="740"/>
      <c r="F389" s="740"/>
      <c r="G389" s="740"/>
      <c r="H389" s="740"/>
      <c r="I389" s="740"/>
      <c r="J389" s="740"/>
      <c r="K389" s="740"/>
      <c r="L389" s="740"/>
      <c r="M389" s="740"/>
      <c r="N389" s="740"/>
      <c r="O389" s="740"/>
      <c r="P389" s="740"/>
      <c r="Q389" s="740"/>
      <c r="R389" s="740"/>
      <c r="S389" s="740"/>
      <c r="T389" s="740"/>
      <c r="U389" s="740"/>
      <c r="V389" s="740"/>
      <c r="W389" s="740"/>
      <c r="X389" s="740"/>
      <c r="Y389" s="740"/>
      <c r="Z389" s="740"/>
      <c r="AA389" s="740"/>
      <c r="AB389" s="740"/>
      <c r="AC389" s="740"/>
      <c r="AD389" s="740"/>
      <c r="AE389" s="740"/>
      <c r="AF389" s="740"/>
      <c r="AG389" s="740"/>
      <c r="AH389" s="740"/>
      <c r="AI389" s="740"/>
      <c r="AJ389" s="740"/>
      <c r="AK389" s="740"/>
      <c r="AL389" s="740"/>
      <c r="AM389" s="740"/>
      <c r="AN389" s="740"/>
      <c r="AO389" s="740"/>
      <c r="AP389" s="740"/>
    </row>
    <row r="390" spans="3:42" ht="15">
      <c r="C390" s="68"/>
      <c r="D390" s="740"/>
      <c r="E390" s="740"/>
      <c r="F390" s="740"/>
      <c r="G390" s="740"/>
      <c r="H390" s="740"/>
      <c r="I390" s="740"/>
      <c r="J390" s="740"/>
      <c r="K390" s="740"/>
      <c r="L390" s="740"/>
      <c r="M390" s="740"/>
      <c r="N390" s="740"/>
      <c r="O390" s="740"/>
      <c r="P390" s="740"/>
      <c r="Q390" s="740"/>
      <c r="R390" s="740"/>
      <c r="S390" s="740"/>
      <c r="T390" s="740"/>
      <c r="U390" s="740"/>
      <c r="V390" s="740"/>
      <c r="W390" s="740"/>
      <c r="X390" s="740"/>
      <c r="Y390" s="740"/>
      <c r="Z390" s="740"/>
      <c r="AA390" s="740"/>
      <c r="AB390" s="740"/>
      <c r="AC390" s="740"/>
      <c r="AD390" s="740"/>
      <c r="AE390" s="740"/>
      <c r="AF390" s="740"/>
      <c r="AG390" s="740"/>
      <c r="AH390" s="740"/>
      <c r="AI390" s="740"/>
      <c r="AJ390" s="740"/>
      <c r="AK390" s="740"/>
      <c r="AL390" s="740"/>
      <c r="AM390" s="740"/>
      <c r="AN390" s="740"/>
      <c r="AO390" s="740"/>
      <c r="AP390" s="740"/>
    </row>
    <row r="391" spans="3:42" ht="15">
      <c r="C391" s="68"/>
      <c r="D391" s="740"/>
      <c r="E391" s="740"/>
      <c r="F391" s="740"/>
      <c r="G391" s="740"/>
      <c r="H391" s="740"/>
      <c r="I391" s="740"/>
      <c r="J391" s="740"/>
      <c r="K391" s="740"/>
      <c r="L391" s="740"/>
      <c r="M391" s="740"/>
      <c r="N391" s="740"/>
      <c r="O391" s="740"/>
      <c r="P391" s="740"/>
      <c r="Q391" s="740"/>
      <c r="R391" s="740"/>
      <c r="S391" s="740"/>
      <c r="T391" s="740"/>
      <c r="U391" s="740"/>
      <c r="V391" s="740"/>
      <c r="W391" s="740"/>
      <c r="X391" s="740"/>
      <c r="Y391" s="740"/>
      <c r="Z391" s="740"/>
      <c r="AA391" s="740"/>
      <c r="AB391" s="740"/>
      <c r="AC391" s="740"/>
      <c r="AD391" s="740"/>
      <c r="AE391" s="740"/>
      <c r="AF391" s="740"/>
      <c r="AG391" s="740"/>
      <c r="AH391" s="740"/>
      <c r="AI391" s="740"/>
      <c r="AJ391" s="740"/>
      <c r="AK391" s="740"/>
      <c r="AL391" s="740"/>
      <c r="AM391" s="740"/>
      <c r="AN391" s="740"/>
      <c r="AO391" s="740"/>
      <c r="AP391" s="740"/>
    </row>
    <row r="392" spans="3:42" ht="15">
      <c r="C392" s="68"/>
      <c r="D392" s="740"/>
      <c r="E392" s="740"/>
      <c r="F392" s="740"/>
      <c r="G392" s="740"/>
      <c r="H392" s="740"/>
      <c r="I392" s="740"/>
      <c r="J392" s="740"/>
      <c r="K392" s="740"/>
      <c r="L392" s="740"/>
      <c r="M392" s="740"/>
      <c r="N392" s="740"/>
      <c r="O392" s="740"/>
      <c r="P392" s="740"/>
      <c r="Q392" s="740"/>
      <c r="R392" s="740"/>
      <c r="S392" s="740"/>
      <c r="T392" s="740"/>
      <c r="U392" s="740"/>
      <c r="V392" s="740"/>
      <c r="W392" s="740"/>
      <c r="X392" s="740"/>
      <c r="Y392" s="740"/>
      <c r="Z392" s="740"/>
      <c r="AA392" s="740"/>
      <c r="AB392" s="740"/>
      <c r="AC392" s="740"/>
      <c r="AD392" s="740"/>
      <c r="AE392" s="740"/>
      <c r="AF392" s="740"/>
      <c r="AG392" s="740"/>
      <c r="AH392" s="740"/>
      <c r="AI392" s="740"/>
      <c r="AJ392" s="740"/>
      <c r="AK392" s="740"/>
      <c r="AL392" s="740"/>
      <c r="AM392" s="740"/>
      <c r="AN392" s="740"/>
      <c r="AO392" s="740"/>
      <c r="AP392" s="740"/>
    </row>
    <row r="393" spans="3:42" ht="15">
      <c r="C393" s="68"/>
      <c r="D393" s="740"/>
      <c r="E393" s="740"/>
      <c r="F393" s="740"/>
      <c r="G393" s="740"/>
      <c r="H393" s="740"/>
      <c r="I393" s="740"/>
      <c r="J393" s="740"/>
      <c r="K393" s="740"/>
      <c r="L393" s="740"/>
      <c r="M393" s="740"/>
      <c r="N393" s="740"/>
      <c r="O393" s="740"/>
      <c r="P393" s="740"/>
      <c r="Q393" s="740"/>
      <c r="R393" s="740"/>
      <c r="S393" s="740"/>
      <c r="T393" s="740"/>
      <c r="U393" s="740"/>
      <c r="V393" s="740"/>
      <c r="W393" s="740"/>
      <c r="X393" s="740"/>
      <c r="Y393" s="740"/>
      <c r="Z393" s="740"/>
      <c r="AA393" s="740"/>
      <c r="AB393" s="740"/>
      <c r="AC393" s="740"/>
      <c r="AD393" s="740"/>
      <c r="AE393" s="740"/>
      <c r="AF393" s="740"/>
      <c r="AG393" s="740"/>
      <c r="AH393" s="740"/>
      <c r="AI393" s="740"/>
      <c r="AJ393" s="740"/>
      <c r="AK393" s="740"/>
      <c r="AL393" s="740"/>
      <c r="AM393" s="740"/>
      <c r="AN393" s="740"/>
      <c r="AO393" s="740"/>
      <c r="AP393" s="740"/>
    </row>
    <row r="394" spans="3:42" ht="15">
      <c r="C394" s="68"/>
      <c r="D394" s="740"/>
      <c r="E394" s="740"/>
      <c r="F394" s="740"/>
      <c r="G394" s="740"/>
      <c r="H394" s="740"/>
      <c r="I394" s="740"/>
      <c r="J394" s="740"/>
      <c r="K394" s="740"/>
      <c r="L394" s="740"/>
      <c r="M394" s="740"/>
      <c r="N394" s="740"/>
      <c r="O394" s="740"/>
      <c r="P394" s="740"/>
      <c r="Q394" s="740"/>
      <c r="R394" s="740"/>
      <c r="S394" s="740"/>
      <c r="T394" s="740"/>
      <c r="U394" s="740"/>
      <c r="V394" s="740"/>
      <c r="W394" s="740"/>
      <c r="X394" s="740"/>
      <c r="Y394" s="740"/>
      <c r="Z394" s="740"/>
      <c r="AA394" s="740"/>
      <c r="AB394" s="740"/>
      <c r="AC394" s="740"/>
      <c r="AD394" s="740"/>
      <c r="AE394" s="740"/>
      <c r="AF394" s="740"/>
      <c r="AG394" s="740"/>
      <c r="AH394" s="740"/>
      <c r="AI394" s="740"/>
      <c r="AJ394" s="740"/>
      <c r="AK394" s="740"/>
      <c r="AL394" s="740"/>
      <c r="AM394" s="740"/>
      <c r="AN394" s="740"/>
      <c r="AO394" s="740"/>
      <c r="AP394" s="740"/>
    </row>
    <row r="395" spans="3:42" ht="15">
      <c r="C395" s="68"/>
      <c r="D395" s="740"/>
      <c r="E395" s="740"/>
      <c r="F395" s="740"/>
      <c r="G395" s="740"/>
      <c r="H395" s="740"/>
      <c r="I395" s="740"/>
      <c r="J395" s="740"/>
      <c r="K395" s="740"/>
      <c r="L395" s="740"/>
      <c r="M395" s="740"/>
      <c r="N395" s="740"/>
      <c r="O395" s="740"/>
      <c r="P395" s="740"/>
      <c r="Q395" s="740"/>
      <c r="R395" s="740"/>
      <c r="S395" s="740"/>
      <c r="T395" s="740"/>
      <c r="U395" s="740"/>
      <c r="V395" s="740"/>
      <c r="W395" s="740"/>
      <c r="X395" s="740"/>
      <c r="Y395" s="740"/>
      <c r="Z395" s="740"/>
      <c r="AA395" s="740"/>
      <c r="AB395" s="740"/>
      <c r="AC395" s="740"/>
      <c r="AD395" s="740"/>
      <c r="AE395" s="740"/>
      <c r="AF395" s="740"/>
      <c r="AG395" s="740"/>
      <c r="AH395" s="740"/>
      <c r="AI395" s="740"/>
      <c r="AJ395" s="740"/>
      <c r="AK395" s="740"/>
      <c r="AL395" s="740"/>
      <c r="AM395" s="740"/>
      <c r="AN395" s="740"/>
      <c r="AO395" s="740"/>
      <c r="AP395" s="740"/>
    </row>
    <row r="396" spans="3:42" ht="15">
      <c r="C396" s="68"/>
      <c r="D396" s="740"/>
      <c r="E396" s="740"/>
      <c r="F396" s="740"/>
      <c r="G396" s="740"/>
      <c r="H396" s="740"/>
      <c r="I396" s="740"/>
      <c r="J396" s="740"/>
      <c r="K396" s="740"/>
      <c r="L396" s="740"/>
      <c r="M396" s="740"/>
      <c r="N396" s="740"/>
      <c r="O396" s="740"/>
      <c r="P396" s="740"/>
      <c r="Q396" s="740"/>
      <c r="R396" s="740"/>
      <c r="S396" s="740"/>
      <c r="T396" s="740"/>
      <c r="U396" s="740"/>
      <c r="V396" s="740"/>
      <c r="W396" s="740"/>
      <c r="X396" s="740"/>
      <c r="Y396" s="740"/>
      <c r="Z396" s="740"/>
      <c r="AA396" s="740"/>
      <c r="AB396" s="740"/>
      <c r="AC396" s="740"/>
      <c r="AD396" s="740"/>
      <c r="AE396" s="740"/>
      <c r="AF396" s="740"/>
      <c r="AG396" s="740"/>
      <c r="AH396" s="740"/>
      <c r="AI396" s="740"/>
      <c r="AJ396" s="740"/>
      <c r="AK396" s="740"/>
      <c r="AL396" s="740"/>
      <c r="AM396" s="740"/>
      <c r="AN396" s="740"/>
      <c r="AO396" s="740"/>
      <c r="AP396" s="740"/>
    </row>
    <row r="397" spans="3:42" ht="15">
      <c r="C397" s="68"/>
      <c r="D397" s="740"/>
      <c r="E397" s="740"/>
      <c r="F397" s="740"/>
      <c r="G397" s="740"/>
      <c r="H397" s="740"/>
      <c r="I397" s="740"/>
      <c r="J397" s="740"/>
      <c r="K397" s="740"/>
      <c r="L397" s="740"/>
      <c r="M397" s="740"/>
      <c r="N397" s="740"/>
      <c r="O397" s="740"/>
      <c r="P397" s="740"/>
      <c r="Q397" s="740"/>
      <c r="R397" s="740"/>
      <c r="S397" s="740"/>
      <c r="T397" s="740"/>
      <c r="U397" s="740"/>
      <c r="V397" s="740"/>
      <c r="W397" s="740"/>
      <c r="X397" s="740"/>
      <c r="Y397" s="740"/>
      <c r="Z397" s="740"/>
      <c r="AA397" s="740"/>
      <c r="AB397" s="740"/>
      <c r="AC397" s="740"/>
      <c r="AD397" s="740"/>
      <c r="AE397" s="740"/>
      <c r="AF397" s="740"/>
      <c r="AG397" s="740"/>
      <c r="AH397" s="740"/>
      <c r="AI397" s="740"/>
      <c r="AJ397" s="740"/>
      <c r="AK397" s="740"/>
      <c r="AL397" s="740"/>
      <c r="AM397" s="740"/>
      <c r="AN397" s="740"/>
      <c r="AO397" s="740"/>
      <c r="AP397" s="740"/>
    </row>
    <row r="398" spans="3:42" ht="15">
      <c r="C398" s="68"/>
      <c r="D398" s="740"/>
      <c r="E398" s="740"/>
      <c r="F398" s="740"/>
      <c r="G398" s="740"/>
      <c r="H398" s="740"/>
      <c r="I398" s="740"/>
      <c r="J398" s="740"/>
      <c r="K398" s="740"/>
      <c r="L398" s="740"/>
      <c r="M398" s="740"/>
      <c r="N398" s="740"/>
      <c r="O398" s="740"/>
      <c r="P398" s="740"/>
      <c r="Q398" s="740"/>
      <c r="R398" s="740"/>
      <c r="S398" s="740"/>
      <c r="T398" s="740"/>
      <c r="U398" s="740"/>
      <c r="V398" s="740"/>
      <c r="W398" s="740"/>
      <c r="X398" s="740"/>
      <c r="Y398" s="740"/>
      <c r="Z398" s="740"/>
      <c r="AA398" s="740"/>
      <c r="AB398" s="740"/>
      <c r="AC398" s="740"/>
      <c r="AD398" s="740"/>
      <c r="AE398" s="740"/>
      <c r="AF398" s="740"/>
      <c r="AG398" s="740"/>
      <c r="AH398" s="740"/>
      <c r="AI398" s="740"/>
      <c r="AJ398" s="740"/>
      <c r="AK398" s="740"/>
      <c r="AL398" s="740"/>
      <c r="AM398" s="740"/>
      <c r="AN398" s="740"/>
      <c r="AO398" s="740"/>
      <c r="AP398" s="740"/>
    </row>
    <row r="399" spans="3:42" ht="15">
      <c r="C399" s="68"/>
      <c r="D399" s="740"/>
      <c r="E399" s="740"/>
      <c r="F399" s="740"/>
      <c r="G399" s="740"/>
      <c r="H399" s="740"/>
      <c r="I399" s="740"/>
      <c r="J399" s="740"/>
      <c r="K399" s="740"/>
      <c r="L399" s="740"/>
      <c r="M399" s="740"/>
      <c r="N399" s="740"/>
      <c r="O399" s="740"/>
      <c r="P399" s="740"/>
      <c r="Q399" s="740"/>
      <c r="R399" s="740"/>
      <c r="S399" s="740"/>
      <c r="T399" s="740"/>
      <c r="U399" s="740"/>
      <c r="V399" s="740"/>
      <c r="W399" s="740"/>
      <c r="X399" s="740"/>
      <c r="Y399" s="740"/>
      <c r="Z399" s="740"/>
      <c r="AA399" s="740"/>
      <c r="AB399" s="740"/>
      <c r="AC399" s="740"/>
      <c r="AD399" s="740"/>
      <c r="AE399" s="740"/>
      <c r="AF399" s="740"/>
      <c r="AG399" s="740"/>
      <c r="AH399" s="740"/>
      <c r="AI399" s="740"/>
      <c r="AJ399" s="740"/>
      <c r="AK399" s="740"/>
      <c r="AL399" s="740"/>
      <c r="AM399" s="740"/>
      <c r="AN399" s="740"/>
      <c r="AO399" s="740"/>
      <c r="AP399" s="740"/>
    </row>
    <row r="400" spans="3:42" ht="15">
      <c r="C400" s="68"/>
      <c r="D400" s="740"/>
      <c r="E400" s="740"/>
      <c r="F400" s="740"/>
      <c r="G400" s="740"/>
      <c r="H400" s="740"/>
      <c r="I400" s="740"/>
      <c r="J400" s="740"/>
      <c r="K400" s="740"/>
      <c r="L400" s="740"/>
      <c r="M400" s="740"/>
      <c r="N400" s="740"/>
      <c r="O400" s="740"/>
      <c r="P400" s="740"/>
      <c r="Q400" s="740"/>
      <c r="R400" s="740"/>
      <c r="S400" s="740"/>
      <c r="T400" s="740"/>
      <c r="U400" s="740"/>
      <c r="V400" s="740"/>
      <c r="W400" s="740"/>
      <c r="X400" s="740"/>
      <c r="Y400" s="740"/>
      <c r="Z400" s="740"/>
      <c r="AA400" s="740"/>
      <c r="AB400" s="740"/>
      <c r="AC400" s="740"/>
      <c r="AD400" s="740"/>
      <c r="AE400" s="740"/>
      <c r="AF400" s="740"/>
      <c r="AG400" s="740"/>
      <c r="AH400" s="740"/>
      <c r="AI400" s="740"/>
      <c r="AJ400" s="740"/>
      <c r="AK400" s="740"/>
      <c r="AL400" s="740"/>
      <c r="AM400" s="740"/>
      <c r="AN400" s="740"/>
      <c r="AO400" s="740"/>
      <c r="AP400" s="740"/>
    </row>
    <row r="401" spans="3:42" ht="15">
      <c r="C401" s="68"/>
      <c r="D401" s="740"/>
      <c r="E401" s="740"/>
      <c r="F401" s="740"/>
      <c r="G401" s="740"/>
      <c r="H401" s="740"/>
      <c r="I401" s="740"/>
      <c r="J401" s="740"/>
      <c r="K401" s="740"/>
      <c r="L401" s="740"/>
      <c r="M401" s="740"/>
      <c r="N401" s="740"/>
      <c r="O401" s="740"/>
      <c r="P401" s="740"/>
      <c r="Q401" s="740"/>
      <c r="R401" s="740"/>
      <c r="S401" s="740"/>
      <c r="T401" s="740"/>
      <c r="U401" s="740"/>
      <c r="V401" s="740"/>
      <c r="W401" s="740"/>
      <c r="X401" s="740"/>
      <c r="Y401" s="740"/>
      <c r="Z401" s="740"/>
      <c r="AA401" s="740"/>
      <c r="AB401" s="740"/>
      <c r="AC401" s="740"/>
      <c r="AD401" s="740"/>
      <c r="AE401" s="740"/>
      <c r="AF401" s="740"/>
      <c r="AG401" s="740"/>
      <c r="AH401" s="740"/>
      <c r="AI401" s="740"/>
      <c r="AJ401" s="740"/>
      <c r="AK401" s="740"/>
      <c r="AL401" s="740"/>
      <c r="AM401" s="740"/>
      <c r="AN401" s="740"/>
      <c r="AO401" s="740"/>
      <c r="AP401" s="740"/>
    </row>
    <row r="402" spans="3:42" ht="15">
      <c r="C402" s="68"/>
      <c r="D402" s="740"/>
      <c r="E402" s="740"/>
      <c r="F402" s="740"/>
      <c r="G402" s="740"/>
      <c r="H402" s="740"/>
      <c r="I402" s="740"/>
      <c r="J402" s="740"/>
      <c r="K402" s="740"/>
      <c r="L402" s="740"/>
      <c r="M402" s="740"/>
      <c r="N402" s="740"/>
      <c r="O402" s="740"/>
      <c r="P402" s="740"/>
      <c r="Q402" s="740"/>
      <c r="R402" s="740"/>
      <c r="S402" s="740"/>
      <c r="T402" s="740"/>
      <c r="U402" s="740"/>
      <c r="V402" s="740"/>
      <c r="W402" s="740"/>
      <c r="X402" s="740"/>
      <c r="Y402" s="740"/>
      <c r="Z402" s="740"/>
      <c r="AA402" s="740"/>
      <c r="AB402" s="740"/>
      <c r="AC402" s="740"/>
      <c r="AD402" s="740"/>
      <c r="AE402" s="740"/>
      <c r="AF402" s="740"/>
      <c r="AG402" s="740"/>
      <c r="AH402" s="740"/>
      <c r="AI402" s="740"/>
      <c r="AJ402" s="740"/>
      <c r="AK402" s="740"/>
      <c r="AL402" s="740"/>
      <c r="AM402" s="740"/>
      <c r="AN402" s="740"/>
      <c r="AO402" s="740"/>
      <c r="AP402" s="740"/>
    </row>
    <row r="403" spans="3:42" ht="15">
      <c r="C403" s="68"/>
      <c r="D403" s="740"/>
      <c r="E403" s="740"/>
      <c r="F403" s="740"/>
      <c r="G403" s="740"/>
      <c r="H403" s="740"/>
      <c r="I403" s="740"/>
      <c r="J403" s="740"/>
      <c r="K403" s="740"/>
      <c r="L403" s="740"/>
      <c r="M403" s="740"/>
      <c r="N403" s="740"/>
      <c r="O403" s="740"/>
      <c r="P403" s="740"/>
      <c r="Q403" s="740"/>
      <c r="R403" s="740"/>
      <c r="S403" s="740"/>
      <c r="T403" s="740"/>
      <c r="U403" s="740"/>
      <c r="V403" s="740"/>
      <c r="W403" s="740"/>
      <c r="X403" s="740"/>
      <c r="Y403" s="740"/>
      <c r="Z403" s="740"/>
      <c r="AA403" s="740"/>
      <c r="AB403" s="740"/>
      <c r="AC403" s="740"/>
      <c r="AD403" s="740"/>
      <c r="AE403" s="740"/>
      <c r="AF403" s="740"/>
      <c r="AG403" s="740"/>
      <c r="AH403" s="740"/>
      <c r="AI403" s="740"/>
      <c r="AJ403" s="740"/>
      <c r="AK403" s="740"/>
      <c r="AL403" s="740"/>
      <c r="AM403" s="740"/>
      <c r="AN403" s="740"/>
      <c r="AO403" s="740"/>
      <c r="AP403" s="740"/>
    </row>
    <row r="404" spans="3:42" ht="15">
      <c r="C404" s="68"/>
      <c r="D404" s="740"/>
      <c r="E404" s="740"/>
      <c r="F404" s="740"/>
      <c r="G404" s="740"/>
      <c r="H404" s="740"/>
      <c r="I404" s="740"/>
      <c r="J404" s="740"/>
      <c r="K404" s="740"/>
      <c r="L404" s="740"/>
      <c r="M404" s="740"/>
      <c r="N404" s="740"/>
      <c r="O404" s="740"/>
      <c r="P404" s="740"/>
      <c r="Q404" s="740"/>
      <c r="R404" s="740"/>
      <c r="S404" s="740"/>
      <c r="T404" s="740"/>
      <c r="U404" s="740"/>
      <c r="V404" s="740"/>
      <c r="W404" s="740"/>
      <c r="X404" s="740"/>
      <c r="Y404" s="740"/>
      <c r="Z404" s="740"/>
      <c r="AA404" s="740"/>
      <c r="AB404" s="740"/>
      <c r="AC404" s="740"/>
      <c r="AD404" s="740"/>
      <c r="AE404" s="740"/>
      <c r="AF404" s="740"/>
      <c r="AG404" s="740"/>
      <c r="AH404" s="740"/>
      <c r="AI404" s="740"/>
      <c r="AJ404" s="740"/>
      <c r="AK404" s="740"/>
      <c r="AL404" s="740"/>
      <c r="AM404" s="740"/>
      <c r="AN404" s="740"/>
      <c r="AO404" s="740"/>
      <c r="AP404" s="740"/>
    </row>
    <row r="405" spans="3:42" ht="15">
      <c r="C405" s="68"/>
      <c r="D405" s="740"/>
      <c r="E405" s="740"/>
      <c r="F405" s="740"/>
      <c r="G405" s="740"/>
      <c r="H405" s="740"/>
      <c r="I405" s="740"/>
      <c r="J405" s="740"/>
      <c r="K405" s="740"/>
      <c r="L405" s="740"/>
      <c r="M405" s="740"/>
      <c r="N405" s="740"/>
      <c r="O405" s="740"/>
      <c r="P405" s="740"/>
      <c r="Q405" s="740"/>
      <c r="R405" s="740"/>
      <c r="S405" s="740"/>
      <c r="T405" s="740"/>
      <c r="U405" s="740"/>
      <c r="V405" s="740"/>
      <c r="W405" s="740"/>
      <c r="X405" s="740"/>
      <c r="Y405" s="740"/>
      <c r="Z405" s="740"/>
      <c r="AA405" s="740"/>
      <c r="AB405" s="740"/>
      <c r="AC405" s="740"/>
      <c r="AD405" s="740"/>
      <c r="AE405" s="740"/>
      <c r="AF405" s="740"/>
      <c r="AG405" s="740"/>
      <c r="AH405" s="740"/>
      <c r="AI405" s="740"/>
      <c r="AJ405" s="740"/>
      <c r="AK405" s="740"/>
      <c r="AL405" s="740"/>
      <c r="AM405" s="740"/>
      <c r="AN405" s="740"/>
      <c r="AO405" s="740"/>
      <c r="AP405" s="740"/>
    </row>
    <row r="406" spans="3:42" ht="15">
      <c r="C406" s="68"/>
      <c r="D406" s="740"/>
      <c r="E406" s="740"/>
      <c r="F406" s="740"/>
      <c r="G406" s="740"/>
      <c r="H406" s="740"/>
      <c r="I406" s="740"/>
      <c r="J406" s="740"/>
      <c r="K406" s="740"/>
      <c r="L406" s="740"/>
      <c r="M406" s="740"/>
      <c r="N406" s="740"/>
      <c r="O406" s="740"/>
      <c r="P406" s="740"/>
      <c r="Q406" s="740"/>
      <c r="R406" s="740"/>
      <c r="S406" s="740"/>
      <c r="T406" s="740"/>
      <c r="U406" s="740"/>
      <c r="V406" s="740"/>
      <c r="W406" s="740"/>
      <c r="X406" s="740"/>
      <c r="Y406" s="740"/>
      <c r="Z406" s="740"/>
      <c r="AA406" s="740"/>
      <c r="AB406" s="740"/>
      <c r="AC406" s="740"/>
      <c r="AD406" s="740"/>
      <c r="AE406" s="740"/>
      <c r="AF406" s="740"/>
      <c r="AG406" s="740"/>
      <c r="AH406" s="740"/>
      <c r="AI406" s="740"/>
      <c r="AJ406" s="740"/>
      <c r="AK406" s="740"/>
      <c r="AL406" s="740"/>
      <c r="AM406" s="740"/>
      <c r="AN406" s="740"/>
      <c r="AO406" s="740"/>
      <c r="AP406" s="740"/>
    </row>
    <row r="407" spans="3:42" ht="15">
      <c r="C407" s="68"/>
      <c r="D407" s="740"/>
      <c r="E407" s="740"/>
      <c r="F407" s="740"/>
      <c r="G407" s="740"/>
      <c r="H407" s="740"/>
      <c r="I407" s="740"/>
      <c r="J407" s="740"/>
      <c r="K407" s="740"/>
      <c r="L407" s="740"/>
      <c r="M407" s="740"/>
      <c r="N407" s="740"/>
      <c r="O407" s="740"/>
      <c r="P407" s="740"/>
      <c r="Q407" s="740"/>
      <c r="R407" s="740"/>
      <c r="S407" s="740"/>
      <c r="T407" s="740"/>
      <c r="U407" s="740"/>
      <c r="V407" s="740"/>
      <c r="W407" s="740"/>
      <c r="X407" s="740"/>
      <c r="Y407" s="740"/>
      <c r="Z407" s="740"/>
      <c r="AA407" s="740"/>
      <c r="AB407" s="740"/>
      <c r="AC407" s="740"/>
      <c r="AD407" s="740"/>
      <c r="AE407" s="740"/>
      <c r="AF407" s="740"/>
      <c r="AG407" s="740"/>
      <c r="AH407" s="740"/>
      <c r="AI407" s="740"/>
      <c r="AJ407" s="740"/>
      <c r="AK407" s="740"/>
      <c r="AL407" s="740"/>
      <c r="AM407" s="740"/>
      <c r="AN407" s="740"/>
      <c r="AO407" s="740"/>
      <c r="AP407" s="740"/>
    </row>
    <row r="408" spans="3:42" ht="15">
      <c r="C408" s="68"/>
      <c r="D408" s="740"/>
      <c r="E408" s="740"/>
      <c r="F408" s="740"/>
      <c r="G408" s="740"/>
      <c r="H408" s="740"/>
      <c r="I408" s="740"/>
      <c r="J408" s="740"/>
      <c r="K408" s="740"/>
      <c r="L408" s="740"/>
      <c r="M408" s="740"/>
      <c r="N408" s="740"/>
      <c r="O408" s="740"/>
      <c r="P408" s="740"/>
      <c r="Q408" s="740"/>
      <c r="R408" s="740"/>
      <c r="S408" s="740"/>
      <c r="T408" s="740"/>
      <c r="U408" s="740"/>
      <c r="V408" s="740"/>
      <c r="W408" s="740"/>
      <c r="X408" s="740"/>
      <c r="Y408" s="740"/>
      <c r="Z408" s="740"/>
      <c r="AA408" s="740"/>
      <c r="AB408" s="740"/>
      <c r="AC408" s="740"/>
      <c r="AD408" s="740"/>
      <c r="AE408" s="740"/>
      <c r="AF408" s="740"/>
      <c r="AG408" s="740"/>
      <c r="AH408" s="740"/>
      <c r="AI408" s="740"/>
      <c r="AJ408" s="740"/>
      <c r="AK408" s="740"/>
      <c r="AL408" s="740"/>
      <c r="AM408" s="740"/>
      <c r="AN408" s="740"/>
      <c r="AO408" s="740"/>
      <c r="AP408" s="740"/>
    </row>
    <row r="409" spans="3:42" ht="15">
      <c r="C409" s="68"/>
      <c r="D409" s="740"/>
      <c r="E409" s="740"/>
      <c r="F409" s="740"/>
      <c r="G409" s="740"/>
      <c r="H409" s="740"/>
      <c r="I409" s="740"/>
      <c r="J409" s="740"/>
      <c r="K409" s="740"/>
      <c r="L409" s="740"/>
      <c r="M409" s="740"/>
      <c r="N409" s="740"/>
      <c r="O409" s="740"/>
      <c r="P409" s="740"/>
      <c r="Q409" s="740"/>
      <c r="R409" s="740"/>
      <c r="S409" s="740"/>
      <c r="T409" s="740"/>
      <c r="U409" s="740"/>
      <c r="V409" s="740"/>
      <c r="W409" s="740"/>
      <c r="X409" s="740"/>
      <c r="Y409" s="740"/>
      <c r="Z409" s="740"/>
      <c r="AA409" s="740"/>
      <c r="AB409" s="740"/>
      <c r="AC409" s="740"/>
      <c r="AD409" s="740"/>
      <c r="AE409" s="740"/>
      <c r="AF409" s="740"/>
      <c r="AG409" s="740"/>
      <c r="AH409" s="740"/>
      <c r="AI409" s="740"/>
      <c r="AJ409" s="740"/>
      <c r="AK409" s="740"/>
      <c r="AL409" s="740"/>
      <c r="AM409" s="740"/>
      <c r="AN409" s="740"/>
      <c r="AO409" s="740"/>
      <c r="AP409" s="740"/>
    </row>
    <row r="410" spans="3:42" ht="15">
      <c r="C410" s="68"/>
      <c r="D410" s="740"/>
      <c r="E410" s="740"/>
      <c r="F410" s="740"/>
      <c r="G410" s="740"/>
      <c r="H410" s="740"/>
      <c r="I410" s="740"/>
      <c r="J410" s="740"/>
      <c r="K410" s="740"/>
      <c r="L410" s="740"/>
      <c r="M410" s="740"/>
      <c r="N410" s="740"/>
      <c r="O410" s="740"/>
      <c r="P410" s="740"/>
      <c r="Q410" s="740"/>
      <c r="R410" s="740"/>
      <c r="S410" s="740"/>
      <c r="T410" s="740"/>
      <c r="U410" s="740"/>
      <c r="V410" s="740"/>
      <c r="W410" s="740"/>
      <c r="X410" s="740"/>
      <c r="Y410" s="740"/>
      <c r="Z410" s="740"/>
      <c r="AA410" s="740"/>
      <c r="AB410" s="740"/>
      <c r="AC410" s="740"/>
      <c r="AD410" s="740"/>
      <c r="AE410" s="740"/>
      <c r="AF410" s="740"/>
      <c r="AG410" s="740"/>
      <c r="AH410" s="740"/>
      <c r="AI410" s="740"/>
      <c r="AJ410" s="740"/>
      <c r="AK410" s="740"/>
      <c r="AL410" s="740"/>
      <c r="AM410" s="740"/>
      <c r="AN410" s="740"/>
      <c r="AO410" s="740"/>
      <c r="AP410" s="740"/>
    </row>
    <row r="411" spans="3:42" ht="15">
      <c r="C411" s="68"/>
      <c r="D411" s="740"/>
      <c r="E411" s="740"/>
      <c r="F411" s="740"/>
      <c r="G411" s="740"/>
      <c r="H411" s="740"/>
      <c r="I411" s="740"/>
      <c r="J411" s="740"/>
      <c r="K411" s="740"/>
      <c r="L411" s="740"/>
      <c r="M411" s="740"/>
      <c r="N411" s="740"/>
      <c r="O411" s="740"/>
      <c r="P411" s="740"/>
      <c r="Q411" s="740"/>
      <c r="R411" s="740"/>
      <c r="S411" s="740"/>
      <c r="T411" s="740"/>
      <c r="U411" s="740"/>
      <c r="V411" s="740"/>
      <c r="W411" s="740"/>
      <c r="X411" s="740"/>
      <c r="Y411" s="740"/>
      <c r="Z411" s="740"/>
      <c r="AA411" s="740"/>
      <c r="AB411" s="740"/>
      <c r="AC411" s="740"/>
      <c r="AD411" s="740"/>
      <c r="AE411" s="740"/>
      <c r="AF411" s="740"/>
      <c r="AG411" s="740"/>
      <c r="AH411" s="740"/>
      <c r="AI411" s="740"/>
      <c r="AJ411" s="740"/>
      <c r="AK411" s="740"/>
      <c r="AL411" s="740"/>
      <c r="AM411" s="740"/>
      <c r="AN411" s="740"/>
      <c r="AO411" s="740"/>
      <c r="AP411" s="740"/>
    </row>
    <row r="412" spans="3:42" ht="15">
      <c r="C412" s="68"/>
      <c r="D412" s="740"/>
      <c r="E412" s="740"/>
      <c r="F412" s="740"/>
      <c r="G412" s="740"/>
      <c r="H412" s="740"/>
      <c r="I412" s="740"/>
      <c r="J412" s="740"/>
      <c r="K412" s="740"/>
      <c r="L412" s="740"/>
      <c r="M412" s="740"/>
      <c r="N412" s="740"/>
      <c r="O412" s="740"/>
      <c r="P412" s="740"/>
      <c r="Q412" s="740"/>
      <c r="R412" s="740"/>
      <c r="S412" s="740"/>
      <c r="T412" s="740"/>
      <c r="U412" s="740"/>
      <c r="V412" s="740"/>
      <c r="W412" s="740"/>
      <c r="X412" s="740"/>
      <c r="Y412" s="740"/>
      <c r="Z412" s="740"/>
      <c r="AA412" s="740"/>
      <c r="AB412" s="740"/>
      <c r="AC412" s="740"/>
      <c r="AD412" s="740"/>
      <c r="AE412" s="740"/>
      <c r="AF412" s="740"/>
      <c r="AG412" s="740"/>
      <c r="AH412" s="740"/>
      <c r="AI412" s="740"/>
      <c r="AJ412" s="740"/>
      <c r="AK412" s="740"/>
      <c r="AL412" s="740"/>
      <c r="AM412" s="740"/>
      <c r="AN412" s="740"/>
      <c r="AO412" s="740"/>
      <c r="AP412" s="740"/>
    </row>
    <row r="413" spans="3:42" ht="15">
      <c r="C413" s="68"/>
      <c r="D413" s="740"/>
      <c r="E413" s="740"/>
      <c r="F413" s="740"/>
      <c r="G413" s="740"/>
      <c r="H413" s="740"/>
      <c r="I413" s="740"/>
      <c r="J413" s="740"/>
      <c r="K413" s="740"/>
      <c r="L413" s="740"/>
      <c r="M413" s="740"/>
      <c r="N413" s="740"/>
      <c r="O413" s="740"/>
      <c r="P413" s="740"/>
      <c r="Q413" s="740"/>
      <c r="R413" s="740"/>
      <c r="S413" s="740"/>
      <c r="T413" s="740"/>
      <c r="U413" s="740"/>
      <c r="V413" s="740"/>
      <c r="W413" s="740"/>
      <c r="X413" s="740"/>
      <c r="Y413" s="740"/>
      <c r="Z413" s="740"/>
      <c r="AA413" s="740"/>
      <c r="AB413" s="740"/>
      <c r="AC413" s="740"/>
      <c r="AD413" s="740"/>
      <c r="AE413" s="740"/>
      <c r="AF413" s="740"/>
      <c r="AG413" s="740"/>
      <c r="AH413" s="740"/>
      <c r="AI413" s="740"/>
      <c r="AJ413" s="740"/>
      <c r="AK413" s="740"/>
      <c r="AL413" s="740"/>
      <c r="AM413" s="740"/>
      <c r="AN413" s="740"/>
      <c r="AO413" s="740"/>
      <c r="AP413" s="740"/>
    </row>
    <row r="414" spans="3:42" ht="15">
      <c r="C414" s="68"/>
      <c r="D414" s="740"/>
      <c r="E414" s="740"/>
      <c r="F414" s="740"/>
      <c r="G414" s="740"/>
      <c r="H414" s="740"/>
      <c r="I414" s="740"/>
      <c r="J414" s="740"/>
      <c r="K414" s="740"/>
      <c r="L414" s="740"/>
      <c r="M414" s="740"/>
      <c r="N414" s="740"/>
      <c r="O414" s="740"/>
      <c r="P414" s="740"/>
      <c r="Q414" s="740"/>
      <c r="R414" s="740"/>
      <c r="S414" s="740"/>
      <c r="T414" s="740"/>
      <c r="U414" s="740"/>
      <c r="V414" s="740"/>
      <c r="W414" s="740"/>
      <c r="X414" s="740"/>
      <c r="Y414" s="740"/>
      <c r="Z414" s="740"/>
      <c r="AA414" s="740"/>
      <c r="AB414" s="740"/>
      <c r="AC414" s="740"/>
      <c r="AD414" s="740"/>
      <c r="AE414" s="740"/>
      <c r="AF414" s="740"/>
      <c r="AG414" s="740"/>
      <c r="AH414" s="740"/>
      <c r="AI414" s="740"/>
      <c r="AJ414" s="740"/>
      <c r="AK414" s="740"/>
      <c r="AL414" s="740"/>
      <c r="AM414" s="740"/>
      <c r="AN414" s="740"/>
      <c r="AO414" s="740"/>
      <c r="AP414" s="740"/>
    </row>
    <row r="415" spans="3:42" ht="15">
      <c r="C415" s="68"/>
      <c r="D415" s="740"/>
      <c r="E415" s="740"/>
      <c r="F415" s="740"/>
      <c r="G415" s="740"/>
      <c r="H415" s="740"/>
      <c r="I415" s="740"/>
      <c r="J415" s="740"/>
      <c r="K415" s="740"/>
      <c r="L415" s="740"/>
      <c r="M415" s="740"/>
      <c r="N415" s="740"/>
      <c r="O415" s="740"/>
      <c r="P415" s="740"/>
      <c r="Q415" s="740"/>
      <c r="R415" s="740"/>
      <c r="S415" s="740"/>
      <c r="T415" s="740"/>
      <c r="U415" s="740"/>
      <c r="V415" s="740"/>
      <c r="W415" s="740"/>
      <c r="X415" s="740"/>
      <c r="Y415" s="740"/>
      <c r="Z415" s="740"/>
      <c r="AA415" s="740"/>
      <c r="AB415" s="740"/>
      <c r="AC415" s="740"/>
      <c r="AD415" s="740"/>
      <c r="AE415" s="740"/>
      <c r="AF415" s="740"/>
      <c r="AG415" s="740"/>
      <c r="AH415" s="740"/>
      <c r="AI415" s="740"/>
      <c r="AJ415" s="740"/>
      <c r="AK415" s="740"/>
      <c r="AL415" s="740"/>
      <c r="AM415" s="740"/>
      <c r="AN415" s="740"/>
      <c r="AO415" s="740"/>
      <c r="AP415" s="740"/>
    </row>
    <row r="416" spans="3:42" ht="15">
      <c r="C416" s="68"/>
      <c r="D416" s="740"/>
      <c r="E416" s="740"/>
      <c r="F416" s="740"/>
      <c r="G416" s="740"/>
      <c r="H416" s="740"/>
      <c r="I416" s="740"/>
      <c r="J416" s="740"/>
      <c r="K416" s="740"/>
      <c r="L416" s="740"/>
      <c r="M416" s="740"/>
      <c r="N416" s="740"/>
      <c r="O416" s="740"/>
      <c r="P416" s="740"/>
      <c r="Q416" s="740"/>
      <c r="R416" s="740"/>
      <c r="S416" s="740"/>
      <c r="T416" s="740"/>
      <c r="U416" s="740"/>
      <c r="V416" s="740"/>
      <c r="W416" s="740"/>
      <c r="X416" s="740"/>
      <c r="Y416" s="740"/>
      <c r="Z416" s="740"/>
      <c r="AA416" s="740"/>
      <c r="AB416" s="740"/>
      <c r="AC416" s="740"/>
      <c r="AD416" s="740"/>
      <c r="AE416" s="740"/>
      <c r="AF416" s="740"/>
      <c r="AG416" s="740"/>
      <c r="AH416" s="740"/>
      <c r="AI416" s="740"/>
      <c r="AJ416" s="740"/>
      <c r="AK416" s="740"/>
      <c r="AL416" s="740"/>
      <c r="AM416" s="740"/>
      <c r="AN416" s="740"/>
      <c r="AO416" s="740"/>
      <c r="AP416" s="740"/>
    </row>
    <row r="417" spans="3:42" ht="15">
      <c r="C417" s="68"/>
      <c r="D417" s="740"/>
      <c r="E417" s="740"/>
      <c r="F417" s="740"/>
      <c r="G417" s="740"/>
      <c r="H417" s="740"/>
      <c r="I417" s="740"/>
      <c r="J417" s="740"/>
      <c r="K417" s="740"/>
      <c r="L417" s="740"/>
      <c r="M417" s="740"/>
      <c r="N417" s="740"/>
      <c r="O417" s="740"/>
      <c r="P417" s="740"/>
      <c r="Q417" s="740"/>
      <c r="R417" s="740"/>
      <c r="S417" s="740"/>
      <c r="T417" s="740"/>
      <c r="U417" s="740"/>
      <c r="V417" s="740"/>
      <c r="W417" s="740"/>
      <c r="X417" s="740"/>
      <c r="Y417" s="740"/>
      <c r="Z417" s="740"/>
      <c r="AA417" s="740"/>
      <c r="AB417" s="740"/>
      <c r="AC417" s="740"/>
      <c r="AD417" s="740"/>
      <c r="AE417" s="740"/>
      <c r="AF417" s="740"/>
      <c r="AG417" s="740"/>
      <c r="AH417" s="740"/>
      <c r="AI417" s="740"/>
      <c r="AJ417" s="740"/>
      <c r="AK417" s="740"/>
      <c r="AL417" s="740"/>
      <c r="AM417" s="740"/>
      <c r="AN417" s="740"/>
      <c r="AO417" s="740"/>
      <c r="AP417" s="740"/>
    </row>
    <row r="418" spans="3:42" ht="15">
      <c r="C418" s="68"/>
      <c r="D418" s="740"/>
      <c r="E418" s="740"/>
      <c r="F418" s="740"/>
      <c r="G418" s="740"/>
      <c r="H418" s="740"/>
      <c r="I418" s="740"/>
      <c r="J418" s="740"/>
      <c r="K418" s="740"/>
      <c r="L418" s="740"/>
      <c r="M418" s="740"/>
      <c r="N418" s="740"/>
      <c r="O418" s="740"/>
      <c r="P418" s="740"/>
      <c r="Q418" s="740"/>
      <c r="R418" s="740"/>
      <c r="S418" s="740"/>
      <c r="T418" s="740"/>
      <c r="U418" s="740"/>
      <c r="V418" s="740"/>
      <c r="W418" s="740"/>
      <c r="X418" s="740"/>
      <c r="Y418" s="740"/>
      <c r="Z418" s="740"/>
      <c r="AA418" s="740"/>
      <c r="AB418" s="740"/>
      <c r="AC418" s="740"/>
      <c r="AD418" s="740"/>
      <c r="AE418" s="740"/>
      <c r="AF418" s="740"/>
      <c r="AG418" s="740"/>
      <c r="AH418" s="740"/>
      <c r="AI418" s="740"/>
      <c r="AJ418" s="740"/>
      <c r="AK418" s="740"/>
      <c r="AL418" s="740"/>
      <c r="AM418" s="740"/>
      <c r="AN418" s="740"/>
      <c r="AO418" s="740"/>
      <c r="AP418" s="740"/>
    </row>
    <row r="419" spans="3:42" ht="15">
      <c r="C419" s="68"/>
      <c r="D419" s="740"/>
      <c r="E419" s="740"/>
      <c r="F419" s="740"/>
      <c r="G419" s="740"/>
      <c r="H419" s="740"/>
      <c r="I419" s="740"/>
      <c r="J419" s="740"/>
      <c r="K419" s="740"/>
      <c r="L419" s="740"/>
      <c r="M419" s="740"/>
      <c r="N419" s="740"/>
      <c r="O419" s="740"/>
      <c r="P419" s="740"/>
      <c r="Q419" s="740"/>
      <c r="R419" s="740"/>
      <c r="S419" s="740"/>
      <c r="T419" s="740"/>
      <c r="U419" s="740"/>
      <c r="V419" s="740"/>
      <c r="W419" s="740"/>
      <c r="X419" s="740"/>
      <c r="Y419" s="740"/>
      <c r="Z419" s="740"/>
      <c r="AA419" s="740"/>
      <c r="AB419" s="740"/>
      <c r="AC419" s="740"/>
      <c r="AD419" s="740"/>
      <c r="AE419" s="740"/>
      <c r="AF419" s="740"/>
      <c r="AG419" s="740"/>
      <c r="AH419" s="740"/>
      <c r="AI419" s="740"/>
      <c r="AJ419" s="740"/>
      <c r="AK419" s="740"/>
      <c r="AL419" s="740"/>
      <c r="AM419" s="740"/>
      <c r="AN419" s="740"/>
      <c r="AO419" s="740"/>
      <c r="AP419" s="740"/>
    </row>
    <row r="420" spans="3:42" ht="15">
      <c r="C420" s="68"/>
      <c r="D420" s="740"/>
      <c r="E420" s="740"/>
      <c r="F420" s="740"/>
      <c r="G420" s="740"/>
      <c r="H420" s="740"/>
      <c r="I420" s="740"/>
      <c r="J420" s="740"/>
      <c r="K420" s="740"/>
      <c r="L420" s="740"/>
      <c r="M420" s="740"/>
      <c r="N420" s="740"/>
      <c r="O420" s="740"/>
      <c r="P420" s="740"/>
      <c r="Q420" s="740"/>
      <c r="R420" s="740"/>
      <c r="S420" s="740"/>
      <c r="T420" s="740"/>
      <c r="U420" s="740"/>
      <c r="V420" s="740"/>
      <c r="W420" s="740"/>
      <c r="X420" s="740"/>
      <c r="Y420" s="740"/>
      <c r="Z420" s="740"/>
      <c r="AA420" s="740"/>
      <c r="AB420" s="740"/>
      <c r="AC420" s="740"/>
      <c r="AD420" s="740"/>
      <c r="AE420" s="740"/>
      <c r="AF420" s="740"/>
      <c r="AG420" s="740"/>
      <c r="AH420" s="740"/>
      <c r="AI420" s="740"/>
      <c r="AJ420" s="740"/>
      <c r="AK420" s="740"/>
      <c r="AL420" s="740"/>
      <c r="AM420" s="740"/>
      <c r="AN420" s="740"/>
      <c r="AO420" s="740"/>
      <c r="AP420" s="740"/>
    </row>
    <row r="421" spans="3:42" ht="15">
      <c r="C421" s="68"/>
      <c r="D421" s="740"/>
      <c r="E421" s="740"/>
      <c r="F421" s="740"/>
      <c r="G421" s="740"/>
      <c r="H421" s="740"/>
      <c r="I421" s="740"/>
      <c r="J421" s="740"/>
      <c r="K421" s="740"/>
      <c r="L421" s="740"/>
      <c r="M421" s="740"/>
      <c r="N421" s="740"/>
      <c r="O421" s="740"/>
      <c r="P421" s="740"/>
      <c r="Q421" s="740"/>
      <c r="R421" s="740"/>
      <c r="S421" s="740"/>
      <c r="T421" s="740"/>
      <c r="U421" s="740"/>
      <c r="V421" s="740"/>
      <c r="W421" s="740"/>
      <c r="X421" s="740"/>
      <c r="Y421" s="740"/>
      <c r="Z421" s="740"/>
      <c r="AA421" s="740"/>
      <c r="AB421" s="740"/>
      <c r="AC421" s="740"/>
      <c r="AD421" s="740"/>
      <c r="AE421" s="740"/>
      <c r="AF421" s="740"/>
      <c r="AG421" s="740"/>
      <c r="AH421" s="740"/>
      <c r="AI421" s="740"/>
      <c r="AJ421" s="740"/>
      <c r="AK421" s="740"/>
      <c r="AL421" s="740"/>
      <c r="AM421" s="740"/>
      <c r="AN421" s="740"/>
      <c r="AO421" s="740"/>
      <c r="AP421" s="740"/>
    </row>
    <row r="422" spans="3:42" ht="15">
      <c r="C422" s="68"/>
      <c r="D422" s="740"/>
      <c r="E422" s="740"/>
      <c r="F422" s="740"/>
      <c r="G422" s="740"/>
      <c r="H422" s="740"/>
      <c r="I422" s="740"/>
      <c r="J422" s="740"/>
      <c r="K422" s="740"/>
      <c r="L422" s="740"/>
      <c r="M422" s="740"/>
      <c r="N422" s="740"/>
      <c r="O422" s="740"/>
      <c r="P422" s="740"/>
      <c r="Q422" s="740"/>
      <c r="R422" s="740"/>
      <c r="S422" s="740"/>
      <c r="T422" s="740"/>
      <c r="U422" s="740"/>
      <c r="V422" s="740"/>
      <c r="W422" s="740"/>
      <c r="X422" s="740"/>
      <c r="Y422" s="740"/>
      <c r="Z422" s="740"/>
      <c r="AA422" s="740"/>
      <c r="AB422" s="740"/>
      <c r="AC422" s="740"/>
      <c r="AD422" s="740"/>
      <c r="AE422" s="740"/>
      <c r="AF422" s="740"/>
      <c r="AG422" s="740"/>
      <c r="AH422" s="740"/>
      <c r="AI422" s="740"/>
      <c r="AJ422" s="740"/>
      <c r="AK422" s="740"/>
      <c r="AL422" s="740"/>
      <c r="AM422" s="740"/>
      <c r="AN422" s="740"/>
      <c r="AO422" s="740"/>
      <c r="AP422" s="740"/>
    </row>
    <row r="423" spans="3:42" ht="15">
      <c r="C423" s="68"/>
      <c r="D423" s="740"/>
      <c r="E423" s="740"/>
      <c r="F423" s="740"/>
      <c r="G423" s="740"/>
      <c r="H423" s="740"/>
      <c r="I423" s="740"/>
      <c r="J423" s="740"/>
      <c r="K423" s="740"/>
      <c r="L423" s="740"/>
      <c r="M423" s="740"/>
      <c r="N423" s="740"/>
      <c r="O423" s="740"/>
      <c r="P423" s="740"/>
      <c r="Q423" s="740"/>
      <c r="R423" s="740"/>
      <c r="S423" s="740"/>
      <c r="T423" s="740"/>
      <c r="U423" s="740"/>
      <c r="V423" s="740"/>
      <c r="W423" s="740"/>
      <c r="X423" s="740"/>
      <c r="Y423" s="740"/>
      <c r="Z423" s="740"/>
      <c r="AA423" s="740"/>
      <c r="AB423" s="740"/>
      <c r="AC423" s="740"/>
      <c r="AD423" s="740"/>
      <c r="AE423" s="740"/>
      <c r="AF423" s="740"/>
      <c r="AG423" s="740"/>
      <c r="AH423" s="740"/>
      <c r="AI423" s="740"/>
      <c r="AJ423" s="740"/>
      <c r="AK423" s="740"/>
      <c r="AL423" s="740"/>
      <c r="AM423" s="740"/>
      <c r="AN423" s="740"/>
      <c r="AO423" s="740"/>
      <c r="AP423" s="740"/>
    </row>
    <row r="424" spans="3:42" ht="15">
      <c r="C424" s="68"/>
      <c r="D424" s="740"/>
      <c r="E424" s="740"/>
      <c r="F424" s="740"/>
      <c r="G424" s="740"/>
      <c r="H424" s="740"/>
      <c r="I424" s="740"/>
      <c r="J424" s="740"/>
      <c r="K424" s="740"/>
      <c r="L424" s="740"/>
      <c r="M424" s="740"/>
      <c r="N424" s="740"/>
      <c r="O424" s="740"/>
      <c r="P424" s="740"/>
      <c r="Q424" s="740"/>
      <c r="R424" s="740"/>
      <c r="S424" s="740"/>
      <c r="T424" s="740"/>
      <c r="U424" s="740"/>
      <c r="V424" s="740"/>
      <c r="W424" s="740"/>
      <c r="X424" s="740"/>
      <c r="Y424" s="740"/>
      <c r="Z424" s="740"/>
      <c r="AA424" s="740"/>
      <c r="AB424" s="740"/>
      <c r="AC424" s="740"/>
      <c r="AD424" s="740"/>
      <c r="AE424" s="740"/>
      <c r="AF424" s="740"/>
      <c r="AG424" s="740"/>
      <c r="AH424" s="740"/>
      <c r="AI424" s="740"/>
      <c r="AJ424" s="740"/>
      <c r="AK424" s="740"/>
      <c r="AL424" s="740"/>
      <c r="AM424" s="740"/>
      <c r="AN424" s="740"/>
      <c r="AO424" s="740"/>
      <c r="AP424" s="740"/>
    </row>
    <row r="425" spans="3:42" ht="15">
      <c r="C425" s="68"/>
      <c r="D425" s="740"/>
      <c r="E425" s="740"/>
      <c r="F425" s="740"/>
      <c r="G425" s="740"/>
      <c r="H425" s="740"/>
      <c r="I425" s="740"/>
      <c r="J425" s="740"/>
      <c r="K425" s="740"/>
      <c r="L425" s="740"/>
      <c r="M425" s="740"/>
      <c r="N425" s="740"/>
      <c r="O425" s="740"/>
      <c r="P425" s="740"/>
      <c r="Q425" s="740"/>
      <c r="R425" s="740"/>
      <c r="S425" s="740"/>
      <c r="T425" s="740"/>
      <c r="U425" s="740"/>
      <c r="V425" s="740"/>
      <c r="W425" s="740"/>
      <c r="X425" s="740"/>
      <c r="Y425" s="740"/>
      <c r="Z425" s="740"/>
      <c r="AA425" s="740"/>
      <c r="AB425" s="740"/>
      <c r="AC425" s="740"/>
      <c r="AD425" s="740"/>
      <c r="AE425" s="740"/>
      <c r="AF425" s="740"/>
      <c r="AG425" s="740"/>
      <c r="AH425" s="740"/>
      <c r="AI425" s="740"/>
      <c r="AJ425" s="740"/>
      <c r="AK425" s="740"/>
      <c r="AL425" s="740"/>
      <c r="AM425" s="740"/>
      <c r="AN425" s="740"/>
      <c r="AO425" s="740"/>
      <c r="AP425" s="740"/>
    </row>
    <row r="426" spans="3:42" ht="15">
      <c r="C426" s="68"/>
      <c r="D426" s="740"/>
      <c r="E426" s="740"/>
      <c r="F426" s="740"/>
      <c r="G426" s="740"/>
      <c r="H426" s="740"/>
      <c r="I426" s="740"/>
      <c r="J426" s="740"/>
      <c r="K426" s="740"/>
      <c r="L426" s="740"/>
      <c r="M426" s="740"/>
      <c r="N426" s="740"/>
      <c r="O426" s="740"/>
      <c r="P426" s="740"/>
      <c r="Q426" s="740"/>
      <c r="R426" s="740"/>
      <c r="S426" s="740"/>
      <c r="T426" s="740"/>
      <c r="U426" s="740"/>
      <c r="V426" s="740"/>
      <c r="W426" s="740"/>
      <c r="X426" s="740"/>
      <c r="Y426" s="740"/>
      <c r="Z426" s="740"/>
      <c r="AA426" s="740"/>
      <c r="AB426" s="740"/>
      <c r="AC426" s="740"/>
      <c r="AD426" s="740"/>
      <c r="AE426" s="740"/>
      <c r="AF426" s="740"/>
      <c r="AG426" s="740"/>
      <c r="AH426" s="740"/>
      <c r="AI426" s="740"/>
      <c r="AJ426" s="740"/>
      <c r="AK426" s="740"/>
      <c r="AL426" s="740"/>
      <c r="AM426" s="740"/>
      <c r="AN426" s="740"/>
      <c r="AO426" s="740"/>
      <c r="AP426" s="740"/>
    </row>
    <row r="427" spans="3:42" ht="15">
      <c r="C427" s="68"/>
      <c r="D427" s="740"/>
      <c r="E427" s="740"/>
      <c r="F427" s="740"/>
      <c r="G427" s="740"/>
      <c r="H427" s="740"/>
      <c r="I427" s="740"/>
      <c r="J427" s="740"/>
      <c r="K427" s="740"/>
      <c r="L427" s="740"/>
      <c r="M427" s="740"/>
      <c r="N427" s="740"/>
      <c r="O427" s="740"/>
      <c r="P427" s="740"/>
      <c r="Q427" s="740"/>
      <c r="R427" s="740"/>
      <c r="S427" s="740"/>
      <c r="T427" s="740"/>
      <c r="U427" s="740"/>
      <c r="V427" s="740"/>
      <c r="W427" s="740"/>
      <c r="X427" s="740"/>
      <c r="Y427" s="740"/>
      <c r="Z427" s="740"/>
      <c r="AA427" s="740"/>
      <c r="AB427" s="740"/>
      <c r="AC427" s="740"/>
      <c r="AD427" s="740"/>
      <c r="AE427" s="740"/>
      <c r="AF427" s="740"/>
      <c r="AG427" s="740"/>
      <c r="AH427" s="740"/>
      <c r="AI427" s="740"/>
      <c r="AJ427" s="740"/>
      <c r="AK427" s="740"/>
      <c r="AL427" s="740"/>
      <c r="AM427" s="740"/>
      <c r="AN427" s="740"/>
      <c r="AO427" s="740"/>
      <c r="AP427" s="740"/>
    </row>
    <row r="428" spans="3:42" ht="15">
      <c r="C428" s="68"/>
      <c r="D428" s="740"/>
      <c r="E428" s="740"/>
      <c r="F428" s="740"/>
      <c r="G428" s="740"/>
      <c r="H428" s="740"/>
      <c r="I428" s="740"/>
      <c r="J428" s="740"/>
      <c r="K428" s="740"/>
      <c r="L428" s="740"/>
      <c r="M428" s="740"/>
      <c r="N428" s="740"/>
      <c r="O428" s="740"/>
      <c r="P428" s="740"/>
      <c r="Q428" s="740"/>
      <c r="R428" s="740"/>
      <c r="S428" s="740"/>
      <c r="T428" s="740"/>
      <c r="U428" s="740"/>
      <c r="V428" s="740"/>
      <c r="W428" s="740"/>
      <c r="X428" s="740"/>
      <c r="Y428" s="740"/>
      <c r="Z428" s="740"/>
      <c r="AA428" s="740"/>
      <c r="AB428" s="740"/>
      <c r="AC428" s="740"/>
      <c r="AD428" s="740"/>
      <c r="AE428" s="740"/>
      <c r="AF428" s="740"/>
      <c r="AG428" s="740"/>
      <c r="AH428" s="740"/>
      <c r="AI428" s="740"/>
      <c r="AJ428" s="740"/>
      <c r="AK428" s="740"/>
      <c r="AL428" s="740"/>
      <c r="AM428" s="740"/>
      <c r="AN428" s="740"/>
      <c r="AO428" s="740"/>
      <c r="AP428" s="740"/>
    </row>
    <row r="429" spans="3:42" ht="15">
      <c r="C429" s="68"/>
      <c r="D429" s="740"/>
      <c r="E429" s="740"/>
      <c r="F429" s="740"/>
      <c r="G429" s="740"/>
      <c r="H429" s="740"/>
      <c r="I429" s="740"/>
      <c r="J429" s="740"/>
      <c r="K429" s="740"/>
      <c r="L429" s="740"/>
      <c r="M429" s="740"/>
      <c r="N429" s="740"/>
      <c r="O429" s="740"/>
      <c r="P429" s="740"/>
      <c r="Q429" s="740"/>
      <c r="R429" s="740"/>
      <c r="S429" s="740"/>
      <c r="T429" s="740"/>
      <c r="U429" s="740"/>
      <c r="V429" s="740"/>
      <c r="W429" s="740"/>
      <c r="X429" s="740"/>
      <c r="Y429" s="740"/>
      <c r="Z429" s="740"/>
      <c r="AA429" s="740"/>
      <c r="AB429" s="740"/>
      <c r="AC429" s="740"/>
      <c r="AD429" s="740"/>
      <c r="AE429" s="740"/>
      <c r="AF429" s="740"/>
      <c r="AG429" s="740"/>
      <c r="AH429" s="740"/>
      <c r="AI429" s="740"/>
      <c r="AJ429" s="740"/>
      <c r="AK429" s="740"/>
      <c r="AL429" s="740"/>
      <c r="AM429" s="740"/>
      <c r="AN429" s="740"/>
      <c r="AO429" s="740"/>
      <c r="AP429" s="740"/>
    </row>
    <row r="430" spans="3:42" ht="15">
      <c r="C430" s="68"/>
      <c r="D430" s="740"/>
      <c r="E430" s="740"/>
      <c r="F430" s="740"/>
      <c r="G430" s="740"/>
      <c r="H430" s="740"/>
      <c r="I430" s="740"/>
      <c r="J430" s="740"/>
      <c r="K430" s="740"/>
      <c r="L430" s="740"/>
      <c r="M430" s="740"/>
      <c r="N430" s="740"/>
      <c r="O430" s="740"/>
      <c r="P430" s="740"/>
      <c r="Q430" s="740"/>
      <c r="R430" s="740"/>
      <c r="S430" s="740"/>
      <c r="T430" s="740"/>
      <c r="U430" s="740"/>
      <c r="V430" s="740"/>
      <c r="W430" s="740"/>
      <c r="X430" s="740"/>
      <c r="Y430" s="740"/>
      <c r="Z430" s="740"/>
      <c r="AA430" s="740"/>
      <c r="AB430" s="740"/>
      <c r="AC430" s="740"/>
      <c r="AD430" s="740"/>
      <c r="AE430" s="740"/>
      <c r="AF430" s="740"/>
      <c r="AG430" s="740"/>
      <c r="AH430" s="740"/>
      <c r="AI430" s="740"/>
      <c r="AJ430" s="740"/>
      <c r="AK430" s="740"/>
      <c r="AL430" s="740"/>
      <c r="AM430" s="740"/>
      <c r="AN430" s="740"/>
      <c r="AO430" s="740"/>
      <c r="AP430" s="740"/>
    </row>
    <row r="431" spans="3:42" ht="15">
      <c r="C431" s="68"/>
      <c r="D431" s="740"/>
      <c r="E431" s="740"/>
      <c r="F431" s="740"/>
      <c r="G431" s="740"/>
      <c r="H431" s="740"/>
      <c r="I431" s="740"/>
      <c r="J431" s="740"/>
      <c r="K431" s="740"/>
      <c r="L431" s="740"/>
      <c r="M431" s="740"/>
      <c r="N431" s="740"/>
      <c r="O431" s="740"/>
      <c r="P431" s="740"/>
      <c r="Q431" s="740"/>
      <c r="R431" s="740"/>
      <c r="S431" s="740"/>
      <c r="T431" s="740"/>
      <c r="U431" s="740"/>
      <c r="V431" s="740"/>
      <c r="W431" s="740"/>
      <c r="X431" s="740"/>
      <c r="Y431" s="740"/>
      <c r="Z431" s="740"/>
      <c r="AA431" s="740"/>
      <c r="AB431" s="740"/>
      <c r="AC431" s="740"/>
      <c r="AD431" s="740"/>
      <c r="AE431" s="740"/>
      <c r="AF431" s="740"/>
      <c r="AG431" s="740"/>
      <c r="AH431" s="740"/>
      <c r="AI431" s="740"/>
      <c r="AJ431" s="740"/>
      <c r="AK431" s="740"/>
      <c r="AL431" s="740"/>
      <c r="AM431" s="740"/>
      <c r="AN431" s="740"/>
      <c r="AO431" s="740"/>
      <c r="AP431" s="740"/>
    </row>
    <row r="432" spans="3:42" ht="15">
      <c r="C432" s="68"/>
      <c r="D432" s="740"/>
      <c r="E432" s="740"/>
      <c r="F432" s="740"/>
      <c r="G432" s="740"/>
      <c r="H432" s="740"/>
      <c r="I432" s="740"/>
      <c r="J432" s="740"/>
      <c r="K432" s="740"/>
      <c r="L432" s="740"/>
      <c r="M432" s="740"/>
      <c r="N432" s="740"/>
      <c r="O432" s="740"/>
      <c r="P432" s="740"/>
      <c r="Q432" s="740"/>
      <c r="R432" s="740"/>
      <c r="S432" s="740"/>
      <c r="T432" s="740"/>
      <c r="U432" s="740"/>
      <c r="V432" s="740"/>
      <c r="W432" s="740"/>
      <c r="X432" s="740"/>
      <c r="Y432" s="740"/>
      <c r="Z432" s="740"/>
      <c r="AA432" s="740"/>
      <c r="AB432" s="740"/>
      <c r="AC432" s="740"/>
      <c r="AD432" s="740"/>
      <c r="AE432" s="740"/>
      <c r="AF432" s="740"/>
      <c r="AG432" s="740"/>
      <c r="AH432" s="740"/>
      <c r="AI432" s="740"/>
      <c r="AJ432" s="740"/>
      <c r="AK432" s="740"/>
      <c r="AL432" s="740"/>
      <c r="AM432" s="740"/>
      <c r="AN432" s="740"/>
      <c r="AO432" s="740"/>
      <c r="AP432" s="740"/>
    </row>
    <row r="433" spans="3:42" ht="15">
      <c r="C433" s="68"/>
      <c r="D433" s="740"/>
      <c r="E433" s="740"/>
      <c r="F433" s="740"/>
      <c r="G433" s="740"/>
      <c r="H433" s="740"/>
      <c r="I433" s="740"/>
      <c r="J433" s="740"/>
      <c r="K433" s="740"/>
      <c r="L433" s="740"/>
      <c r="M433" s="740"/>
      <c r="N433" s="740"/>
      <c r="O433" s="740"/>
      <c r="P433" s="740"/>
      <c r="Q433" s="740"/>
      <c r="R433" s="740"/>
      <c r="S433" s="740"/>
      <c r="T433" s="740"/>
      <c r="U433" s="740"/>
      <c r="V433" s="740"/>
      <c r="W433" s="740"/>
      <c r="X433" s="740"/>
      <c r="Y433" s="740"/>
      <c r="Z433" s="740"/>
      <c r="AA433" s="740"/>
      <c r="AB433" s="740"/>
      <c r="AC433" s="740"/>
      <c r="AD433" s="740"/>
      <c r="AE433" s="740"/>
      <c r="AF433" s="740"/>
      <c r="AG433" s="740"/>
      <c r="AH433" s="740"/>
      <c r="AI433" s="740"/>
      <c r="AJ433" s="740"/>
      <c r="AK433" s="740"/>
      <c r="AL433" s="740"/>
      <c r="AM433" s="740"/>
      <c r="AN433" s="740"/>
      <c r="AO433" s="740"/>
      <c r="AP433" s="740"/>
    </row>
    <row r="434" spans="3:42" ht="15">
      <c r="C434" s="68"/>
      <c r="D434" s="740"/>
      <c r="E434" s="740"/>
      <c r="F434" s="740"/>
      <c r="G434" s="740"/>
      <c r="H434" s="740"/>
      <c r="I434" s="740"/>
      <c r="J434" s="740"/>
      <c r="K434" s="740"/>
      <c r="L434" s="740"/>
      <c r="M434" s="740"/>
      <c r="N434" s="740"/>
      <c r="O434" s="740"/>
      <c r="P434" s="740"/>
      <c r="Q434" s="740"/>
      <c r="R434" s="740"/>
      <c r="S434" s="740"/>
      <c r="T434" s="740"/>
      <c r="U434" s="740"/>
      <c r="V434" s="740"/>
      <c r="W434" s="740"/>
      <c r="X434" s="740"/>
      <c r="Y434" s="740"/>
      <c r="Z434" s="740"/>
      <c r="AA434" s="740"/>
      <c r="AB434" s="740"/>
      <c r="AC434" s="740"/>
      <c r="AD434" s="740"/>
      <c r="AE434" s="740"/>
      <c r="AF434" s="740"/>
      <c r="AG434" s="740"/>
      <c r="AH434" s="740"/>
      <c r="AI434" s="740"/>
      <c r="AJ434" s="740"/>
      <c r="AK434" s="740"/>
      <c r="AL434" s="740"/>
      <c r="AM434" s="740"/>
      <c r="AN434" s="740"/>
      <c r="AO434" s="740"/>
      <c r="AP434" s="740"/>
    </row>
    <row r="435" spans="3:42" ht="15">
      <c r="C435" s="68"/>
      <c r="D435" s="740"/>
      <c r="E435" s="740"/>
      <c r="F435" s="740"/>
      <c r="G435" s="740"/>
      <c r="H435" s="740"/>
      <c r="I435" s="740"/>
      <c r="J435" s="740"/>
      <c r="K435" s="740"/>
      <c r="L435" s="740"/>
      <c r="M435" s="740"/>
      <c r="N435" s="740"/>
      <c r="O435" s="740"/>
      <c r="P435" s="740"/>
      <c r="Q435" s="740"/>
      <c r="R435" s="740"/>
      <c r="S435" s="740"/>
      <c r="T435" s="740"/>
      <c r="U435" s="740"/>
      <c r="V435" s="740"/>
      <c r="W435" s="740"/>
      <c r="X435" s="740"/>
      <c r="Y435" s="740"/>
      <c r="Z435" s="740"/>
      <c r="AA435" s="740"/>
      <c r="AB435" s="740"/>
      <c r="AC435" s="740"/>
      <c r="AD435" s="740"/>
      <c r="AE435" s="740"/>
      <c r="AF435" s="740"/>
      <c r="AG435" s="740"/>
      <c r="AH435" s="740"/>
      <c r="AI435" s="740"/>
      <c r="AJ435" s="740"/>
      <c r="AK435" s="740"/>
      <c r="AL435" s="740"/>
      <c r="AM435" s="740"/>
      <c r="AN435" s="740"/>
      <c r="AO435" s="740"/>
      <c r="AP435" s="740"/>
    </row>
    <row r="436" spans="3:42" ht="15">
      <c r="C436" s="68"/>
      <c r="D436" s="740"/>
      <c r="E436" s="740"/>
      <c r="F436" s="740"/>
      <c r="G436" s="740"/>
      <c r="H436" s="740"/>
      <c r="I436" s="740"/>
      <c r="J436" s="740"/>
      <c r="K436" s="740"/>
      <c r="L436" s="740"/>
      <c r="M436" s="740"/>
      <c r="N436" s="740"/>
      <c r="O436" s="740"/>
      <c r="P436" s="740"/>
      <c r="Q436" s="740"/>
      <c r="R436" s="740"/>
      <c r="S436" s="740"/>
      <c r="T436" s="740"/>
      <c r="U436" s="740"/>
      <c r="V436" s="740"/>
      <c r="W436" s="740"/>
      <c r="X436" s="740"/>
      <c r="Y436" s="740"/>
      <c r="Z436" s="740"/>
      <c r="AA436" s="740"/>
      <c r="AB436" s="740"/>
      <c r="AC436" s="740"/>
      <c r="AD436" s="740"/>
      <c r="AE436" s="740"/>
      <c r="AF436" s="740"/>
      <c r="AG436" s="740"/>
      <c r="AH436" s="740"/>
      <c r="AI436" s="740"/>
      <c r="AJ436" s="740"/>
      <c r="AK436" s="740"/>
      <c r="AL436" s="740"/>
      <c r="AM436" s="740"/>
      <c r="AN436" s="740"/>
      <c r="AO436" s="740"/>
      <c r="AP436" s="740"/>
    </row>
    <row r="437" spans="3:42" ht="15">
      <c r="C437" s="68"/>
      <c r="D437" s="740"/>
      <c r="E437" s="740"/>
      <c r="F437" s="740"/>
      <c r="G437" s="740"/>
      <c r="H437" s="740"/>
      <c r="I437" s="740"/>
      <c r="J437" s="740"/>
      <c r="K437" s="740"/>
      <c r="L437" s="740"/>
      <c r="M437" s="740"/>
      <c r="N437" s="740"/>
      <c r="O437" s="740"/>
      <c r="P437" s="740"/>
      <c r="Q437" s="740"/>
      <c r="R437" s="740"/>
      <c r="S437" s="740"/>
      <c r="T437" s="740"/>
      <c r="U437" s="740"/>
      <c r="V437" s="740"/>
      <c r="W437" s="740"/>
      <c r="X437" s="740"/>
      <c r="Y437" s="740"/>
      <c r="Z437" s="740"/>
      <c r="AA437" s="740"/>
      <c r="AB437" s="740"/>
      <c r="AC437" s="740"/>
      <c r="AD437" s="740"/>
      <c r="AE437" s="740"/>
      <c r="AF437" s="740"/>
      <c r="AG437" s="740"/>
      <c r="AH437" s="740"/>
      <c r="AI437" s="740"/>
      <c r="AJ437" s="740"/>
      <c r="AK437" s="740"/>
      <c r="AL437" s="740"/>
      <c r="AM437" s="740"/>
      <c r="AN437" s="740"/>
      <c r="AO437" s="740"/>
      <c r="AP437" s="740"/>
    </row>
    <row r="438" spans="3:42" ht="15">
      <c r="C438" s="68"/>
      <c r="D438" s="740"/>
      <c r="E438" s="740"/>
      <c r="F438" s="740"/>
      <c r="G438" s="740"/>
      <c r="H438" s="740"/>
      <c r="I438" s="740"/>
      <c r="J438" s="740"/>
      <c r="K438" s="740"/>
      <c r="L438" s="740"/>
      <c r="M438" s="740"/>
      <c r="N438" s="740"/>
      <c r="O438" s="740"/>
      <c r="P438" s="740"/>
      <c r="Q438" s="740"/>
      <c r="R438" s="740"/>
      <c r="S438" s="740"/>
      <c r="T438" s="740"/>
      <c r="U438" s="740"/>
      <c r="V438" s="740"/>
      <c r="W438" s="740"/>
      <c r="X438" s="740"/>
      <c r="Y438" s="740"/>
      <c r="Z438" s="740"/>
      <c r="AA438" s="740"/>
      <c r="AB438" s="740"/>
      <c r="AC438" s="740"/>
      <c r="AD438" s="740"/>
      <c r="AE438" s="740"/>
      <c r="AF438" s="740"/>
      <c r="AG438" s="740"/>
      <c r="AH438" s="740"/>
      <c r="AI438" s="740"/>
      <c r="AJ438" s="740"/>
      <c r="AK438" s="740"/>
      <c r="AL438" s="740"/>
      <c r="AM438" s="740"/>
      <c r="AN438" s="740"/>
      <c r="AO438" s="740"/>
      <c r="AP438" s="740"/>
    </row>
    <row r="439" spans="3:42" ht="15">
      <c r="C439" s="68"/>
      <c r="D439" s="740"/>
      <c r="E439" s="740"/>
      <c r="F439" s="740"/>
      <c r="G439" s="740"/>
      <c r="H439" s="740"/>
      <c r="I439" s="740"/>
      <c r="J439" s="740"/>
      <c r="K439" s="740"/>
      <c r="L439" s="740"/>
      <c r="M439" s="740"/>
      <c r="N439" s="740"/>
      <c r="O439" s="740"/>
      <c r="P439" s="740"/>
      <c r="Q439" s="740"/>
      <c r="R439" s="740"/>
      <c r="S439" s="740"/>
      <c r="T439" s="740"/>
      <c r="U439" s="740"/>
      <c r="V439" s="740"/>
      <c r="W439" s="740"/>
      <c r="X439" s="740"/>
      <c r="Y439" s="740"/>
      <c r="Z439" s="740"/>
      <c r="AA439" s="740"/>
      <c r="AB439" s="740"/>
      <c r="AC439" s="740"/>
      <c r="AD439" s="740"/>
      <c r="AE439" s="740"/>
      <c r="AF439" s="740"/>
      <c r="AG439" s="740"/>
      <c r="AH439" s="740"/>
      <c r="AI439" s="740"/>
      <c r="AJ439" s="740"/>
      <c r="AK439" s="740"/>
      <c r="AL439" s="740"/>
      <c r="AM439" s="740"/>
      <c r="AN439" s="740"/>
      <c r="AO439" s="740"/>
      <c r="AP439" s="740"/>
    </row>
    <row r="440" spans="3:42" ht="15">
      <c r="C440" s="68"/>
      <c r="D440" s="740"/>
      <c r="E440" s="740"/>
      <c r="F440" s="740"/>
      <c r="G440" s="740"/>
      <c r="H440" s="740"/>
      <c r="I440" s="740"/>
      <c r="J440" s="740"/>
      <c r="K440" s="740"/>
      <c r="L440" s="740"/>
      <c r="M440" s="740"/>
      <c r="N440" s="740"/>
      <c r="O440" s="740"/>
      <c r="P440" s="740"/>
      <c r="Q440" s="740"/>
      <c r="R440" s="740"/>
      <c r="S440" s="740"/>
      <c r="T440" s="740"/>
      <c r="U440" s="740"/>
      <c r="V440" s="740"/>
      <c r="W440" s="740"/>
      <c r="X440" s="740"/>
      <c r="Y440" s="740"/>
      <c r="Z440" s="740"/>
      <c r="AA440" s="740"/>
      <c r="AB440" s="740"/>
      <c r="AC440" s="740"/>
      <c r="AD440" s="740"/>
      <c r="AE440" s="740"/>
      <c r="AF440" s="740"/>
      <c r="AG440" s="740"/>
      <c r="AH440" s="740"/>
      <c r="AI440" s="740"/>
      <c r="AJ440" s="740"/>
      <c r="AK440" s="740"/>
      <c r="AL440" s="740"/>
      <c r="AM440" s="740"/>
      <c r="AN440" s="740"/>
      <c r="AO440" s="740"/>
      <c r="AP440" s="740"/>
    </row>
    <row r="441" spans="3:42" ht="15">
      <c r="C441" s="68"/>
      <c r="D441" s="740"/>
      <c r="E441" s="740"/>
      <c r="F441" s="740"/>
      <c r="G441" s="740"/>
      <c r="H441" s="740"/>
      <c r="I441" s="740"/>
      <c r="J441" s="740"/>
      <c r="K441" s="740"/>
      <c r="L441" s="740"/>
      <c r="M441" s="740"/>
      <c r="N441" s="740"/>
      <c r="O441" s="740"/>
      <c r="P441" s="740"/>
      <c r="Q441" s="740"/>
      <c r="R441" s="740"/>
      <c r="S441" s="740"/>
      <c r="T441" s="740"/>
      <c r="U441" s="740"/>
      <c r="V441" s="740"/>
      <c r="W441" s="740"/>
      <c r="X441" s="740"/>
      <c r="Y441" s="740"/>
      <c r="Z441" s="740"/>
      <c r="AA441" s="740"/>
      <c r="AB441" s="740"/>
      <c r="AC441" s="740"/>
      <c r="AD441" s="740"/>
      <c r="AE441" s="740"/>
      <c r="AF441" s="740"/>
      <c r="AG441" s="740"/>
      <c r="AH441" s="740"/>
      <c r="AI441" s="740"/>
      <c r="AJ441" s="740"/>
      <c r="AK441" s="740"/>
      <c r="AL441" s="740"/>
      <c r="AM441" s="740"/>
      <c r="AN441" s="740"/>
      <c r="AO441" s="740"/>
      <c r="AP441" s="740"/>
    </row>
    <row r="442" spans="3:42" ht="15">
      <c r="C442" s="68"/>
      <c r="D442" s="740"/>
      <c r="E442" s="740"/>
      <c r="F442" s="740"/>
      <c r="G442" s="740"/>
      <c r="H442" s="740"/>
      <c r="I442" s="740"/>
      <c r="J442" s="740"/>
      <c r="K442" s="740"/>
      <c r="L442" s="740"/>
      <c r="M442" s="740"/>
      <c r="N442" s="740"/>
      <c r="O442" s="740"/>
      <c r="P442" s="740"/>
      <c r="Q442" s="740"/>
      <c r="R442" s="740"/>
      <c r="S442" s="740"/>
      <c r="T442" s="740"/>
      <c r="U442" s="740"/>
      <c r="V442" s="740"/>
      <c r="W442" s="740"/>
      <c r="X442" s="740"/>
      <c r="Y442" s="740"/>
      <c r="Z442" s="740"/>
      <c r="AA442" s="740"/>
      <c r="AB442" s="740"/>
      <c r="AC442" s="740"/>
      <c r="AD442" s="740"/>
      <c r="AE442" s="740"/>
      <c r="AF442" s="740"/>
      <c r="AG442" s="740"/>
      <c r="AH442" s="740"/>
      <c r="AI442" s="740"/>
      <c r="AJ442" s="740"/>
      <c r="AK442" s="740"/>
      <c r="AL442" s="740"/>
      <c r="AM442" s="740"/>
      <c r="AN442" s="740"/>
      <c r="AO442" s="740"/>
      <c r="AP442" s="740"/>
    </row>
    <row r="443" spans="3:42" ht="15">
      <c r="C443" s="68"/>
      <c r="D443" s="740"/>
      <c r="E443" s="740"/>
      <c r="F443" s="740"/>
      <c r="G443" s="740"/>
      <c r="H443" s="740"/>
      <c r="I443" s="740"/>
      <c r="J443" s="740"/>
      <c r="K443" s="740"/>
      <c r="L443" s="740"/>
      <c r="M443" s="740"/>
      <c r="N443" s="740"/>
      <c r="O443" s="740"/>
      <c r="P443" s="740"/>
      <c r="Q443" s="740"/>
      <c r="R443" s="740"/>
      <c r="S443" s="740"/>
      <c r="T443" s="740"/>
      <c r="U443" s="740"/>
      <c r="V443" s="740"/>
      <c r="W443" s="740"/>
      <c r="X443" s="740"/>
      <c r="Y443" s="740"/>
      <c r="Z443" s="740"/>
      <c r="AA443" s="740"/>
      <c r="AB443" s="740"/>
      <c r="AC443" s="740"/>
      <c r="AD443" s="740"/>
      <c r="AE443" s="740"/>
      <c r="AF443" s="740"/>
      <c r="AG443" s="740"/>
      <c r="AH443" s="740"/>
      <c r="AI443" s="740"/>
      <c r="AJ443" s="740"/>
      <c r="AK443" s="740"/>
      <c r="AL443" s="740"/>
      <c r="AM443" s="740"/>
      <c r="AN443" s="740"/>
      <c r="AO443" s="740"/>
      <c r="AP443" s="740"/>
    </row>
    <row r="444" spans="3:42" ht="15">
      <c r="C444" s="68"/>
      <c r="D444" s="740"/>
      <c r="E444" s="740"/>
      <c r="F444" s="740"/>
      <c r="G444" s="740"/>
      <c r="H444" s="740"/>
      <c r="I444" s="740"/>
      <c r="J444" s="740"/>
      <c r="K444" s="740"/>
      <c r="L444" s="740"/>
      <c r="M444" s="740"/>
      <c r="N444" s="740"/>
      <c r="O444" s="740"/>
      <c r="P444" s="740"/>
      <c r="Q444" s="740"/>
      <c r="R444" s="740"/>
      <c r="S444" s="740"/>
      <c r="T444" s="740"/>
      <c r="U444" s="740"/>
      <c r="V444" s="740"/>
      <c r="W444" s="740"/>
      <c r="X444" s="740"/>
      <c r="Y444" s="740"/>
      <c r="Z444" s="740"/>
      <c r="AA444" s="740"/>
      <c r="AB444" s="740"/>
      <c r="AC444" s="740"/>
      <c r="AD444" s="740"/>
      <c r="AE444" s="740"/>
      <c r="AF444" s="740"/>
      <c r="AG444" s="740"/>
      <c r="AH444" s="740"/>
      <c r="AI444" s="740"/>
      <c r="AJ444" s="740"/>
      <c r="AK444" s="740"/>
      <c r="AL444" s="740"/>
      <c r="AM444" s="740"/>
      <c r="AN444" s="740"/>
      <c r="AO444" s="740"/>
      <c r="AP444" s="740"/>
    </row>
    <row r="445" spans="3:42" ht="15">
      <c r="C445" s="68"/>
      <c r="D445" s="740"/>
      <c r="E445" s="740"/>
      <c r="F445" s="740"/>
      <c r="G445" s="740"/>
      <c r="H445" s="740"/>
      <c r="I445" s="740"/>
      <c r="J445" s="740"/>
      <c r="K445" s="740"/>
      <c r="L445" s="740"/>
      <c r="M445" s="740"/>
      <c r="N445" s="740"/>
      <c r="O445" s="740"/>
      <c r="P445" s="740"/>
      <c r="Q445" s="740"/>
      <c r="R445" s="740"/>
      <c r="S445" s="740"/>
      <c r="T445" s="740"/>
      <c r="U445" s="740"/>
      <c r="V445" s="740"/>
      <c r="W445" s="740"/>
      <c r="X445" s="740"/>
      <c r="Y445" s="740"/>
      <c r="Z445" s="740"/>
      <c r="AA445" s="740"/>
      <c r="AB445" s="740"/>
      <c r="AC445" s="740"/>
      <c r="AD445" s="740"/>
      <c r="AE445" s="740"/>
      <c r="AF445" s="740"/>
      <c r="AG445" s="740"/>
      <c r="AH445" s="740"/>
      <c r="AI445" s="740"/>
      <c r="AJ445" s="740"/>
      <c r="AK445" s="740"/>
      <c r="AL445" s="740"/>
      <c r="AM445" s="740"/>
      <c r="AN445" s="740"/>
      <c r="AO445" s="740"/>
      <c r="AP445" s="740"/>
    </row>
    <row r="446" spans="3:42" ht="15">
      <c r="C446" s="68"/>
      <c r="D446" s="740"/>
      <c r="E446" s="740"/>
      <c r="F446" s="740"/>
      <c r="G446" s="740"/>
      <c r="H446" s="740"/>
      <c r="I446" s="740"/>
      <c r="J446" s="740"/>
      <c r="K446" s="740"/>
      <c r="L446" s="740"/>
      <c r="M446" s="740"/>
      <c r="N446" s="740"/>
      <c r="O446" s="740"/>
      <c r="P446" s="740"/>
      <c r="Q446" s="740"/>
      <c r="R446" s="740"/>
      <c r="S446" s="740"/>
      <c r="T446" s="740"/>
      <c r="U446" s="740"/>
      <c r="V446" s="740"/>
      <c r="W446" s="740"/>
      <c r="X446" s="740"/>
      <c r="Y446" s="740"/>
      <c r="Z446" s="740"/>
      <c r="AA446" s="740"/>
      <c r="AB446" s="740"/>
      <c r="AC446" s="740"/>
      <c r="AD446" s="740"/>
      <c r="AE446" s="740"/>
      <c r="AF446" s="740"/>
      <c r="AG446" s="740"/>
      <c r="AH446" s="740"/>
      <c r="AI446" s="740"/>
      <c r="AJ446" s="740"/>
      <c r="AK446" s="740"/>
      <c r="AL446" s="740"/>
      <c r="AM446" s="740"/>
      <c r="AN446" s="740"/>
      <c r="AO446" s="740"/>
      <c r="AP446" s="740"/>
    </row>
    <row r="447" spans="3:42" ht="15">
      <c r="C447" s="68"/>
      <c r="D447" s="740"/>
      <c r="E447" s="740"/>
      <c r="F447" s="740"/>
      <c r="G447" s="740"/>
      <c r="H447" s="740"/>
      <c r="I447" s="740"/>
      <c r="J447" s="740"/>
      <c r="K447" s="740"/>
      <c r="L447" s="740"/>
      <c r="M447" s="740"/>
      <c r="N447" s="740"/>
      <c r="O447" s="740"/>
      <c r="P447" s="740"/>
      <c r="Q447" s="740"/>
      <c r="R447" s="740"/>
      <c r="S447" s="740"/>
      <c r="T447" s="740"/>
      <c r="U447" s="740"/>
      <c r="V447" s="740"/>
      <c r="W447" s="740"/>
      <c r="X447" s="740"/>
      <c r="Y447" s="740"/>
      <c r="Z447" s="740"/>
      <c r="AA447" s="740"/>
      <c r="AB447" s="740"/>
      <c r="AC447" s="740"/>
      <c r="AD447" s="740"/>
      <c r="AE447" s="740"/>
      <c r="AF447" s="740"/>
      <c r="AG447" s="740"/>
      <c r="AH447" s="740"/>
      <c r="AI447" s="740"/>
      <c r="AJ447" s="740"/>
      <c r="AK447" s="740"/>
      <c r="AL447" s="740"/>
      <c r="AM447" s="740"/>
      <c r="AN447" s="740"/>
      <c r="AO447" s="740"/>
      <c r="AP447" s="740"/>
    </row>
    <row r="448" spans="3:42" ht="15">
      <c r="C448" s="68"/>
      <c r="D448" s="740"/>
      <c r="E448" s="740"/>
      <c r="F448" s="740"/>
      <c r="G448" s="740"/>
      <c r="H448" s="740"/>
      <c r="I448" s="740"/>
      <c r="J448" s="740"/>
      <c r="K448" s="740"/>
      <c r="L448" s="740"/>
      <c r="M448" s="740"/>
      <c r="N448" s="740"/>
      <c r="O448" s="740"/>
      <c r="P448" s="740"/>
      <c r="Q448" s="740"/>
      <c r="R448" s="740"/>
      <c r="S448" s="740"/>
      <c r="T448" s="740"/>
      <c r="U448" s="740"/>
      <c r="V448" s="740"/>
      <c r="W448" s="740"/>
      <c r="X448" s="740"/>
      <c r="Y448" s="740"/>
      <c r="Z448" s="740"/>
      <c r="AA448" s="740"/>
      <c r="AB448" s="740"/>
      <c r="AC448" s="740"/>
      <c r="AD448" s="740"/>
      <c r="AE448" s="740"/>
      <c r="AF448" s="740"/>
      <c r="AG448" s="740"/>
      <c r="AH448" s="740"/>
      <c r="AI448" s="740"/>
      <c r="AJ448" s="740"/>
      <c r="AK448" s="740"/>
      <c r="AL448" s="740"/>
      <c r="AM448" s="740"/>
      <c r="AN448" s="740"/>
      <c r="AO448" s="740"/>
      <c r="AP448" s="740"/>
    </row>
    <row r="449" spans="3:42" ht="15">
      <c r="C449" s="68"/>
      <c r="D449" s="740"/>
      <c r="E449" s="740"/>
      <c r="F449" s="740"/>
      <c r="G449" s="740"/>
      <c r="H449" s="740"/>
      <c r="I449" s="740"/>
      <c r="J449" s="740"/>
      <c r="K449" s="740"/>
      <c r="L449" s="740"/>
      <c r="M449" s="740"/>
      <c r="N449" s="740"/>
      <c r="O449" s="740"/>
      <c r="P449" s="740"/>
      <c r="Q449" s="740"/>
      <c r="R449" s="740"/>
      <c r="S449" s="740"/>
      <c r="T449" s="740"/>
      <c r="U449" s="740"/>
      <c r="V449" s="740"/>
      <c r="W449" s="740"/>
      <c r="X449" s="740"/>
      <c r="Y449" s="740"/>
      <c r="Z449" s="740"/>
      <c r="AA449" s="740"/>
      <c r="AB449" s="740"/>
      <c r="AC449" s="740"/>
      <c r="AD449" s="740"/>
      <c r="AE449" s="740"/>
      <c r="AF449" s="740"/>
      <c r="AG449" s="740"/>
      <c r="AH449" s="740"/>
      <c r="AI449" s="740"/>
      <c r="AJ449" s="740"/>
      <c r="AK449" s="740"/>
      <c r="AL449" s="740"/>
      <c r="AM449" s="740"/>
      <c r="AN449" s="740"/>
      <c r="AO449" s="740"/>
      <c r="AP449" s="740"/>
    </row>
    <row r="450" spans="3:42" ht="15">
      <c r="C450" s="68"/>
      <c r="D450" s="740"/>
      <c r="E450" s="740"/>
      <c r="F450" s="740"/>
      <c r="G450" s="740"/>
      <c r="H450" s="740"/>
      <c r="I450" s="740"/>
      <c r="J450" s="740"/>
      <c r="K450" s="740"/>
      <c r="L450" s="740"/>
      <c r="M450" s="740"/>
      <c r="N450" s="740"/>
      <c r="O450" s="740"/>
      <c r="P450" s="740"/>
      <c r="Q450" s="740"/>
      <c r="R450" s="740"/>
      <c r="S450" s="740"/>
      <c r="T450" s="740"/>
      <c r="U450" s="740"/>
      <c r="V450" s="740"/>
      <c r="W450" s="740"/>
      <c r="X450" s="740"/>
      <c r="Y450" s="740"/>
      <c r="Z450" s="740"/>
      <c r="AA450" s="740"/>
      <c r="AB450" s="740"/>
      <c r="AC450" s="740"/>
      <c r="AD450" s="740"/>
      <c r="AE450" s="740"/>
      <c r="AF450" s="740"/>
      <c r="AG450" s="740"/>
      <c r="AH450" s="740"/>
      <c r="AI450" s="740"/>
      <c r="AJ450" s="740"/>
      <c r="AK450" s="740"/>
      <c r="AL450" s="740"/>
      <c r="AM450" s="740"/>
      <c r="AN450" s="740"/>
      <c r="AO450" s="740"/>
      <c r="AP450" s="740"/>
    </row>
    <row r="451" spans="3:42" ht="15">
      <c r="C451" s="68"/>
      <c r="D451" s="740"/>
      <c r="E451" s="740"/>
      <c r="F451" s="740"/>
      <c r="G451" s="740"/>
      <c r="H451" s="740"/>
      <c r="I451" s="740"/>
      <c r="J451" s="740"/>
      <c r="K451" s="740"/>
      <c r="L451" s="740"/>
      <c r="M451" s="740"/>
      <c r="N451" s="740"/>
      <c r="O451" s="740"/>
      <c r="P451" s="740"/>
      <c r="Q451" s="740"/>
      <c r="R451" s="740"/>
      <c r="S451" s="740"/>
      <c r="T451" s="740"/>
      <c r="U451" s="740"/>
      <c r="V451" s="740"/>
      <c r="W451" s="740"/>
      <c r="X451" s="740"/>
      <c r="Y451" s="740"/>
      <c r="Z451" s="740"/>
      <c r="AA451" s="740"/>
      <c r="AB451" s="740"/>
      <c r="AC451" s="740"/>
      <c r="AD451" s="740"/>
      <c r="AE451" s="740"/>
      <c r="AF451" s="740"/>
      <c r="AG451" s="740"/>
      <c r="AH451" s="740"/>
      <c r="AI451" s="740"/>
      <c r="AJ451" s="740"/>
      <c r="AK451" s="740"/>
      <c r="AL451" s="740"/>
      <c r="AM451" s="740"/>
      <c r="AN451" s="740"/>
      <c r="AO451" s="740"/>
      <c r="AP451" s="740"/>
    </row>
    <row r="452" spans="3:42" ht="15">
      <c r="C452" s="68"/>
      <c r="D452" s="740"/>
      <c r="E452" s="740"/>
      <c r="F452" s="740"/>
      <c r="G452" s="740"/>
      <c r="H452" s="740"/>
      <c r="I452" s="740"/>
      <c r="J452" s="740"/>
      <c r="K452" s="740"/>
      <c r="L452" s="740"/>
      <c r="M452" s="740"/>
      <c r="N452" s="740"/>
      <c r="O452" s="740"/>
      <c r="P452" s="740"/>
      <c r="Q452" s="740"/>
      <c r="R452" s="740"/>
      <c r="S452" s="740"/>
      <c r="T452" s="740"/>
      <c r="U452" s="740"/>
      <c r="V452" s="740"/>
      <c r="W452" s="740"/>
      <c r="X452" s="740"/>
      <c r="Y452" s="740"/>
      <c r="Z452" s="740"/>
      <c r="AA452" s="740"/>
      <c r="AB452" s="740"/>
      <c r="AC452" s="740"/>
      <c r="AD452" s="740"/>
      <c r="AE452" s="740"/>
      <c r="AF452" s="740"/>
      <c r="AG452" s="740"/>
      <c r="AH452" s="740"/>
      <c r="AI452" s="740"/>
      <c r="AJ452" s="740"/>
      <c r="AK452" s="740"/>
      <c r="AL452" s="740"/>
      <c r="AM452" s="740"/>
      <c r="AN452" s="740"/>
      <c r="AO452" s="740"/>
      <c r="AP452" s="740"/>
    </row>
    <row r="453" spans="3:42" ht="15">
      <c r="C453" s="68"/>
      <c r="D453" s="740"/>
      <c r="E453" s="740"/>
      <c r="F453" s="740"/>
      <c r="G453" s="740"/>
      <c r="H453" s="740"/>
      <c r="I453" s="740"/>
      <c r="J453" s="740"/>
      <c r="K453" s="740"/>
      <c r="L453" s="740"/>
      <c r="M453" s="740"/>
      <c r="N453" s="740"/>
      <c r="O453" s="740"/>
      <c r="P453" s="740"/>
      <c r="Q453" s="740"/>
      <c r="R453" s="740"/>
      <c r="S453" s="740"/>
      <c r="T453" s="740"/>
      <c r="U453" s="740"/>
      <c r="V453" s="740"/>
      <c r="W453" s="740"/>
      <c r="X453" s="740"/>
      <c r="Y453" s="740"/>
      <c r="Z453" s="740"/>
      <c r="AA453" s="740"/>
      <c r="AB453" s="740"/>
      <c r="AC453" s="740"/>
      <c r="AD453" s="740"/>
      <c r="AE453" s="740"/>
      <c r="AF453" s="740"/>
      <c r="AG453" s="740"/>
      <c r="AH453" s="740"/>
      <c r="AI453" s="740"/>
      <c r="AJ453" s="740"/>
      <c r="AK453" s="740"/>
      <c r="AL453" s="740"/>
      <c r="AM453" s="740"/>
      <c r="AN453" s="740"/>
      <c r="AO453" s="740"/>
      <c r="AP453" s="740"/>
    </row>
    <row r="454" spans="3:42" ht="15">
      <c r="C454" s="68"/>
      <c r="D454" s="740"/>
      <c r="E454" s="740"/>
      <c r="F454" s="740"/>
      <c r="G454" s="740"/>
      <c r="H454" s="740"/>
      <c r="I454" s="740"/>
      <c r="J454" s="740"/>
      <c r="K454" s="740"/>
      <c r="L454" s="740"/>
      <c r="M454" s="740"/>
      <c r="N454" s="740"/>
      <c r="O454" s="740"/>
      <c r="P454" s="740"/>
      <c r="Q454" s="740"/>
      <c r="R454" s="740"/>
      <c r="S454" s="740"/>
      <c r="T454" s="740"/>
      <c r="U454" s="740"/>
      <c r="V454" s="740"/>
      <c r="W454" s="740"/>
      <c r="X454" s="740"/>
      <c r="Y454" s="740"/>
      <c r="Z454" s="740"/>
      <c r="AA454" s="740"/>
      <c r="AB454" s="740"/>
      <c r="AC454" s="740"/>
      <c r="AD454" s="740"/>
      <c r="AE454" s="740"/>
      <c r="AF454" s="740"/>
      <c r="AG454" s="740"/>
      <c r="AH454" s="740"/>
      <c r="AI454" s="740"/>
      <c r="AJ454" s="740"/>
      <c r="AK454" s="740"/>
      <c r="AL454" s="740"/>
      <c r="AM454" s="740"/>
      <c r="AN454" s="740"/>
      <c r="AO454" s="740"/>
      <c r="AP454" s="740"/>
    </row>
    <row r="455" spans="3:42" ht="15">
      <c r="C455" s="68"/>
      <c r="D455" s="740"/>
      <c r="E455" s="740"/>
      <c r="F455" s="740"/>
      <c r="G455" s="740"/>
      <c r="H455" s="740"/>
      <c r="I455" s="740"/>
      <c r="J455" s="740"/>
      <c r="K455" s="740"/>
      <c r="L455" s="740"/>
      <c r="M455" s="740"/>
      <c r="N455" s="740"/>
      <c r="O455" s="740"/>
      <c r="P455" s="740"/>
      <c r="Q455" s="740"/>
      <c r="R455" s="740"/>
      <c r="S455" s="740"/>
      <c r="T455" s="740"/>
      <c r="U455" s="740"/>
      <c r="V455" s="740"/>
      <c r="W455" s="740"/>
      <c r="X455" s="740"/>
      <c r="Y455" s="740"/>
      <c r="Z455" s="740"/>
      <c r="AA455" s="740"/>
      <c r="AB455" s="740"/>
      <c r="AC455" s="740"/>
      <c r="AD455" s="740"/>
      <c r="AE455" s="740"/>
      <c r="AF455" s="740"/>
      <c r="AG455" s="740"/>
      <c r="AH455" s="740"/>
      <c r="AI455" s="740"/>
      <c r="AJ455" s="740"/>
      <c r="AK455" s="740"/>
      <c r="AL455" s="740"/>
      <c r="AM455" s="740"/>
      <c r="AN455" s="740"/>
      <c r="AO455" s="740"/>
      <c r="AP455" s="740"/>
    </row>
    <row r="456" spans="3:42" ht="15">
      <c r="C456" s="68"/>
      <c r="D456" s="740"/>
      <c r="E456" s="740"/>
      <c r="F456" s="740"/>
      <c r="G456" s="740"/>
      <c r="H456" s="740"/>
      <c r="I456" s="740"/>
      <c r="J456" s="740"/>
      <c r="K456" s="740"/>
      <c r="L456" s="740"/>
      <c r="M456" s="740"/>
      <c r="N456" s="740"/>
      <c r="O456" s="740"/>
      <c r="P456" s="740"/>
      <c r="Q456" s="740"/>
      <c r="R456" s="740"/>
      <c r="S456" s="740"/>
      <c r="T456" s="740"/>
      <c r="U456" s="740"/>
      <c r="V456" s="740"/>
      <c r="W456" s="740"/>
      <c r="X456" s="740"/>
      <c r="Y456" s="740"/>
      <c r="Z456" s="740"/>
      <c r="AA456" s="740"/>
      <c r="AB456" s="740"/>
      <c r="AC456" s="740"/>
      <c r="AD456" s="740"/>
      <c r="AE456" s="740"/>
      <c r="AF456" s="740"/>
      <c r="AG456" s="740"/>
      <c r="AH456" s="740"/>
      <c r="AI456" s="740"/>
      <c r="AJ456" s="740"/>
      <c r="AK456" s="740"/>
      <c r="AL456" s="740"/>
      <c r="AM456" s="740"/>
      <c r="AN456" s="740"/>
      <c r="AO456" s="740"/>
      <c r="AP456" s="740"/>
    </row>
    <row r="457" spans="3:42" ht="15">
      <c r="C457" s="68"/>
      <c r="D457" s="740"/>
      <c r="E457" s="740"/>
      <c r="F457" s="740"/>
      <c r="G457" s="740"/>
      <c r="H457" s="740"/>
      <c r="I457" s="740"/>
      <c r="J457" s="740"/>
      <c r="K457" s="740"/>
      <c r="L457" s="740"/>
      <c r="M457" s="740"/>
      <c r="N457" s="740"/>
      <c r="O457" s="740"/>
      <c r="P457" s="740"/>
      <c r="Q457" s="740"/>
      <c r="R457" s="740"/>
      <c r="S457" s="740"/>
      <c r="T457" s="740"/>
      <c r="U457" s="740"/>
      <c r="V457" s="740"/>
      <c r="W457" s="740"/>
      <c r="X457" s="740"/>
      <c r="Y457" s="740"/>
      <c r="Z457" s="740"/>
      <c r="AA457" s="740"/>
      <c r="AB457" s="740"/>
      <c r="AC457" s="740"/>
      <c r="AD457" s="740"/>
      <c r="AE457" s="740"/>
      <c r="AF457" s="740"/>
      <c r="AG457" s="740"/>
      <c r="AH457" s="740"/>
      <c r="AI457" s="740"/>
      <c r="AJ457" s="740"/>
      <c r="AK457" s="740"/>
      <c r="AL457" s="740"/>
      <c r="AM457" s="740"/>
      <c r="AN457" s="740"/>
      <c r="AO457" s="740"/>
      <c r="AP457" s="740"/>
    </row>
    <row r="458" spans="3:42" ht="15">
      <c r="C458" s="68"/>
      <c r="D458" s="740"/>
      <c r="E458" s="740"/>
      <c r="F458" s="740"/>
      <c r="G458" s="740"/>
      <c r="H458" s="740"/>
      <c r="I458" s="740"/>
      <c r="J458" s="740"/>
      <c r="K458" s="740"/>
      <c r="L458" s="740"/>
      <c r="M458" s="740"/>
      <c r="N458" s="740"/>
      <c r="O458" s="740"/>
      <c r="P458" s="740"/>
      <c r="Q458" s="740"/>
      <c r="R458" s="740"/>
      <c r="S458" s="740"/>
      <c r="T458" s="740"/>
      <c r="U458" s="740"/>
      <c r="V458" s="740"/>
      <c r="W458" s="740"/>
      <c r="X458" s="740"/>
      <c r="Y458" s="740"/>
      <c r="Z458" s="740"/>
      <c r="AA458" s="740"/>
      <c r="AB458" s="740"/>
      <c r="AC458" s="740"/>
      <c r="AD458" s="740"/>
      <c r="AE458" s="740"/>
      <c r="AF458" s="740"/>
      <c r="AG458" s="740"/>
      <c r="AH458" s="740"/>
      <c r="AI458" s="740"/>
      <c r="AJ458" s="740"/>
      <c r="AK458" s="740"/>
      <c r="AL458" s="740"/>
      <c r="AM458" s="740"/>
      <c r="AN458" s="740"/>
      <c r="AO458" s="740"/>
      <c r="AP458" s="740"/>
    </row>
    <row r="459" spans="3:42" ht="15">
      <c r="C459" s="68"/>
      <c r="D459" s="740"/>
      <c r="E459" s="740"/>
      <c r="F459" s="740"/>
      <c r="G459" s="740"/>
      <c r="H459" s="740"/>
      <c r="I459" s="740"/>
      <c r="J459" s="740"/>
      <c r="K459" s="740"/>
      <c r="L459" s="740"/>
      <c r="M459" s="740"/>
      <c r="N459" s="740"/>
      <c r="O459" s="740"/>
      <c r="P459" s="740"/>
      <c r="Q459" s="740"/>
      <c r="R459" s="740"/>
      <c r="S459" s="740"/>
      <c r="T459" s="740"/>
      <c r="U459" s="740"/>
      <c r="V459" s="740"/>
      <c r="W459" s="740"/>
      <c r="X459" s="740"/>
      <c r="Y459" s="740"/>
      <c r="Z459" s="740"/>
      <c r="AA459" s="740"/>
      <c r="AB459" s="740"/>
      <c r="AC459" s="740"/>
      <c r="AD459" s="740"/>
      <c r="AE459" s="740"/>
      <c r="AF459" s="740"/>
      <c r="AG459" s="740"/>
      <c r="AH459" s="740"/>
      <c r="AI459" s="740"/>
      <c r="AJ459" s="740"/>
      <c r="AK459" s="740"/>
      <c r="AL459" s="740"/>
      <c r="AM459" s="740"/>
      <c r="AN459" s="740"/>
      <c r="AO459" s="740"/>
      <c r="AP459" s="740"/>
    </row>
    <row r="460" spans="3:42" ht="15">
      <c r="C460" s="68"/>
      <c r="D460" s="740"/>
      <c r="E460" s="740"/>
      <c r="F460" s="740"/>
      <c r="G460" s="740"/>
      <c r="H460" s="740"/>
      <c r="I460" s="740"/>
      <c r="J460" s="740"/>
      <c r="K460" s="740"/>
      <c r="L460" s="740"/>
      <c r="M460" s="740"/>
      <c r="N460" s="740"/>
      <c r="O460" s="740"/>
      <c r="P460" s="740"/>
      <c r="Q460" s="740"/>
      <c r="R460" s="740"/>
      <c r="S460" s="740"/>
      <c r="T460" s="740"/>
      <c r="U460" s="740"/>
      <c r="V460" s="740"/>
      <c r="W460" s="740"/>
      <c r="X460" s="740"/>
      <c r="Y460" s="740"/>
      <c r="Z460" s="740"/>
      <c r="AA460" s="740"/>
      <c r="AB460" s="740"/>
      <c r="AC460" s="740"/>
      <c r="AD460" s="740"/>
      <c r="AE460" s="740"/>
      <c r="AF460" s="740"/>
      <c r="AG460" s="740"/>
      <c r="AH460" s="740"/>
      <c r="AI460" s="740"/>
      <c r="AJ460" s="740"/>
      <c r="AK460" s="740"/>
      <c r="AL460" s="740"/>
      <c r="AM460" s="740"/>
      <c r="AN460" s="740"/>
      <c r="AO460" s="740"/>
      <c r="AP460" s="740"/>
    </row>
    <row r="461" spans="3:42" ht="15">
      <c r="C461" s="68"/>
      <c r="D461" s="740"/>
      <c r="E461" s="740"/>
      <c r="F461" s="740"/>
      <c r="G461" s="740"/>
      <c r="H461" s="740"/>
      <c r="I461" s="740"/>
      <c r="J461" s="740"/>
      <c r="K461" s="740"/>
      <c r="L461" s="740"/>
      <c r="M461" s="740"/>
      <c r="N461" s="740"/>
      <c r="O461" s="740"/>
      <c r="P461" s="740"/>
      <c r="Q461" s="740"/>
      <c r="R461" s="740"/>
      <c r="S461" s="740"/>
      <c r="T461" s="740"/>
      <c r="U461" s="740"/>
      <c r="V461" s="740"/>
      <c r="W461" s="740"/>
      <c r="X461" s="740"/>
      <c r="Y461" s="740"/>
      <c r="Z461" s="740"/>
      <c r="AA461" s="740"/>
      <c r="AB461" s="740"/>
      <c r="AC461" s="740"/>
      <c r="AD461" s="740"/>
      <c r="AE461" s="740"/>
      <c r="AF461" s="740"/>
      <c r="AG461" s="740"/>
      <c r="AH461" s="740"/>
      <c r="AI461" s="740"/>
      <c r="AJ461" s="740"/>
      <c r="AK461" s="740"/>
      <c r="AL461" s="740"/>
      <c r="AM461" s="740"/>
      <c r="AN461" s="740"/>
      <c r="AO461" s="740"/>
      <c r="AP461" s="740"/>
    </row>
    <row r="462" spans="3:42" ht="15">
      <c r="C462" s="68"/>
      <c r="D462" s="740"/>
      <c r="E462" s="740"/>
      <c r="F462" s="740"/>
      <c r="G462" s="740"/>
      <c r="H462" s="740"/>
      <c r="I462" s="740"/>
      <c r="J462" s="740"/>
      <c r="K462" s="740"/>
      <c r="L462" s="740"/>
      <c r="M462" s="740"/>
      <c r="N462" s="740"/>
      <c r="O462" s="740"/>
      <c r="P462" s="740"/>
      <c r="Q462" s="740"/>
      <c r="R462" s="740"/>
      <c r="S462" s="740"/>
      <c r="T462" s="740"/>
      <c r="U462" s="740"/>
      <c r="V462" s="740"/>
      <c r="W462" s="740"/>
      <c r="X462" s="740"/>
      <c r="Y462" s="740"/>
      <c r="Z462" s="740"/>
      <c r="AA462" s="740"/>
      <c r="AB462" s="740"/>
      <c r="AC462" s="740"/>
      <c r="AD462" s="740"/>
      <c r="AE462" s="740"/>
      <c r="AF462" s="740"/>
      <c r="AG462" s="740"/>
      <c r="AH462" s="740"/>
      <c r="AI462" s="740"/>
      <c r="AJ462" s="740"/>
      <c r="AK462" s="740"/>
      <c r="AL462" s="740"/>
      <c r="AM462" s="740"/>
      <c r="AN462" s="740"/>
      <c r="AO462" s="740"/>
      <c r="AP462" s="740"/>
    </row>
    <row r="463" spans="3:42" ht="15">
      <c r="C463" s="68"/>
      <c r="D463" s="740"/>
      <c r="E463" s="740"/>
      <c r="F463" s="740"/>
      <c r="G463" s="740"/>
      <c r="H463" s="740"/>
      <c r="I463" s="740"/>
      <c r="J463" s="740"/>
      <c r="K463" s="740"/>
      <c r="L463" s="740"/>
      <c r="M463" s="740"/>
      <c r="N463" s="740"/>
      <c r="O463" s="740"/>
      <c r="P463" s="740"/>
      <c r="Q463" s="740"/>
      <c r="R463" s="740"/>
      <c r="S463" s="740"/>
      <c r="T463" s="740"/>
      <c r="U463" s="740"/>
      <c r="V463" s="740"/>
      <c r="W463" s="740"/>
      <c r="X463" s="740"/>
      <c r="Y463" s="740"/>
      <c r="Z463" s="740"/>
      <c r="AA463" s="740"/>
      <c r="AB463" s="740"/>
      <c r="AC463" s="740"/>
      <c r="AD463" s="740"/>
      <c r="AE463" s="740"/>
      <c r="AF463" s="740"/>
      <c r="AG463" s="740"/>
      <c r="AH463" s="740"/>
      <c r="AI463" s="740"/>
      <c r="AJ463" s="740"/>
      <c r="AK463" s="740"/>
      <c r="AL463" s="740"/>
      <c r="AM463" s="740"/>
      <c r="AN463" s="740"/>
      <c r="AO463" s="740"/>
      <c r="AP463" s="740"/>
    </row>
    <row r="464" spans="3:42" ht="15">
      <c r="C464" s="68"/>
      <c r="D464" s="740"/>
      <c r="E464" s="740"/>
      <c r="F464" s="740"/>
      <c r="G464" s="740"/>
      <c r="H464" s="740"/>
      <c r="I464" s="740"/>
      <c r="J464" s="740"/>
      <c r="K464" s="740"/>
      <c r="L464" s="740"/>
      <c r="M464" s="740"/>
      <c r="N464" s="740"/>
      <c r="O464" s="740"/>
      <c r="P464" s="740"/>
      <c r="Q464" s="740"/>
      <c r="R464" s="740"/>
      <c r="S464" s="740"/>
      <c r="T464" s="740"/>
      <c r="U464" s="740"/>
      <c r="V464" s="740"/>
      <c r="W464" s="740"/>
      <c r="X464" s="740"/>
      <c r="Y464" s="740"/>
      <c r="Z464" s="740"/>
      <c r="AA464" s="740"/>
      <c r="AB464" s="740"/>
      <c r="AC464" s="740"/>
      <c r="AD464" s="740"/>
      <c r="AE464" s="740"/>
      <c r="AF464" s="740"/>
      <c r="AG464" s="740"/>
      <c r="AH464" s="740"/>
      <c r="AI464" s="740"/>
      <c r="AJ464" s="740"/>
      <c r="AK464" s="740"/>
      <c r="AL464" s="740"/>
      <c r="AM464" s="740"/>
      <c r="AN464" s="740"/>
      <c r="AO464" s="740"/>
      <c r="AP464" s="740"/>
    </row>
    <row r="465" spans="3:42" ht="15">
      <c r="C465" s="68"/>
      <c r="D465" s="740"/>
      <c r="E465" s="740"/>
      <c r="F465" s="740"/>
      <c r="G465" s="740"/>
      <c r="H465" s="740"/>
      <c r="I465" s="740"/>
      <c r="J465" s="740"/>
      <c r="K465" s="740"/>
      <c r="L465" s="740"/>
      <c r="M465" s="740"/>
      <c r="N465" s="740"/>
      <c r="O465" s="740"/>
      <c r="P465" s="740"/>
      <c r="Q465" s="740"/>
      <c r="R465" s="740"/>
      <c r="S465" s="740"/>
      <c r="T465" s="740"/>
      <c r="U465" s="740"/>
      <c r="V465" s="740"/>
      <c r="W465" s="740"/>
      <c r="X465" s="740"/>
      <c r="Y465" s="740"/>
      <c r="Z465" s="740"/>
      <c r="AA465" s="740"/>
      <c r="AB465" s="740"/>
      <c r="AC465" s="740"/>
      <c r="AD465" s="740"/>
      <c r="AE465" s="740"/>
      <c r="AF465" s="740"/>
      <c r="AG465" s="740"/>
      <c r="AH465" s="740"/>
      <c r="AI465" s="740"/>
      <c r="AJ465" s="740"/>
      <c r="AK465" s="740"/>
      <c r="AL465" s="740"/>
      <c r="AM465" s="740"/>
      <c r="AN465" s="740"/>
      <c r="AO465" s="740"/>
      <c r="AP465" s="740"/>
    </row>
    <row r="466" spans="3:42" ht="15">
      <c r="C466" s="68"/>
      <c r="D466" s="740"/>
      <c r="E466" s="740"/>
      <c r="F466" s="740"/>
      <c r="G466" s="740"/>
      <c r="H466" s="740"/>
      <c r="I466" s="740"/>
      <c r="J466" s="740"/>
      <c r="K466" s="740"/>
      <c r="L466" s="740"/>
      <c r="M466" s="740"/>
      <c r="N466" s="740"/>
      <c r="O466" s="740"/>
      <c r="P466" s="740"/>
      <c r="Q466" s="740"/>
      <c r="R466" s="740"/>
      <c r="S466" s="740"/>
      <c r="T466" s="740"/>
      <c r="U466" s="740"/>
      <c r="V466" s="740"/>
      <c r="W466" s="740"/>
      <c r="X466" s="740"/>
      <c r="Y466" s="740"/>
      <c r="Z466" s="740"/>
      <c r="AA466" s="740"/>
      <c r="AB466" s="740"/>
      <c r="AC466" s="740"/>
      <c r="AD466" s="740"/>
      <c r="AE466" s="740"/>
      <c r="AF466" s="740"/>
      <c r="AG466" s="740"/>
      <c r="AH466" s="740"/>
      <c r="AI466" s="740"/>
      <c r="AJ466" s="740"/>
      <c r="AK466" s="740"/>
      <c r="AL466" s="740"/>
      <c r="AM466" s="740"/>
      <c r="AN466" s="740"/>
      <c r="AO466" s="740"/>
      <c r="AP466" s="740"/>
    </row>
    <row r="467" spans="3:42" ht="15">
      <c r="C467" s="68"/>
      <c r="D467" s="740"/>
      <c r="E467" s="740"/>
      <c r="F467" s="740"/>
      <c r="G467" s="740"/>
      <c r="H467" s="740"/>
      <c r="I467" s="740"/>
      <c r="J467" s="740"/>
      <c r="K467" s="740"/>
      <c r="L467" s="740"/>
      <c r="M467" s="740"/>
      <c r="N467" s="740"/>
      <c r="O467" s="740"/>
      <c r="P467" s="740"/>
      <c r="Q467" s="740"/>
      <c r="R467" s="740"/>
      <c r="S467" s="740"/>
      <c r="T467" s="740"/>
      <c r="U467" s="740"/>
      <c r="V467" s="740"/>
      <c r="W467" s="740"/>
      <c r="X467" s="740"/>
      <c r="Y467" s="740"/>
      <c r="Z467" s="740"/>
      <c r="AA467" s="740"/>
      <c r="AB467" s="740"/>
      <c r="AC467" s="740"/>
      <c r="AD467" s="740"/>
      <c r="AE467" s="740"/>
      <c r="AF467" s="740"/>
      <c r="AG467" s="740"/>
      <c r="AH467" s="740"/>
      <c r="AI467" s="740"/>
      <c r="AJ467" s="740"/>
      <c r="AK467" s="740"/>
      <c r="AL467" s="740"/>
      <c r="AM467" s="740"/>
      <c r="AN467" s="740"/>
      <c r="AO467" s="740"/>
      <c r="AP467" s="740"/>
    </row>
    <row r="468" spans="3:42" ht="15">
      <c r="C468" s="68"/>
      <c r="D468" s="740"/>
      <c r="E468" s="740"/>
      <c r="F468" s="740"/>
      <c r="G468" s="740"/>
      <c r="H468" s="740"/>
      <c r="I468" s="740"/>
      <c r="J468" s="740"/>
      <c r="K468" s="740"/>
      <c r="L468" s="740"/>
      <c r="M468" s="740"/>
      <c r="N468" s="740"/>
      <c r="O468" s="740"/>
      <c r="P468" s="740"/>
      <c r="Q468" s="740"/>
      <c r="R468" s="740"/>
      <c r="S468" s="740"/>
      <c r="T468" s="740"/>
      <c r="U468" s="740"/>
      <c r="V468" s="740"/>
      <c r="W468" s="740"/>
      <c r="X468" s="740"/>
      <c r="Y468" s="740"/>
      <c r="Z468" s="740"/>
      <c r="AA468" s="740"/>
      <c r="AB468" s="740"/>
      <c r="AC468" s="740"/>
      <c r="AD468" s="740"/>
      <c r="AE468" s="740"/>
      <c r="AF468" s="740"/>
      <c r="AG468" s="740"/>
      <c r="AH468" s="740"/>
      <c r="AI468" s="740"/>
      <c r="AJ468" s="740"/>
      <c r="AK468" s="740"/>
      <c r="AL468" s="740"/>
      <c r="AM468" s="740"/>
      <c r="AN468" s="740"/>
      <c r="AO468" s="740"/>
      <c r="AP468" s="740"/>
    </row>
    <row r="469" spans="3:42" ht="15">
      <c r="C469" s="68"/>
      <c r="D469" s="740"/>
      <c r="E469" s="740"/>
      <c r="F469" s="740"/>
      <c r="G469" s="740"/>
      <c r="H469" s="740"/>
      <c r="I469" s="740"/>
      <c r="J469" s="740"/>
      <c r="K469" s="740"/>
      <c r="L469" s="740"/>
      <c r="M469" s="740"/>
      <c r="N469" s="740"/>
      <c r="O469" s="740"/>
      <c r="P469" s="740"/>
      <c r="Q469" s="740"/>
      <c r="R469" s="740"/>
      <c r="S469" s="740"/>
      <c r="T469" s="740"/>
      <c r="U469" s="740"/>
      <c r="V469" s="740"/>
      <c r="W469" s="740"/>
      <c r="X469" s="740"/>
      <c r="Y469" s="740"/>
      <c r="Z469" s="740"/>
      <c r="AA469" s="740"/>
      <c r="AB469" s="740"/>
      <c r="AC469" s="740"/>
      <c r="AD469" s="740"/>
      <c r="AE469" s="740"/>
      <c r="AF469" s="740"/>
      <c r="AG469" s="740"/>
      <c r="AH469" s="740"/>
      <c r="AI469" s="740"/>
      <c r="AJ469" s="740"/>
      <c r="AK469" s="740"/>
      <c r="AL469" s="740"/>
      <c r="AM469" s="740"/>
      <c r="AN469" s="740"/>
      <c r="AO469" s="740"/>
      <c r="AP469" s="740"/>
    </row>
    <row r="470" spans="3:42" ht="15">
      <c r="C470" s="68"/>
      <c r="D470" s="740"/>
      <c r="E470" s="740"/>
      <c r="F470" s="740"/>
      <c r="G470" s="740"/>
      <c r="H470" s="740"/>
      <c r="I470" s="740"/>
      <c r="J470" s="740"/>
      <c r="K470" s="740"/>
      <c r="L470" s="740"/>
      <c r="M470" s="740"/>
      <c r="N470" s="740"/>
      <c r="O470" s="740"/>
      <c r="P470" s="740"/>
      <c r="Q470" s="740"/>
      <c r="R470" s="740"/>
      <c r="S470" s="740"/>
      <c r="T470" s="740"/>
      <c r="U470" s="740"/>
      <c r="V470" s="740"/>
      <c r="W470" s="740"/>
      <c r="X470" s="740"/>
      <c r="Y470" s="740"/>
      <c r="Z470" s="740"/>
      <c r="AA470" s="740"/>
      <c r="AB470" s="740"/>
      <c r="AC470" s="740"/>
      <c r="AD470" s="740"/>
      <c r="AE470" s="740"/>
      <c r="AF470" s="740"/>
      <c r="AG470" s="740"/>
      <c r="AH470" s="740"/>
      <c r="AI470" s="740"/>
      <c r="AJ470" s="740"/>
      <c r="AK470" s="740"/>
      <c r="AL470" s="740"/>
      <c r="AM470" s="740"/>
      <c r="AN470" s="740"/>
      <c r="AO470" s="740"/>
      <c r="AP470" s="740"/>
    </row>
    <row r="471" spans="3:42" ht="15">
      <c r="C471" s="68"/>
      <c r="D471" s="740"/>
      <c r="E471" s="740"/>
      <c r="F471" s="740"/>
      <c r="G471" s="740"/>
      <c r="H471" s="740"/>
      <c r="I471" s="740"/>
      <c r="J471" s="740"/>
      <c r="K471" s="740"/>
      <c r="L471" s="740"/>
      <c r="M471" s="740"/>
      <c r="N471" s="740"/>
      <c r="O471" s="740"/>
      <c r="P471" s="740"/>
      <c r="Q471" s="740"/>
      <c r="R471" s="740"/>
      <c r="S471" s="740"/>
      <c r="T471" s="740"/>
      <c r="U471" s="740"/>
      <c r="V471" s="740"/>
      <c r="W471" s="740"/>
      <c r="X471" s="740"/>
      <c r="Y471" s="740"/>
      <c r="Z471" s="740"/>
      <c r="AA471" s="740"/>
      <c r="AB471" s="740"/>
      <c r="AC471" s="740"/>
      <c r="AD471" s="740"/>
      <c r="AE471" s="740"/>
      <c r="AF471" s="740"/>
      <c r="AG471" s="740"/>
      <c r="AH471" s="740"/>
      <c r="AI471" s="740"/>
      <c r="AJ471" s="740"/>
      <c r="AK471" s="740"/>
      <c r="AL471" s="740"/>
      <c r="AM471" s="740"/>
      <c r="AN471" s="740"/>
      <c r="AO471" s="740"/>
      <c r="AP471" s="740"/>
    </row>
    <row r="472" spans="3:42" ht="15">
      <c r="C472" s="68"/>
      <c r="D472" s="740"/>
      <c r="E472" s="740"/>
      <c r="F472" s="740"/>
      <c r="G472" s="740"/>
      <c r="H472" s="740"/>
      <c r="I472" s="740"/>
      <c r="J472" s="740"/>
      <c r="K472" s="740"/>
      <c r="L472" s="740"/>
      <c r="M472" s="740"/>
      <c r="N472" s="740"/>
      <c r="O472" s="740"/>
      <c r="P472" s="740"/>
      <c r="Q472" s="740"/>
      <c r="R472" s="740"/>
      <c r="S472" s="740"/>
      <c r="T472" s="740"/>
      <c r="U472" s="740"/>
      <c r="V472" s="740"/>
      <c r="W472" s="740"/>
      <c r="X472" s="740"/>
      <c r="Y472" s="740"/>
      <c r="Z472" s="740"/>
      <c r="AA472" s="740"/>
      <c r="AB472" s="740"/>
      <c r="AC472" s="740"/>
      <c r="AD472" s="740"/>
      <c r="AE472" s="740"/>
      <c r="AF472" s="740"/>
      <c r="AG472" s="740"/>
      <c r="AH472" s="740"/>
      <c r="AI472" s="740"/>
      <c r="AJ472" s="740"/>
      <c r="AK472" s="740"/>
      <c r="AL472" s="740"/>
      <c r="AM472" s="740"/>
      <c r="AN472" s="740"/>
      <c r="AO472" s="740"/>
      <c r="AP472" s="740"/>
    </row>
    <row r="473" spans="3:42" ht="15">
      <c r="C473" s="68"/>
      <c r="D473" s="740"/>
      <c r="E473" s="740"/>
      <c r="F473" s="740"/>
      <c r="G473" s="740"/>
      <c r="H473" s="740"/>
      <c r="I473" s="740"/>
      <c r="J473" s="740"/>
      <c r="K473" s="740"/>
      <c r="L473" s="740"/>
      <c r="M473" s="740"/>
      <c r="N473" s="740"/>
      <c r="O473" s="740"/>
      <c r="P473" s="740"/>
      <c r="Q473" s="740"/>
      <c r="R473" s="740"/>
      <c r="S473" s="740"/>
      <c r="T473" s="740"/>
      <c r="U473" s="740"/>
      <c r="V473" s="740"/>
      <c r="W473" s="740"/>
      <c r="X473" s="740"/>
      <c r="Y473" s="740"/>
      <c r="Z473" s="740"/>
      <c r="AA473" s="740"/>
      <c r="AB473" s="740"/>
      <c r="AC473" s="740"/>
      <c r="AD473" s="740"/>
      <c r="AE473" s="740"/>
      <c r="AF473" s="740"/>
      <c r="AG473" s="740"/>
      <c r="AH473" s="740"/>
      <c r="AI473" s="740"/>
      <c r="AJ473" s="740"/>
      <c r="AK473" s="740"/>
      <c r="AL473" s="740"/>
      <c r="AM473" s="740"/>
      <c r="AN473" s="740"/>
      <c r="AO473" s="740"/>
      <c r="AP473" s="740"/>
    </row>
    <row r="474" spans="3:42" ht="15">
      <c r="C474" s="68"/>
      <c r="D474" s="740"/>
      <c r="E474" s="740"/>
      <c r="F474" s="740"/>
      <c r="G474" s="740"/>
      <c r="H474" s="740"/>
      <c r="I474" s="740"/>
      <c r="J474" s="740"/>
      <c r="K474" s="740"/>
      <c r="L474" s="740"/>
      <c r="M474" s="740"/>
      <c r="N474" s="740"/>
      <c r="O474" s="740"/>
      <c r="P474" s="740"/>
      <c r="Q474" s="740"/>
      <c r="R474" s="740"/>
      <c r="S474" s="740"/>
      <c r="T474" s="740"/>
      <c r="U474" s="740"/>
      <c r="V474" s="740"/>
      <c r="W474" s="740"/>
      <c r="X474" s="740"/>
      <c r="Y474" s="740"/>
      <c r="Z474" s="740"/>
      <c r="AA474" s="740"/>
      <c r="AB474" s="740"/>
      <c r="AC474" s="740"/>
      <c r="AD474" s="740"/>
      <c r="AE474" s="740"/>
      <c r="AF474" s="740"/>
      <c r="AG474" s="740"/>
      <c r="AH474" s="740"/>
      <c r="AI474" s="740"/>
      <c r="AJ474" s="740"/>
      <c r="AK474" s="740"/>
      <c r="AL474" s="740"/>
      <c r="AM474" s="740"/>
      <c r="AN474" s="740"/>
      <c r="AO474" s="740"/>
      <c r="AP474" s="740"/>
    </row>
    <row r="475" spans="3:42" ht="15">
      <c r="C475" s="68"/>
      <c r="D475" s="740"/>
      <c r="E475" s="740"/>
      <c r="F475" s="740"/>
      <c r="G475" s="740"/>
      <c r="H475" s="740"/>
      <c r="I475" s="740"/>
      <c r="J475" s="740"/>
      <c r="K475" s="740"/>
      <c r="L475" s="740"/>
      <c r="M475" s="740"/>
      <c r="N475" s="740"/>
      <c r="O475" s="740"/>
      <c r="P475" s="740"/>
      <c r="Q475" s="740"/>
      <c r="R475" s="740"/>
      <c r="S475" s="740"/>
      <c r="T475" s="740"/>
      <c r="U475" s="740"/>
      <c r="V475" s="740"/>
      <c r="W475" s="740"/>
      <c r="X475" s="740"/>
      <c r="Y475" s="740"/>
      <c r="Z475" s="740"/>
      <c r="AA475" s="740"/>
      <c r="AB475" s="740"/>
      <c r="AC475" s="740"/>
      <c r="AD475" s="740"/>
      <c r="AE475" s="740"/>
      <c r="AF475" s="740"/>
      <c r="AG475" s="740"/>
      <c r="AH475" s="740"/>
      <c r="AI475" s="740"/>
      <c r="AJ475" s="740"/>
      <c r="AK475" s="740"/>
      <c r="AL475" s="740"/>
      <c r="AM475" s="740"/>
      <c r="AN475" s="740"/>
      <c r="AO475" s="740"/>
      <c r="AP475" s="740"/>
    </row>
    <row r="476" spans="3:42" ht="15">
      <c r="C476" s="68"/>
      <c r="D476" s="740"/>
      <c r="E476" s="740"/>
      <c r="F476" s="740"/>
      <c r="G476" s="740"/>
      <c r="H476" s="740"/>
      <c r="I476" s="740"/>
      <c r="J476" s="740"/>
      <c r="K476" s="740"/>
      <c r="L476" s="740"/>
      <c r="M476" s="740"/>
      <c r="N476" s="740"/>
      <c r="O476" s="740"/>
      <c r="P476" s="740"/>
      <c r="Q476" s="740"/>
      <c r="R476" s="740"/>
      <c r="S476" s="740"/>
      <c r="T476" s="740"/>
      <c r="U476" s="740"/>
      <c r="V476" s="740"/>
      <c r="W476" s="740"/>
      <c r="X476" s="740"/>
      <c r="Y476" s="740"/>
      <c r="Z476" s="740"/>
      <c r="AA476" s="740"/>
      <c r="AB476" s="740"/>
      <c r="AC476" s="740"/>
      <c r="AD476" s="740"/>
      <c r="AE476" s="740"/>
      <c r="AF476" s="740"/>
      <c r="AG476" s="740"/>
      <c r="AH476" s="740"/>
      <c r="AI476" s="740"/>
      <c r="AJ476" s="740"/>
      <c r="AK476" s="740"/>
      <c r="AL476" s="740"/>
      <c r="AM476" s="740"/>
      <c r="AN476" s="740"/>
      <c r="AO476" s="740"/>
      <c r="AP476" s="740"/>
    </row>
    <row r="477" spans="3:42" ht="15">
      <c r="C477" s="68"/>
      <c r="D477" s="740"/>
      <c r="E477" s="740"/>
      <c r="F477" s="740"/>
      <c r="G477" s="740"/>
      <c r="H477" s="740"/>
      <c r="I477" s="740"/>
      <c r="J477" s="740"/>
      <c r="K477" s="740"/>
      <c r="L477" s="740"/>
      <c r="M477" s="740"/>
      <c r="N477" s="740"/>
      <c r="O477" s="740"/>
      <c r="P477" s="740"/>
      <c r="Q477" s="740"/>
      <c r="R477" s="740"/>
      <c r="S477" s="740"/>
      <c r="T477" s="740"/>
      <c r="U477" s="740"/>
      <c r="V477" s="740"/>
      <c r="W477" s="740"/>
      <c r="X477" s="740"/>
      <c r="Y477" s="740"/>
      <c r="Z477" s="740"/>
      <c r="AA477" s="740"/>
      <c r="AB477" s="740"/>
      <c r="AC477" s="740"/>
      <c r="AD477" s="740"/>
      <c r="AE477" s="740"/>
      <c r="AF477" s="740"/>
      <c r="AG477" s="740"/>
      <c r="AH477" s="740"/>
      <c r="AI477" s="740"/>
      <c r="AJ477" s="740"/>
      <c r="AK477" s="740"/>
      <c r="AL477" s="740"/>
      <c r="AM477" s="740"/>
      <c r="AN477" s="740"/>
      <c r="AO477" s="740"/>
      <c r="AP477" s="740"/>
    </row>
    <row r="478" spans="3:42" ht="15">
      <c r="C478" s="68"/>
      <c r="D478" s="740"/>
      <c r="E478" s="740"/>
      <c r="F478" s="740"/>
      <c r="G478" s="740"/>
      <c r="H478" s="740"/>
      <c r="I478" s="740"/>
      <c r="J478" s="740"/>
      <c r="K478" s="740"/>
      <c r="L478" s="740"/>
      <c r="M478" s="740"/>
      <c r="N478" s="740"/>
      <c r="O478" s="740"/>
      <c r="P478" s="740"/>
      <c r="Q478" s="740"/>
      <c r="R478" s="740"/>
      <c r="S478" s="740"/>
      <c r="T478" s="740"/>
      <c r="U478" s="740"/>
      <c r="V478" s="740"/>
      <c r="W478" s="740"/>
      <c r="X478" s="740"/>
      <c r="Y478" s="740"/>
      <c r="Z478" s="740"/>
      <c r="AA478" s="740"/>
      <c r="AB478" s="740"/>
      <c r="AC478" s="740"/>
      <c r="AD478" s="740"/>
      <c r="AE478" s="740"/>
      <c r="AF478" s="740"/>
      <c r="AG478" s="740"/>
      <c r="AH478" s="740"/>
      <c r="AI478" s="740"/>
      <c r="AJ478" s="740"/>
      <c r="AK478" s="740"/>
      <c r="AL478" s="740"/>
      <c r="AM478" s="740"/>
      <c r="AN478" s="740"/>
      <c r="AO478" s="740"/>
      <c r="AP478" s="740"/>
    </row>
    <row r="479" spans="3:42" ht="15">
      <c r="C479" s="68"/>
      <c r="D479" s="740"/>
      <c r="E479" s="740"/>
      <c r="F479" s="740"/>
      <c r="G479" s="740"/>
      <c r="H479" s="740"/>
      <c r="I479" s="740"/>
      <c r="J479" s="740"/>
      <c r="K479" s="740"/>
      <c r="L479" s="740"/>
      <c r="M479" s="740"/>
      <c r="N479" s="740"/>
      <c r="O479" s="740"/>
      <c r="P479" s="740"/>
      <c r="Q479" s="740"/>
      <c r="R479" s="740"/>
      <c r="S479" s="740"/>
      <c r="T479" s="740"/>
      <c r="U479" s="740"/>
      <c r="V479" s="740"/>
      <c r="W479" s="740"/>
      <c r="X479" s="740"/>
      <c r="Y479" s="740"/>
      <c r="Z479" s="740"/>
      <c r="AA479" s="740"/>
      <c r="AB479" s="740"/>
      <c r="AC479" s="740"/>
      <c r="AD479" s="740"/>
      <c r="AE479" s="740"/>
      <c r="AF479" s="740"/>
      <c r="AG479" s="740"/>
      <c r="AH479" s="740"/>
      <c r="AI479" s="740"/>
      <c r="AJ479" s="740"/>
      <c r="AK479" s="740"/>
      <c r="AL479" s="740"/>
      <c r="AM479" s="740"/>
      <c r="AN479" s="740"/>
      <c r="AO479" s="740"/>
      <c r="AP479" s="740"/>
    </row>
    <row r="480" spans="3:42" ht="15">
      <c r="C480" s="68"/>
      <c r="D480" s="740"/>
      <c r="E480" s="740"/>
      <c r="F480" s="740"/>
      <c r="G480" s="740"/>
      <c r="H480" s="740"/>
      <c r="I480" s="740"/>
      <c r="J480" s="740"/>
      <c r="K480" s="740"/>
      <c r="L480" s="740"/>
      <c r="M480" s="740"/>
      <c r="N480" s="740"/>
      <c r="O480" s="740"/>
      <c r="P480" s="740"/>
      <c r="Q480" s="740"/>
      <c r="R480" s="740"/>
      <c r="S480" s="740"/>
      <c r="T480" s="740"/>
      <c r="U480" s="740"/>
      <c r="V480" s="740"/>
      <c r="W480" s="740"/>
      <c r="X480" s="740"/>
      <c r="Y480" s="740"/>
      <c r="Z480" s="740"/>
      <c r="AA480" s="740"/>
      <c r="AB480" s="740"/>
      <c r="AC480" s="740"/>
      <c r="AD480" s="740"/>
      <c r="AE480" s="740"/>
      <c r="AF480" s="740"/>
      <c r="AG480" s="740"/>
      <c r="AH480" s="740"/>
      <c r="AI480" s="740"/>
      <c r="AJ480" s="740"/>
      <c r="AK480" s="740"/>
      <c r="AL480" s="740"/>
      <c r="AM480" s="740"/>
      <c r="AN480" s="740"/>
      <c r="AO480" s="740"/>
      <c r="AP480" s="740"/>
    </row>
    <row r="481" spans="3:42" ht="15">
      <c r="C481" s="68"/>
      <c r="D481" s="740"/>
      <c r="E481" s="740"/>
      <c r="F481" s="740"/>
      <c r="G481" s="740"/>
      <c r="H481" s="740"/>
      <c r="I481" s="740"/>
      <c r="J481" s="740"/>
      <c r="K481" s="740"/>
      <c r="L481" s="740"/>
      <c r="M481" s="740"/>
      <c r="N481" s="740"/>
      <c r="O481" s="740"/>
      <c r="P481" s="740"/>
      <c r="Q481" s="740"/>
      <c r="R481" s="740"/>
      <c r="S481" s="740"/>
      <c r="T481" s="740"/>
      <c r="U481" s="740"/>
      <c r="V481" s="740"/>
      <c r="W481" s="740"/>
      <c r="X481" s="740"/>
      <c r="Y481" s="740"/>
      <c r="Z481" s="740"/>
      <c r="AA481" s="740"/>
      <c r="AB481" s="740"/>
      <c r="AC481" s="740"/>
      <c r="AD481" s="740"/>
      <c r="AE481" s="740"/>
      <c r="AF481" s="740"/>
      <c r="AG481" s="740"/>
      <c r="AH481" s="740"/>
      <c r="AI481" s="740"/>
      <c r="AJ481" s="740"/>
      <c r="AK481" s="740"/>
      <c r="AL481" s="740"/>
      <c r="AM481" s="740"/>
      <c r="AN481" s="740"/>
      <c r="AO481" s="740"/>
      <c r="AP481" s="740"/>
    </row>
    <row r="482" spans="3:42" ht="15">
      <c r="C482" s="68"/>
      <c r="D482" s="740"/>
      <c r="E482" s="740"/>
      <c r="F482" s="740"/>
      <c r="G482" s="740"/>
      <c r="H482" s="740"/>
      <c r="I482" s="740"/>
      <c r="J482" s="740"/>
      <c r="K482" s="740"/>
      <c r="L482" s="740"/>
      <c r="M482" s="740"/>
      <c r="N482" s="740"/>
      <c r="O482" s="740"/>
      <c r="P482" s="740"/>
      <c r="Q482" s="740"/>
      <c r="R482" s="740"/>
      <c r="S482" s="740"/>
      <c r="T482" s="740"/>
      <c r="U482" s="740"/>
      <c r="V482" s="740"/>
      <c r="W482" s="740"/>
      <c r="X482" s="740"/>
      <c r="Y482" s="740"/>
      <c r="Z482" s="740"/>
      <c r="AA482" s="740"/>
      <c r="AB482" s="740"/>
      <c r="AC482" s="740"/>
      <c r="AD482" s="740"/>
      <c r="AE482" s="740"/>
      <c r="AF482" s="740"/>
      <c r="AG482" s="740"/>
      <c r="AH482" s="740"/>
      <c r="AI482" s="740"/>
      <c r="AJ482" s="740"/>
      <c r="AK482" s="740"/>
      <c r="AL482" s="740"/>
      <c r="AM482" s="740"/>
      <c r="AN482" s="740"/>
      <c r="AO482" s="740"/>
      <c r="AP482" s="740"/>
    </row>
    <row r="483" spans="3:42" ht="15">
      <c r="C483" s="68"/>
      <c r="D483" s="740"/>
      <c r="E483" s="740"/>
      <c r="F483" s="740"/>
      <c r="G483" s="740"/>
      <c r="H483" s="740"/>
      <c r="I483" s="740"/>
      <c r="J483" s="740"/>
      <c r="K483" s="740"/>
      <c r="L483" s="740"/>
      <c r="M483" s="740"/>
      <c r="N483" s="740"/>
      <c r="O483" s="740"/>
      <c r="P483" s="740"/>
      <c r="Q483" s="740"/>
      <c r="R483" s="740"/>
      <c r="S483" s="740"/>
      <c r="T483" s="740"/>
      <c r="U483" s="740"/>
      <c r="V483" s="740"/>
      <c r="W483" s="740"/>
      <c r="X483" s="740"/>
      <c r="Y483" s="740"/>
      <c r="Z483" s="740"/>
      <c r="AA483" s="740"/>
      <c r="AB483" s="740"/>
      <c r="AC483" s="740"/>
      <c r="AD483" s="740"/>
      <c r="AE483" s="740"/>
      <c r="AF483" s="740"/>
      <c r="AG483" s="740"/>
      <c r="AH483" s="740"/>
      <c r="AI483" s="740"/>
      <c r="AJ483" s="740"/>
      <c r="AK483" s="740"/>
      <c r="AL483" s="740"/>
      <c r="AM483" s="740"/>
      <c r="AN483" s="740"/>
      <c r="AO483" s="740"/>
      <c r="AP483" s="740"/>
    </row>
    <row r="484" spans="3:42" ht="15">
      <c r="C484" s="68"/>
      <c r="D484" s="740"/>
      <c r="E484" s="740"/>
      <c r="F484" s="740"/>
      <c r="G484" s="740"/>
      <c r="H484" s="740"/>
      <c r="I484" s="740"/>
      <c r="J484" s="740"/>
      <c r="K484" s="740"/>
      <c r="L484" s="740"/>
      <c r="M484" s="740"/>
      <c r="N484" s="740"/>
      <c r="O484" s="740"/>
      <c r="P484" s="740"/>
      <c r="Q484" s="740"/>
      <c r="R484" s="740"/>
      <c r="S484" s="740"/>
      <c r="T484" s="740"/>
      <c r="U484" s="740"/>
      <c r="V484" s="740"/>
      <c r="W484" s="740"/>
      <c r="X484" s="740"/>
      <c r="Y484" s="740"/>
      <c r="Z484" s="740"/>
      <c r="AA484" s="740"/>
      <c r="AB484" s="740"/>
      <c r="AC484" s="740"/>
      <c r="AD484" s="740"/>
      <c r="AE484" s="740"/>
      <c r="AF484" s="740"/>
      <c r="AG484" s="740"/>
      <c r="AH484" s="740"/>
      <c r="AI484" s="740"/>
      <c r="AJ484" s="740"/>
      <c r="AK484" s="740"/>
      <c r="AL484" s="740"/>
      <c r="AM484" s="740"/>
      <c r="AN484" s="740"/>
      <c r="AO484" s="740"/>
      <c r="AP484" s="740"/>
    </row>
    <row r="485" spans="3:42" ht="15">
      <c r="C485" s="68"/>
      <c r="D485" s="740"/>
      <c r="E485" s="740"/>
      <c r="F485" s="740"/>
      <c r="G485" s="740"/>
      <c r="H485" s="740"/>
      <c r="I485" s="740"/>
      <c r="J485" s="740"/>
      <c r="K485" s="740"/>
      <c r="L485" s="740"/>
      <c r="M485" s="740"/>
      <c r="N485" s="740"/>
      <c r="O485" s="740"/>
      <c r="P485" s="740"/>
      <c r="Q485" s="740"/>
      <c r="R485" s="740"/>
      <c r="S485" s="740"/>
      <c r="T485" s="740"/>
      <c r="U485" s="740"/>
      <c r="V485" s="740"/>
      <c r="W485" s="740"/>
      <c r="X485" s="740"/>
      <c r="Y485" s="740"/>
      <c r="Z485" s="740"/>
      <c r="AA485" s="740"/>
      <c r="AB485" s="740"/>
      <c r="AC485" s="740"/>
      <c r="AD485" s="740"/>
      <c r="AE485" s="740"/>
      <c r="AF485" s="740"/>
      <c r="AG485" s="740"/>
      <c r="AH485" s="740"/>
      <c r="AI485" s="740"/>
      <c r="AJ485" s="740"/>
      <c r="AK485" s="740"/>
      <c r="AL485" s="740"/>
      <c r="AM485" s="740"/>
      <c r="AN485" s="740"/>
      <c r="AO485" s="740"/>
      <c r="AP485" s="740"/>
    </row>
    <row r="486" spans="3:42" ht="15">
      <c r="C486" s="68"/>
      <c r="D486" s="740"/>
      <c r="E486" s="740"/>
      <c r="F486" s="740"/>
      <c r="G486" s="740"/>
      <c r="H486" s="740"/>
      <c r="I486" s="740"/>
      <c r="J486" s="740"/>
      <c r="K486" s="740"/>
      <c r="L486" s="740"/>
      <c r="M486" s="740"/>
      <c r="N486" s="740"/>
      <c r="O486" s="740"/>
      <c r="P486" s="740"/>
      <c r="Q486" s="740"/>
      <c r="R486" s="740"/>
      <c r="S486" s="740"/>
      <c r="T486" s="740"/>
      <c r="U486" s="740"/>
      <c r="V486" s="740"/>
      <c r="W486" s="740"/>
      <c r="X486" s="740"/>
      <c r="Y486" s="740"/>
      <c r="Z486" s="740"/>
      <c r="AA486" s="740"/>
      <c r="AB486" s="740"/>
      <c r="AC486" s="740"/>
      <c r="AD486" s="740"/>
      <c r="AE486" s="740"/>
      <c r="AF486" s="740"/>
      <c r="AG486" s="740"/>
      <c r="AH486" s="740"/>
      <c r="AI486" s="740"/>
      <c r="AJ486" s="740"/>
      <c r="AK486" s="740"/>
      <c r="AL486" s="740"/>
      <c r="AM486" s="740"/>
      <c r="AN486" s="740"/>
      <c r="AO486" s="740"/>
      <c r="AP486" s="740"/>
    </row>
    <row r="487" spans="3:42" ht="15">
      <c r="C487" s="68"/>
      <c r="D487" s="740"/>
      <c r="E487" s="740"/>
      <c r="F487" s="740"/>
      <c r="G487" s="740"/>
      <c r="H487" s="740"/>
      <c r="I487" s="740"/>
      <c r="J487" s="740"/>
      <c r="K487" s="740"/>
      <c r="L487" s="740"/>
      <c r="M487" s="740"/>
      <c r="N487" s="740"/>
      <c r="O487" s="740"/>
      <c r="P487" s="740"/>
      <c r="Q487" s="740"/>
      <c r="R487" s="740"/>
      <c r="S487" s="740"/>
      <c r="T487" s="740"/>
      <c r="U487" s="740"/>
      <c r="V487" s="740"/>
      <c r="W487" s="740"/>
      <c r="X487" s="740"/>
      <c r="Y487" s="740"/>
      <c r="Z487" s="740"/>
      <c r="AA487" s="740"/>
      <c r="AB487" s="740"/>
      <c r="AC487" s="740"/>
      <c r="AD487" s="740"/>
      <c r="AE487" s="740"/>
      <c r="AF487" s="740"/>
      <c r="AG487" s="740"/>
      <c r="AH487" s="740"/>
      <c r="AI487" s="740"/>
      <c r="AJ487" s="740"/>
      <c r="AK487" s="740"/>
      <c r="AL487" s="740"/>
      <c r="AM487" s="740"/>
      <c r="AN487" s="740"/>
      <c r="AO487" s="740"/>
      <c r="AP487" s="740"/>
    </row>
    <row r="488" spans="3:42" ht="15">
      <c r="C488" s="68"/>
      <c r="D488" s="740"/>
      <c r="E488" s="740"/>
      <c r="F488" s="740"/>
      <c r="G488" s="740"/>
      <c r="H488" s="740"/>
      <c r="I488" s="740"/>
      <c r="J488" s="740"/>
      <c r="K488" s="740"/>
      <c r="L488" s="740"/>
      <c r="M488" s="740"/>
      <c r="N488" s="740"/>
      <c r="O488" s="740"/>
      <c r="P488" s="740"/>
      <c r="Q488" s="740"/>
      <c r="R488" s="740"/>
      <c r="S488" s="740"/>
      <c r="T488" s="740"/>
      <c r="U488" s="740"/>
      <c r="V488" s="740"/>
      <c r="W488" s="740"/>
      <c r="X488" s="740"/>
      <c r="Y488" s="740"/>
      <c r="Z488" s="740"/>
      <c r="AA488" s="740"/>
      <c r="AB488" s="740"/>
      <c r="AC488" s="740"/>
      <c r="AD488" s="740"/>
      <c r="AE488" s="740"/>
      <c r="AF488" s="740"/>
      <c r="AG488" s="740"/>
      <c r="AH488" s="740"/>
      <c r="AI488" s="740"/>
      <c r="AJ488" s="740"/>
      <c r="AK488" s="740"/>
      <c r="AL488" s="740"/>
      <c r="AM488" s="740"/>
      <c r="AN488" s="740"/>
      <c r="AO488" s="740"/>
      <c r="AP488" s="740"/>
    </row>
    <row r="489" spans="3:42" ht="15">
      <c r="C489" s="68"/>
      <c r="D489" s="740"/>
      <c r="E489" s="740"/>
      <c r="F489" s="740"/>
      <c r="G489" s="740"/>
      <c r="H489" s="740"/>
      <c r="I489" s="740"/>
      <c r="J489" s="740"/>
      <c r="K489" s="740"/>
      <c r="L489" s="740"/>
      <c r="M489" s="740"/>
      <c r="N489" s="740"/>
      <c r="O489" s="740"/>
      <c r="P489" s="740"/>
      <c r="Q489" s="740"/>
      <c r="R489" s="740"/>
      <c r="S489" s="740"/>
      <c r="T489" s="740"/>
      <c r="U489" s="740"/>
      <c r="V489" s="740"/>
      <c r="W489" s="740"/>
      <c r="X489" s="740"/>
      <c r="Y489" s="740"/>
      <c r="Z489" s="740"/>
      <c r="AA489" s="740"/>
      <c r="AB489" s="740"/>
      <c r="AC489" s="740"/>
      <c r="AD489" s="740"/>
      <c r="AE489" s="740"/>
      <c r="AF489" s="740"/>
      <c r="AG489" s="740"/>
      <c r="AH489" s="740"/>
      <c r="AI489" s="740"/>
      <c r="AJ489" s="740"/>
      <c r="AK489" s="740"/>
      <c r="AL489" s="740"/>
      <c r="AM489" s="740"/>
      <c r="AN489" s="740"/>
      <c r="AO489" s="740"/>
      <c r="AP489" s="740"/>
    </row>
    <row r="490" spans="3:42" ht="15">
      <c r="C490" s="68"/>
      <c r="D490" s="740"/>
      <c r="E490" s="740"/>
      <c r="F490" s="740"/>
      <c r="G490" s="740"/>
      <c r="H490" s="740"/>
      <c r="I490" s="740"/>
      <c r="J490" s="740"/>
      <c r="K490" s="740"/>
      <c r="L490" s="740"/>
      <c r="M490" s="740"/>
      <c r="N490" s="740"/>
      <c r="O490" s="740"/>
      <c r="P490" s="740"/>
      <c r="Q490" s="740"/>
      <c r="R490" s="740"/>
      <c r="S490" s="740"/>
      <c r="T490" s="740"/>
      <c r="U490" s="740"/>
      <c r="V490" s="740"/>
      <c r="W490" s="740"/>
      <c r="X490" s="740"/>
      <c r="Y490" s="740"/>
      <c r="Z490" s="740"/>
      <c r="AA490" s="740"/>
      <c r="AB490" s="740"/>
      <c r="AC490" s="740"/>
      <c r="AD490" s="740"/>
      <c r="AE490" s="740"/>
      <c r="AF490" s="740"/>
      <c r="AG490" s="740"/>
      <c r="AH490" s="740"/>
      <c r="AI490" s="740"/>
      <c r="AJ490" s="740"/>
      <c r="AK490" s="740"/>
      <c r="AL490" s="740"/>
      <c r="AM490" s="740"/>
      <c r="AN490" s="740"/>
      <c r="AO490" s="740"/>
      <c r="AP490" s="740"/>
    </row>
    <row r="491" spans="3:42" ht="15">
      <c r="C491" s="68"/>
      <c r="D491" s="740"/>
      <c r="E491" s="740"/>
      <c r="F491" s="740"/>
      <c r="G491" s="740"/>
      <c r="H491" s="740"/>
      <c r="I491" s="740"/>
      <c r="J491" s="740"/>
      <c r="K491" s="740"/>
      <c r="L491" s="740"/>
      <c r="M491" s="740"/>
      <c r="N491" s="740"/>
      <c r="O491" s="740"/>
      <c r="P491" s="740"/>
      <c r="Q491" s="740"/>
      <c r="R491" s="740"/>
      <c r="S491" s="740"/>
      <c r="T491" s="740"/>
      <c r="U491" s="740"/>
      <c r="V491" s="740"/>
      <c r="W491" s="740"/>
      <c r="X491" s="740"/>
      <c r="Y491" s="740"/>
      <c r="Z491" s="740"/>
      <c r="AA491" s="740"/>
      <c r="AB491" s="740"/>
      <c r="AC491" s="740"/>
      <c r="AD491" s="740"/>
      <c r="AE491" s="740"/>
      <c r="AF491" s="740"/>
      <c r="AG491" s="740"/>
      <c r="AH491" s="740"/>
      <c r="AI491" s="740"/>
      <c r="AJ491" s="740"/>
      <c r="AK491" s="740"/>
      <c r="AL491" s="740"/>
      <c r="AM491" s="740"/>
      <c r="AN491" s="740"/>
      <c r="AO491" s="740"/>
      <c r="AP491" s="740"/>
    </row>
    <row r="492" ht="15">
      <c r="C492" s="68"/>
    </row>
    <row r="493" ht="15">
      <c r="C493" s="68"/>
    </row>
    <row r="494" ht="15">
      <c r="C494" s="68"/>
    </row>
    <row r="495" ht="15">
      <c r="C495" s="68"/>
    </row>
    <row r="496" ht="15">
      <c r="C496" s="68"/>
    </row>
    <row r="497" ht="15">
      <c r="C497" s="68"/>
    </row>
    <row r="498" ht="15">
      <c r="C498" s="68"/>
    </row>
    <row r="499" ht="15">
      <c r="C499" s="68"/>
    </row>
    <row r="500" ht="15">
      <c r="C500" s="68"/>
    </row>
    <row r="501" ht="15">
      <c r="C501" s="68"/>
    </row>
    <row r="502" ht="15">
      <c r="C502" s="68"/>
    </row>
    <row r="503" ht="15">
      <c r="C503" s="68"/>
    </row>
    <row r="504" ht="15">
      <c r="C504" s="68"/>
    </row>
    <row r="505" ht="15">
      <c r="C505" s="68"/>
    </row>
    <row r="506" ht="15">
      <c r="C506" s="68"/>
    </row>
    <row r="507" ht="15">
      <c r="C507" s="68"/>
    </row>
    <row r="508" ht="15">
      <c r="C508" s="68"/>
    </row>
    <row r="509" ht="15">
      <c r="C509" s="68"/>
    </row>
    <row r="510" ht="15">
      <c r="C510" s="68"/>
    </row>
    <row r="511" ht="15">
      <c r="C511" s="68"/>
    </row>
    <row r="512" ht="15">
      <c r="C512" s="68"/>
    </row>
    <row r="513" ht="15">
      <c r="C513" s="68"/>
    </row>
    <row r="514" ht="15">
      <c r="C514" s="68"/>
    </row>
    <row r="515" ht="15">
      <c r="C515" s="68"/>
    </row>
    <row r="516" ht="15">
      <c r="C516" s="68"/>
    </row>
    <row r="517" ht="15">
      <c r="C517" s="68"/>
    </row>
    <row r="518" ht="15">
      <c r="C518" s="68"/>
    </row>
    <row r="519" ht="15">
      <c r="C519" s="68"/>
    </row>
    <row r="520" ht="15">
      <c r="C520" s="68"/>
    </row>
    <row r="521" ht="15">
      <c r="C521" s="68"/>
    </row>
    <row r="522" ht="15">
      <c r="C522" s="68"/>
    </row>
    <row r="523" ht="15">
      <c r="C523" s="68"/>
    </row>
    <row r="524" ht="15">
      <c r="C524" s="68"/>
    </row>
    <row r="525" ht="15">
      <c r="C525" s="68"/>
    </row>
    <row r="526" ht="15">
      <c r="C526" s="68"/>
    </row>
    <row r="527" ht="15">
      <c r="C527" s="68"/>
    </row>
    <row r="528" ht="15">
      <c r="C528" s="68"/>
    </row>
    <row r="529" ht="15">
      <c r="C529" s="68"/>
    </row>
    <row r="530" ht="15">
      <c r="C530" s="68"/>
    </row>
    <row r="531" ht="15">
      <c r="C531" s="68"/>
    </row>
    <row r="532" ht="15">
      <c r="C532" s="68"/>
    </row>
    <row r="533" ht="15">
      <c r="C533" s="68"/>
    </row>
    <row r="534" ht="15">
      <c r="C534" s="68"/>
    </row>
    <row r="535" ht="15">
      <c r="C535" s="68"/>
    </row>
    <row r="536" ht="15">
      <c r="C536" s="68"/>
    </row>
    <row r="537" ht="15">
      <c r="C537" s="68"/>
    </row>
    <row r="538" ht="15">
      <c r="C538" s="68"/>
    </row>
    <row r="539" ht="15">
      <c r="C539" s="68"/>
    </row>
    <row r="540" ht="15">
      <c r="C540" s="68"/>
    </row>
    <row r="541" ht="15">
      <c r="C541" s="68"/>
    </row>
    <row r="542" ht="15">
      <c r="C542" s="68"/>
    </row>
    <row r="543" ht="15">
      <c r="C543" s="68"/>
    </row>
    <row r="544" ht="15">
      <c r="C544" s="68"/>
    </row>
    <row r="545" ht="15">
      <c r="C545" s="68"/>
    </row>
    <row r="546" ht="15">
      <c r="C546" s="68"/>
    </row>
    <row r="547" ht="15">
      <c r="C547" s="68"/>
    </row>
    <row r="548" ht="15">
      <c r="C548" s="68"/>
    </row>
    <row r="549" ht="15">
      <c r="C549" s="68"/>
    </row>
    <row r="550" ht="15">
      <c r="C550" s="68"/>
    </row>
    <row r="551" ht="15">
      <c r="C551" s="68"/>
    </row>
    <row r="552" ht="15">
      <c r="C552" s="68"/>
    </row>
    <row r="553" ht="15">
      <c r="C553" s="68"/>
    </row>
    <row r="554" ht="15">
      <c r="C554" s="68"/>
    </row>
    <row r="555" ht="15">
      <c r="C555" s="68"/>
    </row>
    <row r="556" ht="15">
      <c r="C556" s="68"/>
    </row>
    <row r="557" ht="15">
      <c r="C557" s="68"/>
    </row>
    <row r="558" ht="15">
      <c r="C558" s="68"/>
    </row>
    <row r="559" ht="15">
      <c r="C559" s="68"/>
    </row>
    <row r="560" ht="15">
      <c r="C560" s="68"/>
    </row>
    <row r="561" ht="15">
      <c r="C561" s="68"/>
    </row>
    <row r="562" ht="15">
      <c r="C562" s="68"/>
    </row>
    <row r="563" ht="15">
      <c r="C563" s="68"/>
    </row>
    <row r="564" ht="15">
      <c r="C564" s="68"/>
    </row>
    <row r="565" ht="15">
      <c r="C565" s="68"/>
    </row>
    <row r="566" ht="15">
      <c r="C566" s="68"/>
    </row>
    <row r="567" ht="15">
      <c r="C567" s="68"/>
    </row>
    <row r="568" ht="15">
      <c r="C568" s="68"/>
    </row>
    <row r="569" ht="15">
      <c r="C569" s="68"/>
    </row>
    <row r="570" ht="15">
      <c r="C570" s="68"/>
    </row>
    <row r="571" ht="15">
      <c r="C571" s="68"/>
    </row>
    <row r="572" ht="15">
      <c r="C572" s="68"/>
    </row>
    <row r="573" ht="15">
      <c r="C573" s="68"/>
    </row>
    <row r="574" ht="15">
      <c r="C574" s="68"/>
    </row>
    <row r="575" ht="15">
      <c r="C575" s="68"/>
    </row>
    <row r="576" ht="15">
      <c r="C576" s="68"/>
    </row>
    <row r="577" ht="15">
      <c r="C577" s="68"/>
    </row>
    <row r="578" ht="15">
      <c r="C578" s="68"/>
    </row>
    <row r="579" ht="15">
      <c r="C579" s="68"/>
    </row>
    <row r="580" ht="15">
      <c r="C580" s="68"/>
    </row>
    <row r="581" ht="15">
      <c r="C581" s="68"/>
    </row>
    <row r="582" ht="15">
      <c r="C582" s="68"/>
    </row>
    <row r="583" ht="15">
      <c r="C583" s="68"/>
    </row>
    <row r="584" ht="15">
      <c r="C584" s="68"/>
    </row>
    <row r="585" ht="15">
      <c r="C585" s="68"/>
    </row>
    <row r="586" ht="15">
      <c r="C586" s="68"/>
    </row>
    <row r="587" ht="15">
      <c r="C587" s="68"/>
    </row>
    <row r="588" ht="15">
      <c r="C588" s="68"/>
    </row>
    <row r="589" ht="15">
      <c r="C589" s="68"/>
    </row>
    <row r="590" ht="15">
      <c r="C590" s="68"/>
    </row>
    <row r="591" ht="15">
      <c r="C591" s="68"/>
    </row>
    <row r="592" ht="15">
      <c r="C592" s="68"/>
    </row>
    <row r="593" ht="15">
      <c r="C593" s="68"/>
    </row>
    <row r="594" ht="15">
      <c r="C594" s="68"/>
    </row>
    <row r="595" ht="15">
      <c r="C595" s="68"/>
    </row>
    <row r="596" ht="15">
      <c r="C596" s="68"/>
    </row>
    <row r="597" ht="15">
      <c r="C597" s="68"/>
    </row>
    <row r="598" ht="15">
      <c r="C598" s="68"/>
    </row>
    <row r="599" ht="15">
      <c r="C599" s="68"/>
    </row>
    <row r="600" ht="15">
      <c r="C600" s="68"/>
    </row>
    <row r="601" ht="15">
      <c r="C601" s="68"/>
    </row>
    <row r="602" ht="15">
      <c r="C602" s="68"/>
    </row>
    <row r="603" ht="15">
      <c r="C603" s="68"/>
    </row>
    <row r="604" ht="15">
      <c r="C604" s="68"/>
    </row>
    <row r="605" ht="15">
      <c r="C605" s="68"/>
    </row>
    <row r="606" ht="15">
      <c r="C606" s="68"/>
    </row>
    <row r="607" ht="15">
      <c r="C607" s="68"/>
    </row>
    <row r="608" ht="15">
      <c r="C608" s="68"/>
    </row>
    <row r="609" ht="15">
      <c r="C609" s="68"/>
    </row>
    <row r="610" ht="15">
      <c r="C610" s="68"/>
    </row>
    <row r="611" ht="15">
      <c r="C611" s="68"/>
    </row>
    <row r="612" ht="15">
      <c r="C612" s="68"/>
    </row>
    <row r="613" ht="15">
      <c r="C613" s="68"/>
    </row>
    <row r="614" ht="15">
      <c r="C614" s="68"/>
    </row>
    <row r="615" ht="15">
      <c r="C615" s="68"/>
    </row>
    <row r="616" ht="15">
      <c r="C616" s="68"/>
    </row>
    <row r="617" ht="15">
      <c r="C617" s="68"/>
    </row>
    <row r="618" ht="15">
      <c r="C618" s="68"/>
    </row>
    <row r="619" ht="15">
      <c r="C619" s="68"/>
    </row>
    <row r="620" ht="15">
      <c r="C620" s="68"/>
    </row>
    <row r="621" ht="15">
      <c r="C621" s="68"/>
    </row>
    <row r="622" ht="15">
      <c r="C622" s="68"/>
    </row>
    <row r="623" ht="15">
      <c r="C623" s="68"/>
    </row>
    <row r="624" ht="15">
      <c r="C624" s="68"/>
    </row>
    <row r="625" ht="15">
      <c r="C625" s="68"/>
    </row>
    <row r="626" ht="15">
      <c r="C626" s="68"/>
    </row>
    <row r="627" ht="15">
      <c r="C627" s="68"/>
    </row>
    <row r="628" ht="15">
      <c r="C628" s="68"/>
    </row>
    <row r="629" ht="15">
      <c r="C629" s="68"/>
    </row>
    <row r="630" ht="15">
      <c r="C630" s="68"/>
    </row>
    <row r="631" ht="15">
      <c r="C631" s="68"/>
    </row>
    <row r="632" ht="15">
      <c r="C632" s="68"/>
    </row>
    <row r="633" ht="15">
      <c r="C633" s="68"/>
    </row>
    <row r="634" ht="15">
      <c r="C634" s="68"/>
    </row>
    <row r="635" ht="15">
      <c r="C635" s="68"/>
    </row>
    <row r="636" ht="15">
      <c r="C636" s="68"/>
    </row>
    <row r="637" ht="15">
      <c r="C637" s="68"/>
    </row>
    <row r="638" ht="15">
      <c r="C638" s="68"/>
    </row>
    <row r="639" ht="15">
      <c r="C639" s="68"/>
    </row>
    <row r="640" ht="15">
      <c r="C640" s="68"/>
    </row>
    <row r="641" ht="15">
      <c r="C641" s="68"/>
    </row>
    <row r="642" ht="15">
      <c r="C642" s="68"/>
    </row>
    <row r="643" ht="15">
      <c r="C643" s="68"/>
    </row>
    <row r="644" ht="15">
      <c r="C644" s="68"/>
    </row>
    <row r="645" ht="15">
      <c r="C645" s="68"/>
    </row>
    <row r="646" ht="15">
      <c r="C646" s="68"/>
    </row>
    <row r="647" ht="15">
      <c r="C647" s="68"/>
    </row>
    <row r="648" ht="15">
      <c r="C648" s="68"/>
    </row>
    <row r="649" ht="15">
      <c r="C649" s="68"/>
    </row>
    <row r="650" ht="15">
      <c r="C650" s="68"/>
    </row>
    <row r="651" ht="15">
      <c r="C651" s="68"/>
    </row>
    <row r="652" ht="15">
      <c r="C652" s="68"/>
    </row>
    <row r="653" ht="15">
      <c r="C653" s="68"/>
    </row>
    <row r="654" ht="15">
      <c r="C654" s="68"/>
    </row>
    <row r="655" ht="15">
      <c r="C655" s="68"/>
    </row>
    <row r="656" ht="15">
      <c r="C656" s="68"/>
    </row>
    <row r="657" ht="15">
      <c r="C657" s="68"/>
    </row>
    <row r="658" ht="15">
      <c r="C658" s="68"/>
    </row>
    <row r="659" ht="15">
      <c r="C659" s="68"/>
    </row>
    <row r="660" ht="15">
      <c r="C660" s="68"/>
    </row>
    <row r="661" ht="15">
      <c r="C661" s="68"/>
    </row>
    <row r="662" ht="15">
      <c r="C662" s="68"/>
    </row>
    <row r="663" ht="15">
      <c r="C663" s="68"/>
    </row>
    <row r="664" ht="15">
      <c r="C664" s="68"/>
    </row>
    <row r="665" ht="15">
      <c r="C665" s="68"/>
    </row>
    <row r="666" ht="15">
      <c r="C666" s="68"/>
    </row>
    <row r="667" ht="15">
      <c r="C667" s="68"/>
    </row>
    <row r="668" ht="15">
      <c r="C668" s="68"/>
    </row>
    <row r="669" ht="15">
      <c r="C669" s="68"/>
    </row>
    <row r="670" ht="15">
      <c r="C670" s="68"/>
    </row>
    <row r="671" ht="15">
      <c r="C671" s="68"/>
    </row>
    <row r="672" ht="15">
      <c r="C672" s="68"/>
    </row>
    <row r="673" ht="15">
      <c r="C673" s="68"/>
    </row>
    <row r="674" ht="15">
      <c r="C674" s="68"/>
    </row>
    <row r="675" ht="15">
      <c r="C675" s="68"/>
    </row>
    <row r="676" ht="15">
      <c r="C676" s="68"/>
    </row>
    <row r="677" ht="15">
      <c r="C677" s="68"/>
    </row>
    <row r="678" ht="15">
      <c r="C678" s="68"/>
    </row>
    <row r="679" ht="15">
      <c r="C679" s="68"/>
    </row>
    <row r="680" ht="15">
      <c r="C680" s="68"/>
    </row>
    <row r="681" ht="15">
      <c r="C681" s="68"/>
    </row>
    <row r="682" ht="15">
      <c r="C682" s="68"/>
    </row>
    <row r="683" ht="15">
      <c r="C683" s="68"/>
    </row>
    <row r="684" ht="15">
      <c r="C684" s="68"/>
    </row>
    <row r="685" ht="15">
      <c r="C685" s="68"/>
    </row>
    <row r="686" ht="15">
      <c r="C686" s="68"/>
    </row>
    <row r="687" ht="15">
      <c r="C687" s="68"/>
    </row>
    <row r="688" ht="15">
      <c r="C688" s="68"/>
    </row>
    <row r="689" ht="15">
      <c r="C689" s="68"/>
    </row>
    <row r="690" ht="15">
      <c r="C690" s="68"/>
    </row>
    <row r="691" ht="15">
      <c r="C691" s="68"/>
    </row>
    <row r="692" ht="15">
      <c r="C692" s="68"/>
    </row>
    <row r="693" ht="15">
      <c r="C693" s="68"/>
    </row>
    <row r="694" ht="15">
      <c r="C694" s="68"/>
    </row>
    <row r="695" ht="15">
      <c r="C695" s="68"/>
    </row>
    <row r="696" ht="15">
      <c r="C696" s="68"/>
    </row>
    <row r="697" ht="15">
      <c r="C697" s="68"/>
    </row>
    <row r="698" ht="15">
      <c r="C698" s="68"/>
    </row>
    <row r="699" ht="15">
      <c r="C699" s="68"/>
    </row>
    <row r="700" ht="15">
      <c r="C700" s="68"/>
    </row>
    <row r="701" ht="15">
      <c r="C701" s="68"/>
    </row>
    <row r="702" ht="15">
      <c r="C702" s="68"/>
    </row>
    <row r="703" ht="15">
      <c r="C703" s="68"/>
    </row>
    <row r="704" ht="15">
      <c r="C704" s="68"/>
    </row>
    <row r="705" ht="15">
      <c r="C705" s="68"/>
    </row>
    <row r="706" ht="15">
      <c r="C706" s="68"/>
    </row>
    <row r="707" ht="15">
      <c r="C707" s="68"/>
    </row>
    <row r="708" ht="15">
      <c r="C708" s="68"/>
    </row>
    <row r="709" ht="15">
      <c r="C709" s="68"/>
    </row>
    <row r="710" ht="15">
      <c r="C710" s="68"/>
    </row>
    <row r="711" ht="15">
      <c r="C711" s="68"/>
    </row>
    <row r="712" ht="15">
      <c r="C712" s="68"/>
    </row>
    <row r="713" ht="15">
      <c r="C713" s="68"/>
    </row>
    <row r="714" ht="15">
      <c r="C714" s="68"/>
    </row>
    <row r="715" ht="15">
      <c r="C715" s="68"/>
    </row>
    <row r="716" ht="15">
      <c r="C716" s="68"/>
    </row>
    <row r="717" ht="15">
      <c r="C717" s="68"/>
    </row>
    <row r="718" ht="15">
      <c r="C718" s="68"/>
    </row>
    <row r="719" ht="15">
      <c r="C719" s="68"/>
    </row>
    <row r="720" ht="15">
      <c r="C720" s="68"/>
    </row>
    <row r="721" ht="15">
      <c r="C721" s="68"/>
    </row>
    <row r="722" ht="15">
      <c r="C722" s="68"/>
    </row>
    <row r="723" ht="15">
      <c r="C723" s="68"/>
    </row>
    <row r="724" ht="15">
      <c r="C724" s="68"/>
    </row>
    <row r="725" ht="15">
      <c r="C725" s="68"/>
    </row>
    <row r="726" ht="15">
      <c r="C726" s="68"/>
    </row>
    <row r="727" ht="15">
      <c r="C727" s="68"/>
    </row>
    <row r="728" ht="15">
      <c r="C728" s="68"/>
    </row>
    <row r="729" ht="15">
      <c r="C729" s="68"/>
    </row>
    <row r="730" ht="15">
      <c r="C730" s="68"/>
    </row>
    <row r="731" ht="15">
      <c r="C731" s="68"/>
    </row>
    <row r="732" ht="15">
      <c r="C732" s="68"/>
    </row>
    <row r="733" ht="15">
      <c r="C733" s="68"/>
    </row>
    <row r="734" ht="15">
      <c r="C734" s="68"/>
    </row>
    <row r="735" ht="15">
      <c r="C735" s="68"/>
    </row>
    <row r="736" ht="15">
      <c r="C736" s="68"/>
    </row>
    <row r="737" ht="15">
      <c r="C737" s="68"/>
    </row>
    <row r="738" ht="15">
      <c r="C738" s="68"/>
    </row>
    <row r="739" ht="15">
      <c r="C739" s="68"/>
    </row>
    <row r="740" ht="15">
      <c r="C740" s="68"/>
    </row>
    <row r="741" ht="15">
      <c r="C741" s="68"/>
    </row>
    <row r="742" ht="15">
      <c r="C742" s="68"/>
    </row>
    <row r="743" ht="15">
      <c r="C743" s="68"/>
    </row>
    <row r="744" ht="15">
      <c r="C744" s="68"/>
    </row>
    <row r="745" ht="15">
      <c r="C745" s="68"/>
    </row>
    <row r="746" ht="15">
      <c r="C746" s="68"/>
    </row>
    <row r="747" ht="15">
      <c r="C747" s="68"/>
    </row>
    <row r="748" ht="15">
      <c r="C748" s="68"/>
    </row>
    <row r="749" ht="15">
      <c r="C749" s="68"/>
    </row>
    <row r="750" ht="15">
      <c r="C750" s="68"/>
    </row>
    <row r="751" ht="15">
      <c r="C751" s="68"/>
    </row>
    <row r="752" ht="15">
      <c r="C752" s="68"/>
    </row>
    <row r="753" ht="15">
      <c r="C753" s="68"/>
    </row>
    <row r="754" ht="15">
      <c r="C754" s="68"/>
    </row>
    <row r="755" ht="15">
      <c r="C755" s="68"/>
    </row>
    <row r="756" ht="15">
      <c r="C756" s="68"/>
    </row>
    <row r="757" ht="15">
      <c r="C757" s="68"/>
    </row>
    <row r="758" ht="15">
      <c r="C758" s="68"/>
    </row>
    <row r="759" ht="15">
      <c r="C759" s="68"/>
    </row>
    <row r="760" ht="15">
      <c r="C760" s="68"/>
    </row>
    <row r="761" ht="15">
      <c r="C761" s="68"/>
    </row>
    <row r="762" ht="15">
      <c r="C762" s="68"/>
    </row>
    <row r="763" ht="15">
      <c r="C763" s="68"/>
    </row>
    <row r="764" ht="15">
      <c r="C764" s="68"/>
    </row>
    <row r="765" ht="15">
      <c r="C765" s="68"/>
    </row>
    <row r="766" ht="15">
      <c r="C766" s="68"/>
    </row>
    <row r="767" ht="15">
      <c r="C767" s="68"/>
    </row>
    <row r="768" ht="15">
      <c r="C768" s="68"/>
    </row>
    <row r="769" ht="15">
      <c r="C769" s="68"/>
    </row>
    <row r="770" ht="15">
      <c r="C770" s="68"/>
    </row>
    <row r="771" ht="15">
      <c r="C771" s="68"/>
    </row>
    <row r="772" ht="15">
      <c r="C772" s="68"/>
    </row>
    <row r="773" ht="15">
      <c r="C773" s="68"/>
    </row>
    <row r="774" ht="15">
      <c r="C774" s="68"/>
    </row>
    <row r="775" ht="15">
      <c r="C775" s="68"/>
    </row>
    <row r="776" ht="15">
      <c r="C776" s="68"/>
    </row>
    <row r="777" ht="15">
      <c r="C777" s="68"/>
    </row>
    <row r="778" ht="15">
      <c r="C778" s="68"/>
    </row>
    <row r="779" ht="15">
      <c r="C779" s="68"/>
    </row>
    <row r="780" ht="15">
      <c r="C780" s="68"/>
    </row>
    <row r="781" ht="15">
      <c r="C781" s="68"/>
    </row>
    <row r="782" ht="15">
      <c r="C782" s="68"/>
    </row>
    <row r="783" ht="15">
      <c r="C783" s="68"/>
    </row>
    <row r="784" ht="15">
      <c r="C784" s="68"/>
    </row>
    <row r="785" ht="15">
      <c r="C785" s="68"/>
    </row>
    <row r="786" ht="15">
      <c r="C786" s="68"/>
    </row>
    <row r="787" ht="15">
      <c r="C787" s="68"/>
    </row>
    <row r="788" ht="15">
      <c r="C788" s="68"/>
    </row>
    <row r="789" ht="15">
      <c r="C789" s="68"/>
    </row>
    <row r="790" ht="15">
      <c r="C790" s="68"/>
    </row>
    <row r="791" ht="15">
      <c r="C791" s="68"/>
    </row>
    <row r="792" ht="15">
      <c r="C792" s="68"/>
    </row>
    <row r="793" ht="15">
      <c r="C793" s="68"/>
    </row>
    <row r="794" ht="15">
      <c r="C794" s="68"/>
    </row>
    <row r="795" ht="15">
      <c r="C795" s="68"/>
    </row>
    <row r="796" ht="15">
      <c r="C796" s="68"/>
    </row>
    <row r="797" ht="15">
      <c r="C797" s="68"/>
    </row>
    <row r="798" ht="15">
      <c r="C798" s="68"/>
    </row>
    <row r="799" ht="15">
      <c r="C799" s="68"/>
    </row>
    <row r="800" ht="15">
      <c r="C800" s="68"/>
    </row>
    <row r="801" ht="15">
      <c r="C801" s="68"/>
    </row>
    <row r="802" ht="15">
      <c r="C802" s="68"/>
    </row>
    <row r="803" ht="15">
      <c r="C803" s="68"/>
    </row>
    <row r="804" ht="15">
      <c r="C804" s="68"/>
    </row>
    <row r="805" ht="15">
      <c r="C805" s="68"/>
    </row>
    <row r="806" ht="15">
      <c r="C806" s="68"/>
    </row>
    <row r="807" ht="15">
      <c r="C807" s="68"/>
    </row>
    <row r="808" ht="15">
      <c r="C808" s="68"/>
    </row>
    <row r="809" ht="15">
      <c r="C809" s="68"/>
    </row>
    <row r="810" ht="15">
      <c r="C810" s="68"/>
    </row>
    <row r="811" ht="15">
      <c r="C811" s="68"/>
    </row>
    <row r="812" ht="15">
      <c r="C812" s="68"/>
    </row>
    <row r="813" ht="15">
      <c r="C813" s="68"/>
    </row>
    <row r="814" ht="15">
      <c r="C814" s="68"/>
    </row>
    <row r="815" ht="15">
      <c r="C815" s="68"/>
    </row>
    <row r="816" ht="15">
      <c r="C816" s="68"/>
    </row>
    <row r="817" ht="15">
      <c r="C817" s="68"/>
    </row>
    <row r="818" ht="15">
      <c r="C818" s="68"/>
    </row>
    <row r="819" ht="15">
      <c r="C819" s="68"/>
    </row>
    <row r="820" ht="15">
      <c r="C820" s="68"/>
    </row>
    <row r="821" ht="15">
      <c r="C821" s="68"/>
    </row>
    <row r="822" ht="15">
      <c r="C822" s="68"/>
    </row>
    <row r="823" ht="15">
      <c r="C823" s="68"/>
    </row>
    <row r="824" ht="15">
      <c r="C824" s="68"/>
    </row>
    <row r="825" ht="15">
      <c r="C825" s="68"/>
    </row>
    <row r="826" ht="15">
      <c r="C826" s="68"/>
    </row>
    <row r="827" ht="15">
      <c r="C827" s="68"/>
    </row>
    <row r="828" ht="15">
      <c r="C828" s="68"/>
    </row>
    <row r="829" ht="15">
      <c r="C829" s="68"/>
    </row>
    <row r="830" ht="15">
      <c r="C830" s="68"/>
    </row>
    <row r="831" ht="15">
      <c r="C831" s="68"/>
    </row>
    <row r="832" ht="15">
      <c r="C832" s="68"/>
    </row>
    <row r="833" ht="15">
      <c r="C833" s="68"/>
    </row>
    <row r="834" ht="15">
      <c r="C834" s="68"/>
    </row>
    <row r="835" ht="15">
      <c r="C835" s="68"/>
    </row>
    <row r="836" ht="15">
      <c r="C836" s="68"/>
    </row>
    <row r="837" ht="15">
      <c r="C837" s="68"/>
    </row>
    <row r="838" ht="15">
      <c r="C838" s="68"/>
    </row>
    <row r="839" ht="15">
      <c r="C839" s="68"/>
    </row>
    <row r="840" ht="15">
      <c r="C840" s="68"/>
    </row>
    <row r="841" ht="15">
      <c r="C841" s="68"/>
    </row>
    <row r="842" ht="15">
      <c r="C842" s="68"/>
    </row>
    <row r="843" ht="15">
      <c r="C843" s="68"/>
    </row>
    <row r="844" ht="15">
      <c r="C844" s="68"/>
    </row>
    <row r="845" ht="15">
      <c r="C845" s="68"/>
    </row>
    <row r="846" ht="15">
      <c r="C846" s="68"/>
    </row>
    <row r="847" ht="15">
      <c r="C847" s="68"/>
    </row>
    <row r="848" ht="15">
      <c r="C848" s="68"/>
    </row>
    <row r="849" ht="15">
      <c r="C849" s="68"/>
    </row>
    <row r="850" ht="15">
      <c r="C850" s="68"/>
    </row>
    <row r="851" ht="15">
      <c r="C851" s="68"/>
    </row>
    <row r="852" ht="15">
      <c r="C852" s="68"/>
    </row>
    <row r="853" ht="15">
      <c r="C853" s="68"/>
    </row>
    <row r="854" ht="15">
      <c r="C854" s="68"/>
    </row>
    <row r="855" ht="15">
      <c r="C855" s="68"/>
    </row>
    <row r="856" ht="15">
      <c r="C856" s="68"/>
    </row>
    <row r="857" ht="15">
      <c r="C857" s="68"/>
    </row>
    <row r="858" ht="15">
      <c r="C858" s="68"/>
    </row>
    <row r="859" ht="15">
      <c r="C859" s="68"/>
    </row>
    <row r="860" ht="15">
      <c r="C860" s="68"/>
    </row>
    <row r="861" ht="15">
      <c r="C861" s="68"/>
    </row>
    <row r="862" ht="15">
      <c r="C862" s="68"/>
    </row>
    <row r="863" ht="15">
      <c r="C863" s="68"/>
    </row>
    <row r="864" ht="15">
      <c r="C864" s="68"/>
    </row>
    <row r="865" ht="15">
      <c r="C865" s="68"/>
    </row>
    <row r="866" ht="15">
      <c r="C866" s="68"/>
    </row>
    <row r="867" ht="15">
      <c r="C867" s="68"/>
    </row>
    <row r="868" ht="15">
      <c r="C868" s="68"/>
    </row>
    <row r="869" ht="15">
      <c r="C869" s="68"/>
    </row>
    <row r="870" ht="15">
      <c r="C870" s="68"/>
    </row>
    <row r="871" ht="15">
      <c r="C871" s="68"/>
    </row>
    <row r="872" ht="15">
      <c r="C872" s="68"/>
    </row>
    <row r="873" ht="15">
      <c r="C873" s="68"/>
    </row>
    <row r="874" ht="15">
      <c r="C874" s="68"/>
    </row>
    <row r="875" ht="15">
      <c r="C875" s="68"/>
    </row>
    <row r="876" ht="15">
      <c r="C876" s="68"/>
    </row>
    <row r="877" ht="15">
      <c r="C877" s="68"/>
    </row>
    <row r="878" ht="15">
      <c r="C878" s="68"/>
    </row>
    <row r="879" ht="15">
      <c r="C879" s="68"/>
    </row>
    <row r="880" ht="15">
      <c r="C880" s="68"/>
    </row>
    <row r="881" ht="15">
      <c r="C881" s="68"/>
    </row>
    <row r="882" ht="15">
      <c r="C882" s="68"/>
    </row>
    <row r="883" ht="15">
      <c r="C883" s="68"/>
    </row>
    <row r="884" ht="15">
      <c r="C884" s="68"/>
    </row>
    <row r="885" ht="15">
      <c r="C885" s="68"/>
    </row>
    <row r="886" ht="15">
      <c r="C886" s="68"/>
    </row>
    <row r="887" ht="15">
      <c r="C887" s="68"/>
    </row>
    <row r="888" ht="15">
      <c r="C888" s="68"/>
    </row>
    <row r="889" ht="15">
      <c r="C889" s="68"/>
    </row>
    <row r="890" ht="15">
      <c r="C890" s="68"/>
    </row>
    <row r="891" ht="15">
      <c r="C891" s="68"/>
    </row>
    <row r="892" ht="15">
      <c r="C892" s="68"/>
    </row>
    <row r="893" ht="15">
      <c r="C893" s="68"/>
    </row>
    <row r="894" ht="15">
      <c r="C894" s="68"/>
    </row>
    <row r="895" ht="15">
      <c r="C895" s="68"/>
    </row>
    <row r="896" ht="15">
      <c r="C896" s="68"/>
    </row>
    <row r="897" ht="15">
      <c r="C897" s="68"/>
    </row>
    <row r="898" ht="15">
      <c r="C898" s="68"/>
    </row>
    <row r="899" ht="15">
      <c r="C899" s="68"/>
    </row>
    <row r="900" ht="15">
      <c r="C900" s="68"/>
    </row>
    <row r="901" ht="15">
      <c r="C901" s="68"/>
    </row>
    <row r="902" ht="15">
      <c r="C902" s="68"/>
    </row>
    <row r="903" ht="15">
      <c r="C903" s="68"/>
    </row>
    <row r="904" ht="15">
      <c r="C904" s="68"/>
    </row>
    <row r="905" ht="15">
      <c r="C905" s="68"/>
    </row>
    <row r="906" ht="15">
      <c r="C906" s="68"/>
    </row>
    <row r="907" ht="15">
      <c r="C907" s="68"/>
    </row>
    <row r="908" ht="15">
      <c r="C908" s="68"/>
    </row>
    <row r="909" ht="15">
      <c r="C909" s="68"/>
    </row>
    <row r="910" ht="15">
      <c r="C910" s="68"/>
    </row>
    <row r="911" ht="15">
      <c r="C911" s="68"/>
    </row>
    <row r="912" ht="15">
      <c r="C912" s="68"/>
    </row>
    <row r="913" ht="15">
      <c r="C913" s="68"/>
    </row>
    <row r="914" ht="15">
      <c r="C914" s="68"/>
    </row>
    <row r="915" ht="15">
      <c r="C915" s="68"/>
    </row>
    <row r="916" ht="15">
      <c r="C916" s="68"/>
    </row>
    <row r="917" ht="15">
      <c r="C917" s="68"/>
    </row>
    <row r="918" ht="15">
      <c r="C918" s="68"/>
    </row>
    <row r="919" ht="15">
      <c r="C919" s="68"/>
    </row>
    <row r="920" ht="15">
      <c r="C920" s="68"/>
    </row>
    <row r="921" ht="15">
      <c r="C921" s="68"/>
    </row>
    <row r="922" ht="15">
      <c r="C922" s="68"/>
    </row>
    <row r="923" ht="15">
      <c r="C923" s="68"/>
    </row>
    <row r="924" ht="15">
      <c r="C924" s="68"/>
    </row>
    <row r="925" ht="15">
      <c r="C925" s="68"/>
    </row>
    <row r="926" ht="15">
      <c r="C926" s="68"/>
    </row>
    <row r="927" ht="15">
      <c r="C927" s="68"/>
    </row>
    <row r="928" ht="15">
      <c r="C928" s="68"/>
    </row>
    <row r="929" ht="15">
      <c r="C929" s="68"/>
    </row>
    <row r="930" ht="15">
      <c r="C930" s="68"/>
    </row>
    <row r="931" ht="15">
      <c r="C931" s="68"/>
    </row>
    <row r="932" ht="15">
      <c r="C932" s="68"/>
    </row>
    <row r="933" ht="15">
      <c r="C933" s="68"/>
    </row>
    <row r="934" ht="15">
      <c r="C934" s="68"/>
    </row>
    <row r="935" ht="15">
      <c r="C935" s="68"/>
    </row>
    <row r="936" ht="15">
      <c r="C936" s="68"/>
    </row>
    <row r="937" ht="15">
      <c r="C937" s="68"/>
    </row>
    <row r="938" ht="15">
      <c r="C938" s="68"/>
    </row>
    <row r="939" ht="15">
      <c r="C939" s="68"/>
    </row>
    <row r="940" ht="15">
      <c r="C940" s="68"/>
    </row>
    <row r="941" ht="15">
      <c r="C941" s="68"/>
    </row>
    <row r="942" ht="15">
      <c r="C942" s="68"/>
    </row>
    <row r="943" ht="15">
      <c r="C943" s="68"/>
    </row>
    <row r="944" ht="15">
      <c r="C944" s="68"/>
    </row>
    <row r="945" ht="15">
      <c r="C945" s="68"/>
    </row>
    <row r="946" ht="15">
      <c r="C946" s="68"/>
    </row>
    <row r="947" ht="15">
      <c r="C947" s="68"/>
    </row>
    <row r="948" ht="15">
      <c r="C948" s="68"/>
    </row>
    <row r="949" ht="15">
      <c r="C949" s="68"/>
    </row>
    <row r="950" ht="15">
      <c r="C950" s="68"/>
    </row>
    <row r="951" ht="15">
      <c r="C951" s="68"/>
    </row>
    <row r="952" ht="15">
      <c r="C952" s="68"/>
    </row>
    <row r="953" ht="15">
      <c r="C953" s="68"/>
    </row>
    <row r="954" ht="15">
      <c r="C954" s="68"/>
    </row>
    <row r="955" ht="15">
      <c r="C955" s="68"/>
    </row>
    <row r="956" ht="15">
      <c r="C956" s="68"/>
    </row>
    <row r="957" ht="15">
      <c r="C957" s="68"/>
    </row>
    <row r="958" ht="15">
      <c r="C958" s="68"/>
    </row>
    <row r="959" ht="15">
      <c r="C959" s="68"/>
    </row>
    <row r="960" ht="15">
      <c r="C960" s="68"/>
    </row>
    <row r="961" ht="15">
      <c r="C961" s="68"/>
    </row>
    <row r="962" ht="15">
      <c r="C962" s="68"/>
    </row>
    <row r="963" ht="15">
      <c r="C963" s="68"/>
    </row>
    <row r="964" ht="15">
      <c r="C964" s="68"/>
    </row>
    <row r="965" ht="15">
      <c r="C965" s="68"/>
    </row>
    <row r="966" ht="15">
      <c r="C966" s="68"/>
    </row>
    <row r="967" ht="15">
      <c r="C967" s="68"/>
    </row>
    <row r="968" ht="15">
      <c r="C968" s="68"/>
    </row>
    <row r="969" ht="15">
      <c r="C969" s="68"/>
    </row>
    <row r="970" ht="15">
      <c r="C970" s="68"/>
    </row>
    <row r="971" ht="15">
      <c r="C971" s="68"/>
    </row>
    <row r="972" ht="15">
      <c r="C972" s="68"/>
    </row>
    <row r="973" ht="15">
      <c r="C973" s="68"/>
    </row>
    <row r="974" ht="15">
      <c r="C974" s="68"/>
    </row>
    <row r="975" ht="15">
      <c r="C975" s="68"/>
    </row>
    <row r="976" ht="15">
      <c r="C976" s="68"/>
    </row>
    <row r="977" ht="15">
      <c r="C977" s="68"/>
    </row>
    <row r="978" ht="15">
      <c r="C978" s="68"/>
    </row>
    <row r="979" ht="15">
      <c r="C979" s="68"/>
    </row>
    <row r="980" ht="15">
      <c r="C980" s="68"/>
    </row>
    <row r="981" ht="15">
      <c r="C981" s="68"/>
    </row>
    <row r="982" ht="15">
      <c r="C982" s="68"/>
    </row>
    <row r="983" ht="15">
      <c r="C983" s="68"/>
    </row>
    <row r="984" ht="15">
      <c r="C984" s="68"/>
    </row>
    <row r="985" ht="15">
      <c r="C985" s="68"/>
    </row>
    <row r="986" ht="15">
      <c r="C986" s="68"/>
    </row>
    <row r="987" ht="15">
      <c r="C987" s="68"/>
    </row>
    <row r="988" ht="15">
      <c r="C988" s="68"/>
    </row>
    <row r="989" ht="15">
      <c r="C989" s="68"/>
    </row>
    <row r="990" ht="15">
      <c r="C990" s="68"/>
    </row>
    <row r="991" ht="15">
      <c r="C991" s="68"/>
    </row>
    <row r="992" ht="15">
      <c r="C992" s="68"/>
    </row>
    <row r="993" ht="15">
      <c r="C993" s="68"/>
    </row>
    <row r="994" ht="15">
      <c r="C994" s="68"/>
    </row>
    <row r="995" ht="15">
      <c r="C995" s="68"/>
    </row>
    <row r="996" ht="15">
      <c r="C996" s="68"/>
    </row>
    <row r="997" ht="15">
      <c r="C997" s="68"/>
    </row>
    <row r="998" ht="15">
      <c r="C998" s="68"/>
    </row>
    <row r="999" ht="15">
      <c r="C999" s="68"/>
    </row>
    <row r="1000" ht="15">
      <c r="C1000" s="68"/>
    </row>
    <row r="1001" ht="15">
      <c r="C1001" s="68"/>
    </row>
    <row r="1002" ht="15">
      <c r="C1002" s="68"/>
    </row>
    <row r="1003" ht="15">
      <c r="C1003" s="68"/>
    </row>
    <row r="1004" ht="15">
      <c r="C1004" s="68"/>
    </row>
    <row r="1005" ht="15">
      <c r="C1005" s="68"/>
    </row>
    <row r="1006" ht="15">
      <c r="C1006" s="68"/>
    </row>
    <row r="1007" ht="15">
      <c r="C1007" s="68"/>
    </row>
    <row r="1008" ht="15">
      <c r="C1008" s="68"/>
    </row>
    <row r="1009" ht="15">
      <c r="C1009" s="68"/>
    </row>
    <row r="1010" ht="15">
      <c r="C1010" s="68"/>
    </row>
    <row r="1011" ht="15">
      <c r="C1011" s="68"/>
    </row>
    <row r="1012" ht="15">
      <c r="C1012" s="68"/>
    </row>
    <row r="1013" ht="15">
      <c r="C1013" s="68"/>
    </row>
    <row r="1014" ht="15">
      <c r="C1014" s="68"/>
    </row>
    <row r="1015" ht="15">
      <c r="C1015" s="68"/>
    </row>
    <row r="1016" ht="15">
      <c r="C1016" s="68"/>
    </row>
    <row r="1017" ht="15">
      <c r="C1017" s="68"/>
    </row>
    <row r="1018" ht="15">
      <c r="C1018" s="68"/>
    </row>
    <row r="1019" ht="15">
      <c r="C1019" s="68"/>
    </row>
    <row r="1020" ht="15">
      <c r="C1020" s="68"/>
    </row>
    <row r="1021" ht="15">
      <c r="C1021" s="68"/>
    </row>
    <row r="1022" ht="15">
      <c r="C1022" s="68"/>
    </row>
    <row r="1023" ht="15">
      <c r="C1023" s="68"/>
    </row>
    <row r="1024" ht="15">
      <c r="C1024" s="68"/>
    </row>
    <row r="1025" ht="15">
      <c r="C1025" s="68"/>
    </row>
    <row r="1026" ht="15">
      <c r="C1026" s="68"/>
    </row>
    <row r="1027" ht="15">
      <c r="C1027" s="68"/>
    </row>
    <row r="1028" ht="15">
      <c r="C1028" s="68"/>
    </row>
    <row r="1029" ht="15">
      <c r="C1029" s="68"/>
    </row>
    <row r="1030" ht="15">
      <c r="C1030" s="68"/>
    </row>
    <row r="1031" ht="15">
      <c r="C1031" s="68"/>
    </row>
    <row r="1032" ht="15">
      <c r="C1032" s="68"/>
    </row>
    <row r="1033" ht="15">
      <c r="C1033" s="68"/>
    </row>
    <row r="1034" ht="15">
      <c r="C1034" s="68"/>
    </row>
    <row r="1035" ht="15">
      <c r="C1035" s="68"/>
    </row>
    <row r="1036" ht="15">
      <c r="C1036" s="68"/>
    </row>
    <row r="1037" ht="15">
      <c r="C1037" s="68"/>
    </row>
    <row r="1038" ht="15">
      <c r="C1038" s="68"/>
    </row>
    <row r="1039" ht="15">
      <c r="C1039" s="68"/>
    </row>
    <row r="1040" ht="15">
      <c r="C1040" s="68"/>
    </row>
    <row r="1041" ht="15">
      <c r="C1041" s="68"/>
    </row>
    <row r="1042" ht="15">
      <c r="C1042" s="68"/>
    </row>
    <row r="1043" ht="15">
      <c r="C1043" s="68"/>
    </row>
    <row r="1044" ht="15">
      <c r="C1044" s="68"/>
    </row>
    <row r="1045" ht="15">
      <c r="C1045" s="68"/>
    </row>
    <row r="1046" ht="15">
      <c r="C1046" s="68"/>
    </row>
    <row r="1047" ht="15">
      <c r="C1047" s="68"/>
    </row>
    <row r="1048" ht="15">
      <c r="C1048" s="68"/>
    </row>
    <row r="1049" ht="15">
      <c r="C1049" s="68"/>
    </row>
    <row r="1050" ht="15">
      <c r="C1050" s="68"/>
    </row>
    <row r="1051" ht="15">
      <c r="C1051" s="68"/>
    </row>
    <row r="1052" ht="15">
      <c r="C1052" s="68"/>
    </row>
    <row r="1053" ht="15">
      <c r="C1053" s="68"/>
    </row>
    <row r="1054" ht="15">
      <c r="C1054" s="68"/>
    </row>
    <row r="1055" ht="15">
      <c r="C1055" s="68"/>
    </row>
    <row r="1056" ht="15">
      <c r="C1056" s="68"/>
    </row>
    <row r="1057" ht="15">
      <c r="C1057" s="68"/>
    </row>
    <row r="1058" ht="15">
      <c r="C1058" s="68"/>
    </row>
    <row r="1059" ht="15">
      <c r="C1059" s="68"/>
    </row>
    <row r="1060" ht="15">
      <c r="C1060" s="68"/>
    </row>
    <row r="1061" ht="15">
      <c r="C1061" s="68"/>
    </row>
    <row r="1062" ht="15">
      <c r="C1062" s="68"/>
    </row>
    <row r="1063" ht="15">
      <c r="C1063" s="68"/>
    </row>
    <row r="1064" ht="15">
      <c r="C1064" s="68"/>
    </row>
    <row r="1065" ht="15">
      <c r="C1065" s="68"/>
    </row>
    <row r="1066" ht="15">
      <c r="C1066" s="68"/>
    </row>
    <row r="1067" ht="15">
      <c r="C1067" s="68"/>
    </row>
    <row r="1068" ht="15">
      <c r="C1068" s="68"/>
    </row>
    <row r="1069" ht="15">
      <c r="C1069" s="68"/>
    </row>
    <row r="1070" ht="15">
      <c r="C1070" s="68"/>
    </row>
    <row r="1071" ht="15">
      <c r="C1071" s="68"/>
    </row>
    <row r="1072" ht="15">
      <c r="C1072" s="68"/>
    </row>
    <row r="1073" ht="15">
      <c r="C1073" s="68"/>
    </row>
    <row r="1074" ht="15">
      <c r="C1074" s="68"/>
    </row>
    <row r="1075" ht="15">
      <c r="C1075" s="68"/>
    </row>
    <row r="1076" ht="15">
      <c r="C1076" s="68"/>
    </row>
    <row r="1077" ht="15">
      <c r="C1077" s="68"/>
    </row>
    <row r="1078" ht="15">
      <c r="C1078" s="68"/>
    </row>
    <row r="1079" ht="15">
      <c r="C1079" s="68"/>
    </row>
    <row r="1080" ht="15">
      <c r="C1080" s="68"/>
    </row>
    <row r="1081" ht="15">
      <c r="C1081" s="68"/>
    </row>
    <row r="1082" ht="15">
      <c r="C1082" s="68"/>
    </row>
    <row r="1083" ht="15">
      <c r="C1083" s="68"/>
    </row>
    <row r="1084" ht="15">
      <c r="C1084" s="68"/>
    </row>
    <row r="1085" ht="15">
      <c r="C1085" s="68"/>
    </row>
    <row r="1086" ht="15">
      <c r="C1086" s="68"/>
    </row>
    <row r="1087" ht="15">
      <c r="C1087" s="68"/>
    </row>
    <row r="1088" ht="15">
      <c r="C1088" s="68"/>
    </row>
    <row r="1089" ht="15">
      <c r="C1089" s="68"/>
    </row>
    <row r="1090" ht="15">
      <c r="C1090" s="68"/>
    </row>
    <row r="1091" ht="15">
      <c r="C1091" s="68"/>
    </row>
    <row r="1092" ht="15">
      <c r="C1092" s="68"/>
    </row>
    <row r="1093" ht="15">
      <c r="C1093" s="68"/>
    </row>
    <row r="1094" ht="15">
      <c r="C1094" s="68"/>
    </row>
    <row r="1095" ht="15">
      <c r="C1095" s="68"/>
    </row>
    <row r="1096" ht="15">
      <c r="C1096" s="68"/>
    </row>
    <row r="1097" ht="15">
      <c r="C1097" s="68"/>
    </row>
    <row r="1098" ht="15">
      <c r="C1098" s="68"/>
    </row>
    <row r="1099" ht="15">
      <c r="C1099" s="68"/>
    </row>
    <row r="1100" ht="15">
      <c r="C1100" s="68"/>
    </row>
    <row r="1101" ht="15">
      <c r="C1101" s="68"/>
    </row>
    <row r="1102" ht="15">
      <c r="C1102" s="68"/>
    </row>
    <row r="1103" ht="15">
      <c r="C1103" s="68"/>
    </row>
    <row r="1104" ht="15">
      <c r="C1104" s="68"/>
    </row>
    <row r="1105" ht="15">
      <c r="C1105" s="68"/>
    </row>
    <row r="1106" ht="15">
      <c r="C1106" s="68"/>
    </row>
    <row r="1107" ht="15">
      <c r="C1107" s="68"/>
    </row>
    <row r="1108" ht="15">
      <c r="C1108" s="68"/>
    </row>
    <row r="1109" ht="15">
      <c r="C1109" s="68"/>
    </row>
    <row r="1110" ht="15">
      <c r="C1110" s="68"/>
    </row>
    <row r="1111" ht="15">
      <c r="C1111" s="68"/>
    </row>
    <row r="1112" ht="15">
      <c r="C1112" s="68"/>
    </row>
    <row r="1113" ht="15">
      <c r="C1113" s="68"/>
    </row>
    <row r="1114" ht="15">
      <c r="C1114" s="68"/>
    </row>
    <row r="1115" ht="15">
      <c r="C1115" s="68"/>
    </row>
    <row r="1116" ht="15">
      <c r="C1116" s="68"/>
    </row>
    <row r="1117" ht="15">
      <c r="C1117" s="68"/>
    </row>
    <row r="1118" ht="15">
      <c r="C1118" s="68"/>
    </row>
    <row r="1119" ht="15">
      <c r="C1119" s="68"/>
    </row>
    <row r="1120" ht="15">
      <c r="C1120" s="68"/>
    </row>
    <row r="1121" ht="15">
      <c r="C1121" s="68"/>
    </row>
    <row r="1122" ht="15">
      <c r="C1122" s="68"/>
    </row>
    <row r="1123" ht="15">
      <c r="C1123" s="68"/>
    </row>
    <row r="1124" ht="15">
      <c r="C1124" s="68"/>
    </row>
    <row r="1125" ht="15">
      <c r="C1125" s="68"/>
    </row>
    <row r="1126" ht="15">
      <c r="C1126" s="68"/>
    </row>
    <row r="1127" ht="15">
      <c r="C1127" s="68"/>
    </row>
    <row r="1128" ht="15">
      <c r="C1128" s="68"/>
    </row>
    <row r="1129" ht="15">
      <c r="C1129" s="68"/>
    </row>
    <row r="1130" ht="15">
      <c r="C1130" s="68"/>
    </row>
    <row r="1131" ht="15">
      <c r="C1131" s="68"/>
    </row>
    <row r="1132" ht="15">
      <c r="C1132" s="68"/>
    </row>
    <row r="1133" ht="15">
      <c r="C1133" s="68"/>
    </row>
    <row r="1134" ht="15">
      <c r="C1134" s="68"/>
    </row>
    <row r="1135" ht="15">
      <c r="C1135" s="68"/>
    </row>
    <row r="1136" ht="15">
      <c r="C1136" s="68"/>
    </row>
    <row r="1137" ht="15">
      <c r="C1137" s="68"/>
    </row>
    <row r="1138" ht="15">
      <c r="C1138" s="68"/>
    </row>
    <row r="1139" ht="15">
      <c r="C1139" s="68"/>
    </row>
    <row r="1140" ht="15">
      <c r="C1140" s="68"/>
    </row>
    <row r="1141" ht="15">
      <c r="C1141" s="68"/>
    </row>
    <row r="1142" ht="15">
      <c r="C1142" s="68"/>
    </row>
    <row r="1143" ht="15">
      <c r="C1143" s="68"/>
    </row>
    <row r="1144" ht="15">
      <c r="C1144" s="68"/>
    </row>
    <row r="1145" ht="15">
      <c r="C1145" s="68"/>
    </row>
    <row r="1146" ht="15">
      <c r="C1146" s="68"/>
    </row>
    <row r="1147" ht="15">
      <c r="C1147" s="68"/>
    </row>
    <row r="1148" ht="15">
      <c r="C1148" s="68"/>
    </row>
    <row r="1149" ht="15">
      <c r="C1149" s="68"/>
    </row>
    <row r="1150" ht="15">
      <c r="C1150" s="68"/>
    </row>
    <row r="1151" ht="15">
      <c r="C1151" s="68"/>
    </row>
    <row r="1152" ht="15">
      <c r="C1152" s="68"/>
    </row>
    <row r="1153" ht="15">
      <c r="C1153" s="68"/>
    </row>
    <row r="1154" ht="15">
      <c r="C1154" s="68"/>
    </row>
    <row r="1155" ht="15">
      <c r="C1155" s="68"/>
    </row>
    <row r="1156" ht="15">
      <c r="C1156" s="68"/>
    </row>
    <row r="1157" ht="15">
      <c r="C1157" s="68"/>
    </row>
    <row r="1158" ht="15">
      <c r="C1158" s="68"/>
    </row>
    <row r="1159" ht="15">
      <c r="C1159" s="68"/>
    </row>
    <row r="1160" ht="15">
      <c r="C1160" s="68"/>
    </row>
    <row r="1161" ht="15">
      <c r="C1161" s="68"/>
    </row>
    <row r="1162" ht="15">
      <c r="C1162" s="68"/>
    </row>
    <row r="1163" ht="15">
      <c r="C1163" s="68"/>
    </row>
    <row r="1164" ht="15">
      <c r="C1164" s="68"/>
    </row>
    <row r="1165" ht="15">
      <c r="C1165" s="68"/>
    </row>
    <row r="1166" ht="15">
      <c r="C1166" s="68"/>
    </row>
    <row r="1167" ht="15">
      <c r="C1167" s="68"/>
    </row>
    <row r="1168" ht="15">
      <c r="C1168" s="68"/>
    </row>
    <row r="1169" ht="15">
      <c r="C1169" s="68"/>
    </row>
    <row r="1170" ht="15">
      <c r="C1170" s="68"/>
    </row>
    <row r="1171" ht="15">
      <c r="C1171" s="68"/>
    </row>
    <row r="1172" ht="15">
      <c r="C1172" s="68"/>
    </row>
    <row r="1173" ht="15">
      <c r="C1173" s="68"/>
    </row>
    <row r="1174" ht="15">
      <c r="C1174" s="68"/>
    </row>
    <row r="1175" ht="15">
      <c r="C1175" s="68"/>
    </row>
    <row r="1176" ht="15">
      <c r="C1176" s="68"/>
    </row>
    <row r="1177" ht="15">
      <c r="C1177" s="68"/>
    </row>
    <row r="1178" ht="15">
      <c r="C1178" s="68"/>
    </row>
    <row r="1179" ht="15">
      <c r="C1179" s="68"/>
    </row>
    <row r="1180" ht="15">
      <c r="C1180" s="68"/>
    </row>
    <row r="1181" ht="15">
      <c r="C1181" s="68"/>
    </row>
    <row r="1182" ht="15">
      <c r="C1182" s="68"/>
    </row>
    <row r="1183" ht="15">
      <c r="C1183" s="68"/>
    </row>
    <row r="1184" ht="15">
      <c r="C1184" s="68"/>
    </row>
    <row r="1185" ht="15">
      <c r="C1185" s="68"/>
    </row>
    <row r="1186" ht="15">
      <c r="C1186" s="68"/>
    </row>
    <row r="1187" ht="15">
      <c r="C1187" s="68"/>
    </row>
    <row r="1188" ht="15">
      <c r="C1188" s="68"/>
    </row>
    <row r="1189" ht="15">
      <c r="C1189" s="68"/>
    </row>
    <row r="1190" ht="15">
      <c r="C1190" s="68"/>
    </row>
    <row r="1191" ht="15">
      <c r="C1191" s="68"/>
    </row>
    <row r="1192" ht="15">
      <c r="C1192" s="68"/>
    </row>
    <row r="1193" ht="15">
      <c r="C1193" s="68"/>
    </row>
    <row r="1194" ht="15">
      <c r="C1194" s="68"/>
    </row>
    <row r="1195" ht="15">
      <c r="C1195" s="68"/>
    </row>
    <row r="1196" ht="15">
      <c r="C1196" s="68"/>
    </row>
    <row r="1197" ht="15">
      <c r="C1197" s="68"/>
    </row>
    <row r="1198" ht="15">
      <c r="C1198" s="68"/>
    </row>
    <row r="1199" ht="15">
      <c r="C1199" s="68"/>
    </row>
    <row r="1200" ht="15">
      <c r="C1200" s="68"/>
    </row>
    <row r="1201" ht="15">
      <c r="C1201" s="68"/>
    </row>
    <row r="1202" ht="15">
      <c r="C1202" s="68"/>
    </row>
    <row r="1203" ht="15">
      <c r="C1203" s="68"/>
    </row>
    <row r="1204" ht="15">
      <c r="C1204" s="68"/>
    </row>
    <row r="1205" ht="15">
      <c r="C1205" s="68"/>
    </row>
    <row r="1206" ht="15">
      <c r="C1206" s="68"/>
    </row>
    <row r="1207" ht="15">
      <c r="C1207" s="68"/>
    </row>
    <row r="1208" ht="15">
      <c r="C1208" s="68"/>
    </row>
    <row r="1209" ht="15">
      <c r="C1209" s="68"/>
    </row>
    <row r="1210" ht="15">
      <c r="C1210" s="68"/>
    </row>
    <row r="1211" ht="15">
      <c r="C1211" s="68"/>
    </row>
    <row r="1212" ht="15">
      <c r="C1212" s="68"/>
    </row>
    <row r="1213" ht="15">
      <c r="C1213" s="68"/>
    </row>
    <row r="1214" ht="15">
      <c r="C1214" s="68"/>
    </row>
    <row r="1215" ht="15">
      <c r="C1215" s="68"/>
    </row>
    <row r="1216" ht="15">
      <c r="C1216" s="68"/>
    </row>
    <row r="1217" ht="15">
      <c r="C1217" s="68"/>
    </row>
    <row r="1218" ht="15">
      <c r="C1218" s="68"/>
    </row>
    <row r="1219" ht="15">
      <c r="C1219" s="68"/>
    </row>
    <row r="1220" ht="15">
      <c r="C1220" s="68"/>
    </row>
    <row r="1221" ht="15">
      <c r="C1221" s="68"/>
    </row>
    <row r="1222" ht="15">
      <c r="C1222" s="68"/>
    </row>
    <row r="1223" ht="15">
      <c r="C1223" s="68"/>
    </row>
    <row r="1224" ht="15">
      <c r="C1224" s="68"/>
    </row>
    <row r="1225" ht="15">
      <c r="C1225" s="68"/>
    </row>
    <row r="1226" ht="15">
      <c r="C1226" s="68"/>
    </row>
    <row r="1227" ht="15">
      <c r="C1227" s="68"/>
    </row>
    <row r="1228" ht="15">
      <c r="C1228" s="68"/>
    </row>
    <row r="1229" ht="15">
      <c r="C1229" s="68"/>
    </row>
    <row r="1230" ht="15">
      <c r="C1230" s="68"/>
    </row>
    <row r="1231" ht="15">
      <c r="C1231" s="68"/>
    </row>
    <row r="1232" ht="15">
      <c r="C1232" s="68"/>
    </row>
    <row r="1233" ht="15">
      <c r="C1233" s="68"/>
    </row>
    <row r="1234" ht="15">
      <c r="C1234" s="68"/>
    </row>
    <row r="1235" ht="15">
      <c r="C1235" s="68"/>
    </row>
    <row r="1236" ht="15">
      <c r="C1236" s="68"/>
    </row>
    <row r="1237" ht="15">
      <c r="C1237" s="68"/>
    </row>
    <row r="1238" ht="15">
      <c r="C1238" s="68"/>
    </row>
    <row r="1239" ht="15">
      <c r="C1239" s="68"/>
    </row>
    <row r="1240" ht="15">
      <c r="C1240" s="68"/>
    </row>
    <row r="1241" ht="15">
      <c r="C1241" s="68"/>
    </row>
    <row r="1242" ht="15">
      <c r="C1242" s="68"/>
    </row>
    <row r="1243" ht="15">
      <c r="C1243" s="68"/>
    </row>
    <row r="1244" ht="15">
      <c r="C1244" s="68"/>
    </row>
    <row r="1245" ht="15">
      <c r="C1245" s="68"/>
    </row>
    <row r="1246" ht="15">
      <c r="C1246" s="68"/>
    </row>
    <row r="1247" ht="15">
      <c r="C1247" s="68"/>
    </row>
    <row r="1248" ht="15">
      <c r="C1248" s="68"/>
    </row>
    <row r="1249" ht="15">
      <c r="C1249" s="68"/>
    </row>
    <row r="1250" ht="15">
      <c r="C1250" s="68"/>
    </row>
    <row r="1251" ht="15">
      <c r="C1251" s="68"/>
    </row>
    <row r="1252" ht="15">
      <c r="C1252" s="68"/>
    </row>
    <row r="1253" ht="15">
      <c r="C1253" s="68"/>
    </row>
    <row r="1254" ht="15">
      <c r="C1254" s="68"/>
    </row>
    <row r="1255" ht="15">
      <c r="C1255" s="68"/>
    </row>
    <row r="1256" ht="15">
      <c r="C1256" s="68"/>
    </row>
    <row r="1257" ht="15">
      <c r="C1257" s="68"/>
    </row>
    <row r="1258" ht="15">
      <c r="C1258" s="68"/>
    </row>
    <row r="1259" ht="15">
      <c r="C1259" s="68"/>
    </row>
    <row r="1260" ht="15">
      <c r="C1260" s="68"/>
    </row>
    <row r="1261" ht="15">
      <c r="C1261" s="68"/>
    </row>
    <row r="1262" ht="15">
      <c r="C1262" s="68"/>
    </row>
    <row r="1263" ht="15">
      <c r="C1263" s="68"/>
    </row>
    <row r="1264" ht="15">
      <c r="C1264" s="68"/>
    </row>
    <row r="1265" ht="15">
      <c r="C1265" s="68"/>
    </row>
    <row r="1266" ht="15">
      <c r="C1266" s="68"/>
    </row>
    <row r="1267" ht="15">
      <c r="C1267" s="68"/>
    </row>
    <row r="1268" ht="15">
      <c r="C1268" s="68"/>
    </row>
    <row r="1269" ht="15">
      <c r="C1269" s="68"/>
    </row>
    <row r="1270" ht="15">
      <c r="C1270" s="68"/>
    </row>
    <row r="1271" ht="15">
      <c r="C1271" s="68"/>
    </row>
    <row r="1272" ht="15">
      <c r="C1272" s="68"/>
    </row>
    <row r="1273" ht="15">
      <c r="C1273" s="68"/>
    </row>
    <row r="1274" ht="15">
      <c r="C1274" s="68"/>
    </row>
    <row r="1275" ht="15">
      <c r="C1275" s="68"/>
    </row>
    <row r="1276" ht="15">
      <c r="C1276" s="68"/>
    </row>
    <row r="1277" ht="15">
      <c r="C1277" s="68"/>
    </row>
    <row r="1278" ht="15">
      <c r="C1278" s="68"/>
    </row>
    <row r="1279" ht="15">
      <c r="C1279" s="68"/>
    </row>
    <row r="1280" ht="15">
      <c r="C1280" s="68"/>
    </row>
    <row r="1281" ht="15">
      <c r="C1281" s="68"/>
    </row>
    <row r="1282" ht="15">
      <c r="C1282" s="68"/>
    </row>
    <row r="1283" ht="15">
      <c r="C1283" s="68"/>
    </row>
    <row r="1284" ht="15">
      <c r="C1284" s="68"/>
    </row>
    <row r="1285" ht="15">
      <c r="C1285" s="68"/>
    </row>
    <row r="1286" ht="15">
      <c r="C1286" s="68"/>
    </row>
    <row r="1287" ht="15">
      <c r="C1287" s="68"/>
    </row>
    <row r="1288" ht="15">
      <c r="C1288" s="68"/>
    </row>
    <row r="1289" ht="15">
      <c r="C1289" s="68"/>
    </row>
    <row r="1290" ht="15">
      <c r="C1290" s="68"/>
    </row>
    <row r="1291" ht="15">
      <c r="C1291" s="68"/>
    </row>
    <row r="1292" ht="15">
      <c r="C1292" s="68"/>
    </row>
    <row r="1293" ht="15">
      <c r="C1293" s="68"/>
    </row>
    <row r="1294" ht="15">
      <c r="C1294" s="68"/>
    </row>
    <row r="1295" ht="15">
      <c r="C1295" s="68"/>
    </row>
    <row r="1296" ht="15">
      <c r="C1296" s="68"/>
    </row>
    <row r="1297" ht="15">
      <c r="C1297" s="68"/>
    </row>
    <row r="1298" ht="15">
      <c r="C1298" s="68"/>
    </row>
    <row r="1299" ht="15">
      <c r="C1299" s="68"/>
    </row>
    <row r="1300" ht="15">
      <c r="C1300" s="68"/>
    </row>
    <row r="1301" ht="15">
      <c r="C1301" s="68"/>
    </row>
    <row r="1302" ht="15">
      <c r="C1302" s="68"/>
    </row>
    <row r="1303" ht="15">
      <c r="C1303" s="68"/>
    </row>
    <row r="1304" ht="15">
      <c r="C1304" s="68"/>
    </row>
    <row r="1305" ht="15">
      <c r="C1305" s="68"/>
    </row>
    <row r="1306" ht="15">
      <c r="C1306" s="68"/>
    </row>
    <row r="1307" ht="15">
      <c r="C1307" s="68"/>
    </row>
    <row r="1308" ht="15">
      <c r="C1308" s="68"/>
    </row>
    <row r="1309" ht="15">
      <c r="C1309" s="68"/>
    </row>
    <row r="1310" ht="15">
      <c r="C1310" s="68"/>
    </row>
    <row r="1311" ht="15">
      <c r="C1311" s="68"/>
    </row>
    <row r="1312" ht="15">
      <c r="C1312" s="68"/>
    </row>
    <row r="1313" ht="15">
      <c r="C1313" s="68"/>
    </row>
    <row r="1314" ht="15">
      <c r="C1314" s="68"/>
    </row>
    <row r="1315" ht="15">
      <c r="C1315" s="68"/>
    </row>
    <row r="1316" ht="15">
      <c r="C1316" s="68"/>
    </row>
    <row r="1317" ht="15">
      <c r="C1317" s="68"/>
    </row>
    <row r="1318" ht="15">
      <c r="C1318" s="68"/>
    </row>
    <row r="1319" ht="15">
      <c r="C1319" s="68"/>
    </row>
    <row r="1320" ht="15">
      <c r="C1320" s="68"/>
    </row>
    <row r="1321" ht="15">
      <c r="C1321" s="68"/>
    </row>
    <row r="1322" ht="15">
      <c r="C1322" s="68"/>
    </row>
    <row r="1323" ht="15">
      <c r="C1323" s="68"/>
    </row>
    <row r="1324" ht="15">
      <c r="C1324" s="68"/>
    </row>
    <row r="1325" ht="15">
      <c r="C1325" s="68"/>
    </row>
    <row r="1326" ht="15">
      <c r="C1326" s="68"/>
    </row>
    <row r="1327" ht="15">
      <c r="C1327" s="68"/>
    </row>
    <row r="1328" ht="15">
      <c r="C1328" s="68"/>
    </row>
    <row r="1329" ht="15">
      <c r="C1329" s="68"/>
    </row>
    <row r="1330" ht="15">
      <c r="C1330" s="68"/>
    </row>
    <row r="1331" ht="15">
      <c r="C1331" s="68"/>
    </row>
    <row r="1332" ht="15">
      <c r="C1332" s="68"/>
    </row>
    <row r="1333" ht="15">
      <c r="C1333" s="68"/>
    </row>
    <row r="1334" ht="15">
      <c r="C1334" s="68"/>
    </row>
    <row r="1335" ht="15">
      <c r="C1335" s="68"/>
    </row>
    <row r="1336" ht="15">
      <c r="C1336" s="68"/>
    </row>
    <row r="1337" ht="15">
      <c r="C1337" s="68"/>
    </row>
    <row r="1338" ht="15">
      <c r="C1338" s="68"/>
    </row>
    <row r="1339" ht="15">
      <c r="C1339" s="68"/>
    </row>
    <row r="1340" ht="15">
      <c r="C1340" s="68"/>
    </row>
    <row r="1341" ht="15">
      <c r="C1341" s="68"/>
    </row>
    <row r="1342" ht="15">
      <c r="C1342" s="68"/>
    </row>
    <row r="1343" ht="15">
      <c r="C1343" s="68"/>
    </row>
    <row r="1344" ht="15">
      <c r="C1344" s="68"/>
    </row>
    <row r="1345" ht="15">
      <c r="C1345" s="68"/>
    </row>
    <row r="1346" ht="15">
      <c r="C1346" s="68"/>
    </row>
    <row r="1347" ht="15">
      <c r="C1347" s="68"/>
    </row>
    <row r="1348" ht="15">
      <c r="C1348" s="68"/>
    </row>
    <row r="1349" ht="15">
      <c r="C1349" s="68"/>
    </row>
    <row r="1350" ht="15">
      <c r="C1350" s="68"/>
    </row>
    <row r="1351" ht="15">
      <c r="C1351" s="68"/>
    </row>
    <row r="1352" ht="15">
      <c r="C1352" s="68"/>
    </row>
    <row r="1353" ht="15">
      <c r="C1353" s="68"/>
    </row>
    <row r="1354" ht="15">
      <c r="C1354" s="68"/>
    </row>
    <row r="1355" ht="15">
      <c r="C1355" s="68"/>
    </row>
    <row r="1356" ht="15">
      <c r="C1356" s="68"/>
    </row>
    <row r="1357" ht="15">
      <c r="C1357" s="68"/>
    </row>
    <row r="1358" ht="15">
      <c r="C1358" s="68"/>
    </row>
    <row r="1359" ht="15">
      <c r="C1359" s="68"/>
    </row>
    <row r="1360" ht="15">
      <c r="C1360" s="68"/>
    </row>
    <row r="1361" ht="15">
      <c r="C1361" s="68"/>
    </row>
    <row r="1362" ht="15">
      <c r="C1362" s="68"/>
    </row>
    <row r="1363" ht="15">
      <c r="C1363" s="68"/>
    </row>
    <row r="1364" ht="15">
      <c r="C1364" s="68"/>
    </row>
    <row r="1365" ht="15">
      <c r="C1365" s="68"/>
    </row>
    <row r="1366" ht="15">
      <c r="C1366" s="68"/>
    </row>
    <row r="1367" ht="15">
      <c r="C1367" s="68"/>
    </row>
    <row r="1368" ht="15">
      <c r="C1368" s="68"/>
    </row>
    <row r="1369" ht="15">
      <c r="C1369" s="68"/>
    </row>
    <row r="1370" ht="15">
      <c r="C1370" s="68"/>
    </row>
    <row r="1371" ht="15">
      <c r="C1371" s="68"/>
    </row>
    <row r="1372" ht="15">
      <c r="C1372" s="68"/>
    </row>
    <row r="1373" ht="15">
      <c r="C1373" s="68"/>
    </row>
    <row r="1374" ht="15">
      <c r="C1374" s="68"/>
    </row>
    <row r="1375" ht="15">
      <c r="C1375" s="68"/>
    </row>
    <row r="1376" ht="15">
      <c r="C1376" s="68"/>
    </row>
    <row r="1377" ht="15">
      <c r="C1377" s="68"/>
    </row>
    <row r="1378" ht="15">
      <c r="C1378" s="68"/>
    </row>
    <row r="1379" ht="15">
      <c r="C1379" s="68"/>
    </row>
    <row r="1380" ht="15">
      <c r="C1380" s="68"/>
    </row>
    <row r="1381" ht="15">
      <c r="C1381" s="68"/>
    </row>
    <row r="1382" ht="15">
      <c r="C1382" s="68"/>
    </row>
    <row r="1383" ht="15">
      <c r="C1383" s="68"/>
    </row>
    <row r="1384" ht="15">
      <c r="C1384" s="68"/>
    </row>
    <row r="1385" ht="15">
      <c r="C1385" s="68"/>
    </row>
    <row r="1386" ht="15">
      <c r="C1386" s="68"/>
    </row>
    <row r="1387" ht="15">
      <c r="C1387" s="68"/>
    </row>
    <row r="1388" ht="15">
      <c r="C1388" s="68"/>
    </row>
    <row r="1389" ht="15">
      <c r="C1389" s="68"/>
    </row>
    <row r="1390" ht="15">
      <c r="C1390" s="68"/>
    </row>
    <row r="1391" ht="15">
      <c r="C1391" s="68"/>
    </row>
    <row r="1392" ht="15">
      <c r="C1392" s="68"/>
    </row>
    <row r="1393" ht="15">
      <c r="C1393" s="68"/>
    </row>
    <row r="1394" ht="15">
      <c r="C1394" s="68"/>
    </row>
    <row r="1395" ht="15">
      <c r="C1395" s="68"/>
    </row>
    <row r="1396" ht="15">
      <c r="C1396" s="68"/>
    </row>
    <row r="1397" ht="15">
      <c r="C1397" s="68"/>
    </row>
    <row r="1398" ht="15">
      <c r="C1398" s="68"/>
    </row>
    <row r="1399" ht="15">
      <c r="C1399" s="68"/>
    </row>
    <row r="1400" ht="15">
      <c r="C1400" s="68"/>
    </row>
    <row r="1401" ht="15">
      <c r="C1401" s="68"/>
    </row>
    <row r="1402" ht="15">
      <c r="C1402" s="68"/>
    </row>
    <row r="1403" ht="15">
      <c r="C1403" s="68"/>
    </row>
    <row r="1404" ht="15">
      <c r="C1404" s="68"/>
    </row>
    <row r="1405" ht="15">
      <c r="C1405" s="68"/>
    </row>
    <row r="1406" ht="15">
      <c r="C1406" s="68"/>
    </row>
    <row r="1407" ht="15">
      <c r="C1407" s="68"/>
    </row>
    <row r="1408" ht="15">
      <c r="C1408" s="68"/>
    </row>
    <row r="1409" ht="15">
      <c r="C1409" s="68"/>
    </row>
    <row r="1410" ht="15">
      <c r="C1410" s="68"/>
    </row>
    <row r="1411" ht="15">
      <c r="C1411" s="68"/>
    </row>
    <row r="1412" ht="15">
      <c r="C1412" s="68"/>
    </row>
    <row r="1413" ht="15">
      <c r="C1413" s="68"/>
    </row>
    <row r="1414" ht="15">
      <c r="C1414" s="68"/>
    </row>
    <row r="1415" ht="15">
      <c r="C1415" s="68"/>
    </row>
    <row r="1416" ht="15">
      <c r="C1416" s="68"/>
    </row>
    <row r="1417" ht="15">
      <c r="C1417" s="68"/>
    </row>
    <row r="1418" ht="15">
      <c r="C1418" s="68"/>
    </row>
    <row r="1419" ht="15">
      <c r="C1419" s="68"/>
    </row>
    <row r="1420" ht="15">
      <c r="C1420" s="68"/>
    </row>
    <row r="1421" ht="15">
      <c r="C1421" s="68"/>
    </row>
    <row r="1422" ht="15">
      <c r="C1422" s="68"/>
    </row>
    <row r="1423" ht="15">
      <c r="C1423" s="68"/>
    </row>
    <row r="1424" ht="15">
      <c r="C1424" s="68"/>
    </row>
    <row r="1425" ht="15">
      <c r="C1425" s="68"/>
    </row>
    <row r="1426" ht="15">
      <c r="C1426" s="68"/>
    </row>
    <row r="1427" ht="15">
      <c r="C1427" s="68"/>
    </row>
    <row r="1428" ht="15">
      <c r="C1428" s="68"/>
    </row>
    <row r="1429" ht="15">
      <c r="C1429" s="68"/>
    </row>
    <row r="1430" ht="15">
      <c r="C1430" s="68"/>
    </row>
    <row r="1431" ht="15">
      <c r="C1431" s="68"/>
    </row>
    <row r="1432" ht="15">
      <c r="C1432" s="68"/>
    </row>
    <row r="1433" ht="15">
      <c r="C1433" s="68"/>
    </row>
    <row r="1434" ht="15">
      <c r="C1434" s="68"/>
    </row>
    <row r="1435" ht="15">
      <c r="C1435" s="68"/>
    </row>
    <row r="1436" ht="15">
      <c r="C1436" s="68"/>
    </row>
    <row r="1437" ht="15">
      <c r="C1437" s="68"/>
    </row>
    <row r="1438" ht="15">
      <c r="C1438" s="68"/>
    </row>
    <row r="1439" ht="15">
      <c r="C1439" s="68"/>
    </row>
    <row r="1440" ht="15">
      <c r="C1440" s="68"/>
    </row>
    <row r="1441" ht="15">
      <c r="C1441" s="68"/>
    </row>
    <row r="1442" ht="15">
      <c r="C1442" s="68"/>
    </row>
    <row r="1443" ht="15">
      <c r="C1443" s="68"/>
    </row>
    <row r="1444" ht="15">
      <c r="C1444" s="68"/>
    </row>
    <row r="1445" ht="15">
      <c r="C1445" s="68"/>
    </row>
    <row r="1446" ht="15">
      <c r="C1446" s="68"/>
    </row>
    <row r="1447" ht="15">
      <c r="C1447" s="68"/>
    </row>
    <row r="1448" ht="15">
      <c r="C1448" s="68"/>
    </row>
    <row r="1449" ht="15">
      <c r="C1449" s="68"/>
    </row>
    <row r="1450" ht="15">
      <c r="C1450" s="68"/>
    </row>
    <row r="1451" ht="15">
      <c r="C1451" s="68"/>
    </row>
    <row r="1452" ht="15">
      <c r="C1452" s="68"/>
    </row>
    <row r="1453" ht="15">
      <c r="C1453" s="68"/>
    </row>
    <row r="1454" ht="15">
      <c r="C1454" s="68"/>
    </row>
    <row r="1455" ht="15">
      <c r="C1455" s="68"/>
    </row>
    <row r="1456" ht="15">
      <c r="C1456" s="68"/>
    </row>
    <row r="1457" ht="15">
      <c r="C1457" s="68"/>
    </row>
    <row r="1458" ht="15">
      <c r="C1458" s="68"/>
    </row>
    <row r="1459" ht="15">
      <c r="C1459" s="68"/>
    </row>
    <row r="1460" ht="15">
      <c r="C1460" s="68"/>
    </row>
    <row r="1461" ht="15">
      <c r="C1461" s="68"/>
    </row>
    <row r="1462" ht="15">
      <c r="C1462" s="68"/>
    </row>
    <row r="1463" ht="15">
      <c r="C1463" s="68"/>
    </row>
    <row r="1464" ht="15">
      <c r="C1464" s="68"/>
    </row>
    <row r="1465" ht="15">
      <c r="C1465" s="68"/>
    </row>
    <row r="1466" ht="15">
      <c r="C1466" s="68"/>
    </row>
    <row r="1467" ht="15">
      <c r="C1467" s="68"/>
    </row>
    <row r="1468" ht="15">
      <c r="C1468" s="68"/>
    </row>
    <row r="1469" ht="15">
      <c r="C1469" s="68"/>
    </row>
    <row r="1470" ht="15">
      <c r="C1470" s="68"/>
    </row>
    <row r="1471" ht="15">
      <c r="C1471" s="68"/>
    </row>
    <row r="1472" ht="15">
      <c r="C1472" s="68"/>
    </row>
    <row r="1473" ht="15">
      <c r="C1473" s="68"/>
    </row>
    <row r="1474" ht="15">
      <c r="C1474" s="68"/>
    </row>
    <row r="1475" ht="15">
      <c r="C1475" s="68"/>
    </row>
    <row r="1476" ht="15">
      <c r="C1476" s="68"/>
    </row>
    <row r="1477" ht="15">
      <c r="C1477" s="68"/>
    </row>
    <row r="1478" ht="15">
      <c r="C1478" s="68"/>
    </row>
    <row r="1479" ht="15">
      <c r="C1479" s="68"/>
    </row>
    <row r="1480" ht="15">
      <c r="C1480" s="68"/>
    </row>
    <row r="1481" ht="15">
      <c r="C1481" s="68"/>
    </row>
    <row r="1482" ht="15">
      <c r="C1482" s="68"/>
    </row>
    <row r="1483" ht="15">
      <c r="C1483" s="68"/>
    </row>
    <row r="1484" ht="15">
      <c r="C1484" s="68"/>
    </row>
    <row r="1485" ht="15">
      <c r="C1485" s="68"/>
    </row>
    <row r="1486" ht="15">
      <c r="C1486" s="68"/>
    </row>
    <row r="1487" ht="15">
      <c r="C1487" s="68"/>
    </row>
    <row r="1488" ht="15">
      <c r="C1488" s="68"/>
    </row>
    <row r="1489" ht="15">
      <c r="C1489" s="68"/>
    </row>
    <row r="1490" ht="15">
      <c r="C1490" s="68"/>
    </row>
    <row r="1491" ht="15">
      <c r="C1491" s="68"/>
    </row>
    <row r="1492" ht="15">
      <c r="C1492" s="68"/>
    </row>
    <row r="1493" ht="15">
      <c r="C1493" s="68"/>
    </row>
    <row r="1494" ht="15">
      <c r="C1494" s="68"/>
    </row>
    <row r="1495" ht="15">
      <c r="C1495" s="68"/>
    </row>
    <row r="1496" ht="15">
      <c r="C1496" s="68"/>
    </row>
    <row r="1497" ht="15">
      <c r="C1497" s="68"/>
    </row>
    <row r="1498" ht="15">
      <c r="C1498" s="68"/>
    </row>
    <row r="1499" ht="15">
      <c r="C1499" s="68"/>
    </row>
    <row r="1500" ht="15">
      <c r="C1500" s="68"/>
    </row>
    <row r="1501" ht="15">
      <c r="C1501" s="68"/>
    </row>
    <row r="1502" ht="15">
      <c r="C1502" s="68"/>
    </row>
    <row r="1503" ht="15">
      <c r="C1503" s="68"/>
    </row>
    <row r="1504" ht="15">
      <c r="C1504" s="68"/>
    </row>
    <row r="1505" ht="15">
      <c r="C1505" s="68"/>
    </row>
    <row r="1506" ht="15">
      <c r="C1506" s="68"/>
    </row>
    <row r="1507" ht="15">
      <c r="C1507" s="68"/>
    </row>
    <row r="1508" ht="15">
      <c r="C1508" s="68"/>
    </row>
    <row r="1509" ht="15">
      <c r="C1509" s="68"/>
    </row>
    <row r="1510" ht="15">
      <c r="C1510" s="68"/>
    </row>
    <row r="1511" ht="15">
      <c r="C1511" s="68"/>
    </row>
    <row r="1512" ht="15">
      <c r="C1512" s="68"/>
    </row>
    <row r="1513" ht="15">
      <c r="C1513" s="68"/>
    </row>
    <row r="1514" ht="15">
      <c r="C1514" s="68"/>
    </row>
    <row r="1515" ht="15">
      <c r="C1515" s="68"/>
    </row>
    <row r="1516" ht="15">
      <c r="C1516" s="68"/>
    </row>
    <row r="1517" ht="15">
      <c r="C1517" s="68"/>
    </row>
    <row r="1518" ht="15">
      <c r="C1518" s="68"/>
    </row>
    <row r="1519" ht="15">
      <c r="C1519" s="68"/>
    </row>
    <row r="1520" ht="15">
      <c r="C1520" s="68"/>
    </row>
    <row r="1521" ht="15">
      <c r="C1521" s="68"/>
    </row>
    <row r="1522" ht="15">
      <c r="C1522" s="68"/>
    </row>
    <row r="1523" ht="15">
      <c r="C1523" s="68"/>
    </row>
    <row r="1524" ht="15">
      <c r="C1524" s="68"/>
    </row>
    <row r="1525" ht="15">
      <c r="C1525" s="68"/>
    </row>
    <row r="1526" ht="15">
      <c r="C1526" s="68"/>
    </row>
    <row r="1527" ht="15">
      <c r="C1527" s="68"/>
    </row>
    <row r="1528" ht="15">
      <c r="C1528" s="68"/>
    </row>
    <row r="1529" ht="15">
      <c r="C1529" s="68"/>
    </row>
    <row r="1530" ht="15">
      <c r="C1530" s="68"/>
    </row>
    <row r="1531" ht="15">
      <c r="C1531" s="68"/>
    </row>
    <row r="1532" ht="15">
      <c r="C1532" s="68"/>
    </row>
    <row r="1533" ht="15">
      <c r="C1533" s="68"/>
    </row>
    <row r="1534" ht="15">
      <c r="C1534" s="68"/>
    </row>
    <row r="1535" ht="15">
      <c r="C1535" s="68"/>
    </row>
    <row r="1536" ht="15">
      <c r="C1536" s="68"/>
    </row>
    <row r="1537" ht="15">
      <c r="C1537" s="68"/>
    </row>
    <row r="1538" ht="15">
      <c r="C1538" s="68"/>
    </row>
    <row r="1539" ht="15">
      <c r="C1539" s="68"/>
    </row>
    <row r="1540" ht="15">
      <c r="C1540" s="68"/>
    </row>
    <row r="1541" ht="15">
      <c r="C1541" s="68"/>
    </row>
    <row r="1542" ht="15">
      <c r="C1542" s="68"/>
    </row>
    <row r="1543" ht="15">
      <c r="C1543" s="68"/>
    </row>
    <row r="1544" ht="15">
      <c r="C1544" s="68"/>
    </row>
    <row r="1545" ht="15">
      <c r="C1545" s="68"/>
    </row>
    <row r="1546" ht="15">
      <c r="C1546" s="68"/>
    </row>
    <row r="1547" ht="15">
      <c r="C1547" s="68"/>
    </row>
    <row r="1548" ht="15">
      <c r="C1548" s="68"/>
    </row>
    <row r="1549" ht="15">
      <c r="C1549" s="68"/>
    </row>
    <row r="1550" ht="15">
      <c r="C1550" s="68"/>
    </row>
    <row r="1551" ht="15">
      <c r="C1551" s="68"/>
    </row>
    <row r="1552" ht="15">
      <c r="C1552" s="68"/>
    </row>
    <row r="1553" ht="15">
      <c r="C1553" s="68"/>
    </row>
    <row r="1554" ht="15">
      <c r="C1554" s="68"/>
    </row>
    <row r="1555" ht="15">
      <c r="C1555" s="68"/>
    </row>
    <row r="1556" ht="15">
      <c r="C1556" s="68"/>
    </row>
    <row r="1557" ht="15">
      <c r="C1557" s="68"/>
    </row>
    <row r="1558" ht="15">
      <c r="C1558" s="68"/>
    </row>
    <row r="1559" ht="15">
      <c r="C1559" s="68"/>
    </row>
    <row r="1560" ht="15">
      <c r="C1560" s="68"/>
    </row>
    <row r="1561" ht="15">
      <c r="C1561" s="68"/>
    </row>
    <row r="1562" ht="15">
      <c r="C1562" s="68"/>
    </row>
    <row r="1563" ht="15">
      <c r="C1563" s="68"/>
    </row>
    <row r="1564" ht="15">
      <c r="C1564" s="68"/>
    </row>
    <row r="1565" ht="15">
      <c r="C1565" s="68"/>
    </row>
    <row r="1566" ht="15">
      <c r="C1566" s="68"/>
    </row>
    <row r="1567" ht="15">
      <c r="C1567" s="68"/>
    </row>
    <row r="1568" ht="15">
      <c r="C1568" s="68"/>
    </row>
    <row r="1569" ht="15">
      <c r="C1569" s="68"/>
    </row>
    <row r="1570" ht="15">
      <c r="C1570" s="68"/>
    </row>
    <row r="1571" ht="15">
      <c r="C1571" s="68"/>
    </row>
    <row r="1572" ht="15">
      <c r="C1572" s="68"/>
    </row>
    <row r="1573" ht="15">
      <c r="C1573" s="68"/>
    </row>
    <row r="1574" ht="15">
      <c r="C1574" s="68"/>
    </row>
    <row r="1575" ht="15">
      <c r="C1575" s="68"/>
    </row>
    <row r="1576" ht="15">
      <c r="C1576" s="68"/>
    </row>
    <row r="1577" ht="15">
      <c r="C1577" s="68"/>
    </row>
    <row r="1578" ht="15">
      <c r="C1578" s="68"/>
    </row>
    <row r="1579" ht="15">
      <c r="C1579" s="68"/>
    </row>
    <row r="1580" ht="15">
      <c r="C1580" s="68"/>
    </row>
    <row r="1581" ht="15">
      <c r="C1581" s="68"/>
    </row>
    <row r="1582" ht="15">
      <c r="C1582" s="68"/>
    </row>
    <row r="1583" ht="15">
      <c r="C1583" s="68"/>
    </row>
    <row r="1584" ht="15">
      <c r="C1584" s="68"/>
    </row>
    <row r="1585" ht="15">
      <c r="C1585" s="68"/>
    </row>
    <row r="1586" ht="15">
      <c r="C1586" s="68"/>
    </row>
    <row r="1587" ht="15">
      <c r="C1587" s="68"/>
    </row>
    <row r="1588" ht="15">
      <c r="C1588" s="68"/>
    </row>
    <row r="1589" ht="15">
      <c r="C1589" s="68"/>
    </row>
    <row r="1590" ht="15">
      <c r="C1590" s="68"/>
    </row>
    <row r="1591" ht="15">
      <c r="C1591" s="68"/>
    </row>
    <row r="1592" ht="15">
      <c r="C1592" s="68"/>
    </row>
    <row r="1593" ht="15">
      <c r="C1593" s="68"/>
    </row>
    <row r="1594" ht="15">
      <c r="C1594" s="68"/>
    </row>
    <row r="1595" ht="15">
      <c r="C1595" s="68"/>
    </row>
    <row r="1596" ht="15">
      <c r="C1596" s="68"/>
    </row>
    <row r="1597" ht="15">
      <c r="C1597" s="68"/>
    </row>
    <row r="1598" ht="15">
      <c r="C1598" s="68"/>
    </row>
    <row r="1599" ht="15">
      <c r="C1599" s="68"/>
    </row>
    <row r="1600" ht="15">
      <c r="C1600" s="68"/>
    </row>
    <row r="1601" ht="15">
      <c r="C1601" s="68"/>
    </row>
    <row r="1602" ht="15">
      <c r="C1602" s="68"/>
    </row>
    <row r="1603" ht="15">
      <c r="C1603" s="68"/>
    </row>
    <row r="1604" ht="15">
      <c r="C1604" s="68"/>
    </row>
    <row r="1605" ht="15">
      <c r="C1605" s="68"/>
    </row>
    <row r="1606" ht="15">
      <c r="C1606" s="68"/>
    </row>
    <row r="1607" ht="15">
      <c r="C1607" s="68"/>
    </row>
    <row r="1608" ht="15">
      <c r="C1608" s="68"/>
    </row>
    <row r="1609" ht="15">
      <c r="C1609" s="68"/>
    </row>
    <row r="1610" ht="15">
      <c r="C1610" s="68"/>
    </row>
    <row r="1611" ht="15">
      <c r="C1611" s="68"/>
    </row>
    <row r="1612" ht="15">
      <c r="C1612" s="68"/>
    </row>
    <row r="1613" ht="15">
      <c r="C1613" s="68"/>
    </row>
    <row r="1614" ht="15">
      <c r="C1614" s="68"/>
    </row>
    <row r="1615" ht="15">
      <c r="C1615" s="68"/>
    </row>
    <row r="1616" ht="15">
      <c r="C1616" s="68"/>
    </row>
    <row r="1617" ht="15">
      <c r="C1617" s="68"/>
    </row>
    <row r="1618" ht="15">
      <c r="C1618" s="68"/>
    </row>
    <row r="1619" ht="15">
      <c r="C1619" s="68"/>
    </row>
    <row r="1620" ht="15">
      <c r="C1620" s="68"/>
    </row>
    <row r="1621" ht="15">
      <c r="C1621" s="68"/>
    </row>
    <row r="1622" ht="15">
      <c r="C1622" s="68"/>
    </row>
    <row r="1623" ht="15">
      <c r="C1623" s="68"/>
    </row>
    <row r="1624" ht="15">
      <c r="C1624" s="68"/>
    </row>
    <row r="1625" ht="15">
      <c r="C1625" s="68"/>
    </row>
    <row r="1626" ht="15">
      <c r="C1626" s="68"/>
    </row>
    <row r="1627" ht="15">
      <c r="C1627" s="68"/>
    </row>
    <row r="1628" ht="15">
      <c r="C1628" s="68"/>
    </row>
    <row r="1629" ht="15">
      <c r="C1629" s="68"/>
    </row>
    <row r="1630" ht="15">
      <c r="C1630" s="68"/>
    </row>
    <row r="1631" ht="15">
      <c r="C1631" s="68"/>
    </row>
    <row r="1632" ht="15">
      <c r="C1632" s="68"/>
    </row>
    <row r="1633" ht="15">
      <c r="C1633" s="68"/>
    </row>
    <row r="1634" ht="15">
      <c r="C1634" s="68"/>
    </row>
    <row r="1635" ht="15">
      <c r="C1635" s="68"/>
    </row>
    <row r="1636" ht="15">
      <c r="C1636" s="68"/>
    </row>
    <row r="1637" ht="15">
      <c r="C1637" s="68"/>
    </row>
    <row r="1638" ht="15">
      <c r="C1638" s="68"/>
    </row>
    <row r="1639" ht="15">
      <c r="C1639" s="68"/>
    </row>
    <row r="1640" ht="15">
      <c r="C1640" s="68"/>
    </row>
    <row r="1641" ht="15">
      <c r="C1641" s="68"/>
    </row>
    <row r="1642" ht="15">
      <c r="C1642" s="68"/>
    </row>
    <row r="1643" ht="15">
      <c r="C1643" s="68"/>
    </row>
    <row r="1644" ht="15">
      <c r="C1644" s="68"/>
    </row>
    <row r="1645" ht="15">
      <c r="C1645" s="68"/>
    </row>
    <row r="1646" ht="15">
      <c r="C1646" s="68"/>
    </row>
    <row r="1647" ht="15">
      <c r="C1647" s="68"/>
    </row>
    <row r="1648" ht="15">
      <c r="C1648" s="68"/>
    </row>
    <row r="1649" ht="15">
      <c r="C1649" s="68"/>
    </row>
    <row r="1650" ht="15">
      <c r="C1650" s="68"/>
    </row>
    <row r="1651" ht="15">
      <c r="C1651" s="68"/>
    </row>
    <row r="1652" ht="15">
      <c r="C1652" s="68"/>
    </row>
    <row r="1653" ht="15">
      <c r="C1653" s="68"/>
    </row>
    <row r="1654" ht="15">
      <c r="C1654" s="68"/>
    </row>
    <row r="1655" ht="15">
      <c r="C1655" s="68"/>
    </row>
    <row r="1656" ht="15">
      <c r="C1656" s="68"/>
    </row>
    <row r="1657" ht="15">
      <c r="C1657" s="68"/>
    </row>
    <row r="1658" ht="15">
      <c r="C1658" s="68"/>
    </row>
    <row r="1659" ht="15">
      <c r="C1659" s="68"/>
    </row>
    <row r="1660" ht="15">
      <c r="C1660" s="68"/>
    </row>
    <row r="1661" ht="15">
      <c r="C1661" s="68"/>
    </row>
    <row r="1662" ht="15">
      <c r="C1662" s="68"/>
    </row>
    <row r="1663" ht="15">
      <c r="C1663" s="68"/>
    </row>
    <row r="1664" ht="15">
      <c r="C1664" s="68"/>
    </row>
    <row r="1665" ht="15">
      <c r="C1665" s="68"/>
    </row>
    <row r="1666" ht="15">
      <c r="C1666" s="68"/>
    </row>
    <row r="1667" ht="15">
      <c r="C1667" s="68"/>
    </row>
    <row r="1668" ht="15">
      <c r="C1668" s="68"/>
    </row>
    <row r="1669" ht="15">
      <c r="C1669" s="68"/>
    </row>
    <row r="1670" ht="15">
      <c r="C1670" s="68"/>
    </row>
    <row r="1671" ht="15">
      <c r="C1671" s="68"/>
    </row>
    <row r="1672" ht="15">
      <c r="C1672" s="68"/>
    </row>
    <row r="1673" ht="15">
      <c r="C1673" s="68"/>
    </row>
    <row r="1674" ht="15">
      <c r="C1674" s="68"/>
    </row>
    <row r="1675" ht="15">
      <c r="C1675" s="68"/>
    </row>
    <row r="1676" ht="15">
      <c r="C1676" s="68"/>
    </row>
    <row r="1677" ht="15">
      <c r="C1677" s="68"/>
    </row>
    <row r="1678" ht="15">
      <c r="C1678" s="68"/>
    </row>
    <row r="1679" ht="15">
      <c r="C1679" s="68"/>
    </row>
    <row r="1680" ht="15">
      <c r="C1680" s="68"/>
    </row>
    <row r="1681" ht="15">
      <c r="C1681" s="68"/>
    </row>
    <row r="1682" ht="15">
      <c r="C1682" s="68"/>
    </row>
    <row r="1683" ht="15">
      <c r="C1683" s="68"/>
    </row>
    <row r="1684" ht="15">
      <c r="C1684" s="68"/>
    </row>
    <row r="1685" ht="15">
      <c r="C1685" s="68"/>
    </row>
    <row r="1686" ht="15">
      <c r="C1686" s="68"/>
    </row>
    <row r="1687" ht="15">
      <c r="C1687" s="68"/>
    </row>
    <row r="1688" ht="15">
      <c r="C1688" s="68"/>
    </row>
    <row r="1689" ht="15">
      <c r="C1689" s="68"/>
    </row>
    <row r="1690" ht="15">
      <c r="C1690" s="68"/>
    </row>
    <row r="1691" ht="15">
      <c r="C1691" s="68"/>
    </row>
    <row r="1692" ht="15">
      <c r="C1692" s="68"/>
    </row>
    <row r="1693" ht="15">
      <c r="C1693" s="68"/>
    </row>
    <row r="1694" ht="15">
      <c r="C1694" s="68"/>
    </row>
    <row r="1695" ht="15">
      <c r="C1695" s="68"/>
    </row>
    <row r="1696" ht="15">
      <c r="C1696" s="68"/>
    </row>
    <row r="1697" ht="15">
      <c r="C1697" s="68"/>
    </row>
    <row r="1698" ht="15">
      <c r="C1698" s="68"/>
    </row>
    <row r="1699" ht="15">
      <c r="C1699" s="68"/>
    </row>
    <row r="1700" ht="15">
      <c r="C1700" s="68"/>
    </row>
    <row r="1701" ht="15">
      <c r="C1701" s="68"/>
    </row>
    <row r="1702" ht="15">
      <c r="C1702" s="68"/>
    </row>
    <row r="1703" ht="15">
      <c r="C1703" s="68"/>
    </row>
    <row r="1704" ht="15">
      <c r="C1704" s="68"/>
    </row>
    <row r="1705" ht="15">
      <c r="C1705" s="68"/>
    </row>
    <row r="1706" ht="15">
      <c r="C1706" s="68"/>
    </row>
    <row r="1707" ht="15">
      <c r="C1707" s="68"/>
    </row>
    <row r="1708" ht="15">
      <c r="C1708" s="68"/>
    </row>
    <row r="1709" ht="15">
      <c r="C1709" s="68"/>
    </row>
    <row r="1710" ht="15">
      <c r="C1710" s="68"/>
    </row>
    <row r="1711" ht="15">
      <c r="C1711" s="68"/>
    </row>
    <row r="1712" ht="15">
      <c r="C1712" s="68"/>
    </row>
    <row r="1713" ht="15">
      <c r="C1713" s="68"/>
    </row>
    <row r="1714" ht="15">
      <c r="C1714" s="68"/>
    </row>
    <row r="1715" ht="15">
      <c r="C1715" s="68"/>
    </row>
    <row r="1716" ht="15">
      <c r="C1716" s="68"/>
    </row>
    <row r="1717" ht="15">
      <c r="C1717" s="68"/>
    </row>
    <row r="1718" ht="15">
      <c r="C1718" s="68"/>
    </row>
    <row r="1719" ht="15">
      <c r="C1719" s="68"/>
    </row>
    <row r="1720" ht="15">
      <c r="C1720" s="68"/>
    </row>
    <row r="1721" ht="15">
      <c r="C1721" s="68"/>
    </row>
    <row r="1722" ht="15">
      <c r="C1722" s="68"/>
    </row>
    <row r="1723" ht="15">
      <c r="C1723" s="68"/>
    </row>
    <row r="1724" ht="15">
      <c r="C1724" s="68"/>
    </row>
    <row r="1725" ht="15">
      <c r="C1725" s="68"/>
    </row>
    <row r="1726" ht="15">
      <c r="C1726" s="68"/>
    </row>
    <row r="1727" ht="15">
      <c r="C1727" s="68"/>
    </row>
    <row r="1728" ht="15">
      <c r="C1728" s="68"/>
    </row>
    <row r="1729" ht="15">
      <c r="C1729" s="68"/>
    </row>
    <row r="1730" ht="15">
      <c r="C1730" s="68"/>
    </row>
    <row r="1731" ht="15">
      <c r="C1731" s="68"/>
    </row>
    <row r="1732" ht="15">
      <c r="C1732" s="68"/>
    </row>
    <row r="1733" ht="15">
      <c r="C1733" s="68"/>
    </row>
    <row r="1734" ht="15">
      <c r="C1734" s="68"/>
    </row>
    <row r="1735" ht="15">
      <c r="C1735" s="68"/>
    </row>
    <row r="1736" ht="15">
      <c r="C1736" s="68"/>
    </row>
    <row r="1737" ht="15">
      <c r="C1737" s="68"/>
    </row>
    <row r="1738" ht="15">
      <c r="C1738" s="68"/>
    </row>
    <row r="1739" ht="15">
      <c r="C1739" s="68"/>
    </row>
    <row r="1740" ht="15">
      <c r="C1740" s="68"/>
    </row>
    <row r="1741" ht="15">
      <c r="C1741" s="68"/>
    </row>
    <row r="1742" ht="15">
      <c r="C1742" s="68"/>
    </row>
    <row r="1743" ht="15">
      <c r="C1743" s="68"/>
    </row>
    <row r="1744" ht="15">
      <c r="C1744" s="68"/>
    </row>
    <row r="1745" ht="15">
      <c r="C1745" s="68"/>
    </row>
    <row r="1746" ht="15">
      <c r="C1746" s="68"/>
    </row>
    <row r="1747" ht="15">
      <c r="C1747" s="68"/>
    </row>
    <row r="1748" ht="15">
      <c r="C1748" s="68"/>
    </row>
    <row r="1749" ht="15">
      <c r="C1749" s="68"/>
    </row>
    <row r="1750" ht="15">
      <c r="C1750" s="68"/>
    </row>
    <row r="1751" ht="15">
      <c r="C1751" s="68"/>
    </row>
    <row r="1752" ht="15">
      <c r="C1752" s="68"/>
    </row>
    <row r="1753" ht="15">
      <c r="C1753" s="68"/>
    </row>
    <row r="1754" ht="15">
      <c r="C1754" s="68"/>
    </row>
    <row r="1755" ht="15">
      <c r="C1755" s="68"/>
    </row>
    <row r="1756" ht="15">
      <c r="C1756" s="68"/>
    </row>
    <row r="1757" ht="15">
      <c r="C1757" s="68"/>
    </row>
    <row r="1758" ht="15">
      <c r="C1758" s="68"/>
    </row>
    <row r="1759" ht="15">
      <c r="C1759" s="68"/>
    </row>
    <row r="1760" ht="15">
      <c r="C1760" s="68"/>
    </row>
    <row r="1761" ht="15">
      <c r="C1761" s="68"/>
    </row>
    <row r="1762" ht="15">
      <c r="C1762" s="68"/>
    </row>
    <row r="1763" ht="15">
      <c r="C1763" s="68"/>
    </row>
    <row r="1764" ht="15">
      <c r="C1764" s="68"/>
    </row>
    <row r="1765" ht="15">
      <c r="C1765" s="68"/>
    </row>
    <row r="1766" ht="15">
      <c r="C1766" s="68"/>
    </row>
    <row r="1767" ht="15">
      <c r="C1767" s="68"/>
    </row>
    <row r="1768" ht="15">
      <c r="C1768" s="68"/>
    </row>
    <row r="1769" ht="15">
      <c r="C1769" s="68"/>
    </row>
    <row r="1770" ht="15">
      <c r="C1770" s="68"/>
    </row>
    <row r="1771" ht="15">
      <c r="C1771" s="68"/>
    </row>
    <row r="1772" ht="15">
      <c r="C1772" s="68"/>
    </row>
    <row r="1773" ht="15">
      <c r="C1773" s="68"/>
    </row>
    <row r="1774" ht="15">
      <c r="C1774" s="68"/>
    </row>
    <row r="1775" ht="15">
      <c r="C1775" s="68"/>
    </row>
    <row r="1776" ht="15">
      <c r="C1776" s="68"/>
    </row>
    <row r="1777" ht="15">
      <c r="C1777" s="68"/>
    </row>
    <row r="1778" ht="15">
      <c r="C1778" s="68"/>
    </row>
    <row r="1779" ht="15">
      <c r="C1779" s="68"/>
    </row>
    <row r="1780" ht="15">
      <c r="C1780" s="68"/>
    </row>
    <row r="1781" ht="15">
      <c r="C1781" s="68"/>
    </row>
    <row r="1782" ht="15">
      <c r="C1782" s="68"/>
    </row>
    <row r="1783" ht="15">
      <c r="C1783" s="68"/>
    </row>
    <row r="1784" ht="15">
      <c r="C1784" s="68"/>
    </row>
    <row r="1785" ht="15">
      <c r="C1785" s="68"/>
    </row>
    <row r="1786" ht="15">
      <c r="C1786" s="68"/>
    </row>
    <row r="1787" ht="15">
      <c r="C1787" s="68"/>
    </row>
    <row r="1788" ht="15">
      <c r="C1788" s="68"/>
    </row>
    <row r="1789" ht="15">
      <c r="C1789" s="68"/>
    </row>
    <row r="1790" ht="15">
      <c r="C1790" s="68"/>
    </row>
    <row r="1791" ht="15">
      <c r="C1791" s="68"/>
    </row>
    <row r="1792" ht="15">
      <c r="C1792" s="68"/>
    </row>
    <row r="1793" ht="15">
      <c r="C1793" s="68"/>
    </row>
    <row r="1794" ht="15">
      <c r="C1794" s="68"/>
    </row>
    <row r="1795" ht="15">
      <c r="C1795" s="68"/>
    </row>
    <row r="1796" ht="15">
      <c r="C1796" s="68"/>
    </row>
    <row r="1797" ht="15">
      <c r="C1797" s="68"/>
    </row>
    <row r="1798" ht="15">
      <c r="C1798" s="68"/>
    </row>
    <row r="1799" ht="15">
      <c r="C1799" s="68"/>
    </row>
    <row r="1800" ht="15">
      <c r="C1800" s="68"/>
    </row>
    <row r="1801" ht="15">
      <c r="C1801" s="68"/>
    </row>
    <row r="1802" ht="15">
      <c r="C1802" s="68"/>
    </row>
    <row r="1803" ht="15">
      <c r="C1803" s="68"/>
    </row>
    <row r="1804" ht="15">
      <c r="C1804" s="68"/>
    </row>
    <row r="1805" ht="15">
      <c r="C1805" s="68"/>
    </row>
    <row r="1806" ht="15">
      <c r="C1806" s="68"/>
    </row>
    <row r="1807" ht="15">
      <c r="C1807" s="68"/>
    </row>
    <row r="1808" ht="15">
      <c r="C1808" s="68"/>
    </row>
    <row r="1809" ht="15">
      <c r="C1809" s="68"/>
    </row>
    <row r="1810" ht="15">
      <c r="C1810" s="68"/>
    </row>
    <row r="1811" ht="15">
      <c r="C1811" s="68"/>
    </row>
    <row r="1812" ht="15">
      <c r="C1812" s="68"/>
    </row>
    <row r="1813" ht="15">
      <c r="C1813" s="68"/>
    </row>
    <row r="1814" ht="15">
      <c r="C1814" s="68"/>
    </row>
    <row r="1815" ht="15">
      <c r="C1815" s="68"/>
    </row>
    <row r="1816" ht="15">
      <c r="C1816" s="68"/>
    </row>
    <row r="1817" ht="15">
      <c r="C1817" s="68"/>
    </row>
    <row r="1818" ht="15">
      <c r="C1818" s="68"/>
    </row>
    <row r="1819" ht="15">
      <c r="C1819" s="68"/>
    </row>
    <row r="1820" ht="15">
      <c r="C1820" s="68"/>
    </row>
    <row r="1821" ht="15">
      <c r="C1821" s="68"/>
    </row>
    <row r="1822" ht="15">
      <c r="C1822" s="68"/>
    </row>
    <row r="1823" ht="15">
      <c r="C1823" s="68"/>
    </row>
    <row r="1824" ht="15">
      <c r="C1824" s="68"/>
    </row>
    <row r="1825" ht="15">
      <c r="C1825" s="68"/>
    </row>
    <row r="1826" ht="15">
      <c r="C1826" s="68"/>
    </row>
    <row r="1827" ht="15">
      <c r="C1827" s="68"/>
    </row>
    <row r="1828" ht="15">
      <c r="C1828" s="68"/>
    </row>
    <row r="1829" ht="15">
      <c r="C1829" s="68"/>
    </row>
    <row r="1830" ht="15">
      <c r="C1830" s="68"/>
    </row>
    <row r="1831" ht="15">
      <c r="C1831" s="68"/>
    </row>
    <row r="1832" ht="15">
      <c r="C1832" s="68"/>
    </row>
    <row r="1833" ht="15">
      <c r="C1833" s="68"/>
    </row>
    <row r="1834" ht="15">
      <c r="C1834" s="68"/>
    </row>
    <row r="1835" ht="15">
      <c r="C1835" s="68"/>
    </row>
    <row r="1836" ht="15">
      <c r="C1836" s="68"/>
    </row>
    <row r="1837" ht="15">
      <c r="C1837" s="68"/>
    </row>
    <row r="1838" ht="15">
      <c r="C1838" s="68"/>
    </row>
    <row r="1839" ht="15">
      <c r="C1839" s="68"/>
    </row>
    <row r="1840" ht="15">
      <c r="C1840" s="68"/>
    </row>
    <row r="1841" ht="15">
      <c r="C1841" s="68"/>
    </row>
    <row r="1842" ht="15">
      <c r="C1842" s="68"/>
    </row>
    <row r="1843" ht="15">
      <c r="C1843" s="68"/>
    </row>
    <row r="1844" ht="15">
      <c r="C1844" s="68"/>
    </row>
    <row r="1845" ht="15">
      <c r="C1845" s="68"/>
    </row>
    <row r="1846" ht="15">
      <c r="C1846" s="68"/>
    </row>
    <row r="1847" ht="15">
      <c r="C1847" s="68"/>
    </row>
    <row r="1848" ht="15">
      <c r="C1848" s="68"/>
    </row>
    <row r="1849" ht="15">
      <c r="C1849" s="68"/>
    </row>
    <row r="1850" ht="15">
      <c r="C1850" s="68"/>
    </row>
    <row r="1851" ht="15">
      <c r="C1851" s="68"/>
    </row>
    <row r="1852" ht="15">
      <c r="C1852" s="68"/>
    </row>
    <row r="1853" ht="15">
      <c r="C1853" s="68"/>
    </row>
    <row r="1854" ht="15">
      <c r="C1854" s="68"/>
    </row>
    <row r="1855" ht="15">
      <c r="C1855" s="68"/>
    </row>
    <row r="1856" ht="15">
      <c r="C1856" s="68"/>
    </row>
    <row r="1857" ht="15">
      <c r="C1857" s="68"/>
    </row>
    <row r="1858" ht="15">
      <c r="C1858" s="68"/>
    </row>
    <row r="1859" ht="15">
      <c r="C1859" s="68"/>
    </row>
    <row r="1860" ht="15">
      <c r="C1860" s="68"/>
    </row>
    <row r="1861" ht="15">
      <c r="C1861" s="68"/>
    </row>
    <row r="1862" ht="15">
      <c r="C1862" s="68"/>
    </row>
    <row r="1863" ht="15">
      <c r="C1863" s="68"/>
    </row>
    <row r="1864" ht="15">
      <c r="C1864" s="68"/>
    </row>
    <row r="1865" ht="15">
      <c r="C1865" s="68"/>
    </row>
    <row r="1866" ht="15">
      <c r="C1866" s="68"/>
    </row>
    <row r="1867" ht="15">
      <c r="C1867" s="68"/>
    </row>
    <row r="1868" ht="15">
      <c r="C1868" s="68"/>
    </row>
    <row r="1869" ht="15">
      <c r="C1869" s="68"/>
    </row>
    <row r="1870" ht="15">
      <c r="C1870" s="68"/>
    </row>
    <row r="1871" ht="15">
      <c r="C1871" s="68"/>
    </row>
    <row r="1872" ht="15">
      <c r="C1872" s="68"/>
    </row>
    <row r="1873" ht="15">
      <c r="C1873" s="68"/>
    </row>
    <row r="1874" ht="15">
      <c r="C1874" s="68"/>
    </row>
    <row r="1875" ht="15">
      <c r="C1875" s="68"/>
    </row>
    <row r="1876" ht="15">
      <c r="C1876" s="68"/>
    </row>
    <row r="1877" ht="15">
      <c r="C1877" s="68"/>
    </row>
    <row r="1878" ht="15">
      <c r="C1878" s="68"/>
    </row>
    <row r="1879" ht="15">
      <c r="C1879" s="68"/>
    </row>
    <row r="1880" ht="15">
      <c r="C1880" s="68"/>
    </row>
    <row r="1881" ht="15">
      <c r="C1881" s="68"/>
    </row>
    <row r="1882" ht="15">
      <c r="C1882" s="68"/>
    </row>
    <row r="1883" ht="15">
      <c r="C1883" s="68"/>
    </row>
    <row r="1884" ht="15">
      <c r="C1884" s="68"/>
    </row>
    <row r="1885" ht="15">
      <c r="C1885" s="68"/>
    </row>
    <row r="1886" ht="15">
      <c r="C1886" s="68"/>
    </row>
    <row r="1887" ht="15">
      <c r="C1887" s="68"/>
    </row>
    <row r="1888" ht="15">
      <c r="C1888" s="68"/>
    </row>
    <row r="1889" ht="15">
      <c r="C1889" s="68"/>
    </row>
    <row r="1890" ht="15">
      <c r="C1890" s="68"/>
    </row>
    <row r="1891" ht="15">
      <c r="C1891" s="68"/>
    </row>
    <row r="1892" ht="15">
      <c r="C1892" s="68"/>
    </row>
    <row r="1893" ht="15">
      <c r="C1893" s="68"/>
    </row>
    <row r="1894" ht="15">
      <c r="C1894" s="68"/>
    </row>
    <row r="1895" ht="15">
      <c r="C1895" s="68"/>
    </row>
    <row r="1896" ht="15">
      <c r="C1896" s="68"/>
    </row>
    <row r="1897" ht="15">
      <c r="C1897" s="68"/>
    </row>
    <row r="1898" ht="15">
      <c r="C1898" s="68"/>
    </row>
    <row r="1899" ht="15">
      <c r="C1899" s="68"/>
    </row>
    <row r="1900" ht="15">
      <c r="C1900" s="68"/>
    </row>
    <row r="1901" ht="15">
      <c r="C1901" s="68"/>
    </row>
    <row r="1902" ht="15">
      <c r="C1902" s="68"/>
    </row>
    <row r="1903" ht="15">
      <c r="C1903" s="68"/>
    </row>
    <row r="1904" ht="15">
      <c r="C1904" s="68"/>
    </row>
    <row r="1905" ht="15">
      <c r="C1905" s="68"/>
    </row>
    <row r="1906" ht="15">
      <c r="C1906" s="68"/>
    </row>
    <row r="1907" ht="15">
      <c r="C1907" s="68"/>
    </row>
    <row r="1908" ht="15">
      <c r="C1908" s="68"/>
    </row>
    <row r="1909" ht="15">
      <c r="C1909" s="68"/>
    </row>
    <row r="1910" ht="15">
      <c r="C1910" s="68"/>
    </row>
    <row r="1911" ht="15">
      <c r="C1911" s="68"/>
    </row>
    <row r="1912" ht="15">
      <c r="C1912" s="68"/>
    </row>
    <row r="1913" ht="15">
      <c r="C1913" s="68"/>
    </row>
    <row r="1914" ht="15">
      <c r="C1914" s="68"/>
    </row>
    <row r="1915" ht="15">
      <c r="C1915" s="68"/>
    </row>
    <row r="1916" ht="15">
      <c r="C1916" s="68"/>
    </row>
    <row r="1917" ht="15">
      <c r="C1917" s="68"/>
    </row>
    <row r="1918" ht="15">
      <c r="C1918" s="68"/>
    </row>
    <row r="1919" ht="15">
      <c r="C1919" s="68"/>
    </row>
    <row r="1920" ht="15">
      <c r="C1920" s="68"/>
    </row>
    <row r="1921" ht="15">
      <c r="C1921" s="68"/>
    </row>
    <row r="1922" ht="15">
      <c r="C1922" s="68"/>
    </row>
    <row r="1923" ht="15">
      <c r="C1923" s="68"/>
    </row>
    <row r="1924" ht="15">
      <c r="C1924" s="68"/>
    </row>
    <row r="1925" ht="15">
      <c r="C1925" s="68"/>
    </row>
    <row r="1926" ht="15">
      <c r="C1926" s="68"/>
    </row>
    <row r="1927" ht="15">
      <c r="C1927" s="68"/>
    </row>
    <row r="1928" ht="15">
      <c r="C1928" s="68"/>
    </row>
    <row r="1929" ht="15">
      <c r="C1929" s="68"/>
    </row>
    <row r="1930" ht="15">
      <c r="C1930" s="68"/>
    </row>
    <row r="1931" ht="15">
      <c r="C1931" s="68"/>
    </row>
    <row r="1932" ht="15">
      <c r="C1932" s="68"/>
    </row>
    <row r="1933" ht="15">
      <c r="C1933" s="68"/>
    </row>
    <row r="1934" ht="15">
      <c r="C1934" s="68"/>
    </row>
    <row r="1935" ht="15">
      <c r="C1935" s="68"/>
    </row>
    <row r="1936" ht="15">
      <c r="C1936" s="68"/>
    </row>
    <row r="1937" ht="15">
      <c r="C1937" s="68"/>
    </row>
    <row r="1938" ht="15">
      <c r="C1938" s="68"/>
    </row>
    <row r="1939" ht="15">
      <c r="C1939" s="68"/>
    </row>
    <row r="1940" ht="15">
      <c r="C1940" s="68"/>
    </row>
    <row r="1941" ht="15">
      <c r="C1941" s="68"/>
    </row>
    <row r="1942" ht="15">
      <c r="C1942" s="68"/>
    </row>
    <row r="1943" ht="15">
      <c r="C1943" s="68"/>
    </row>
    <row r="1944" ht="15">
      <c r="C1944" s="68"/>
    </row>
    <row r="1945" ht="15">
      <c r="C1945" s="68"/>
    </row>
    <row r="1946" ht="15">
      <c r="C1946" s="68"/>
    </row>
    <row r="1947" ht="15">
      <c r="C1947" s="68"/>
    </row>
    <row r="1948" ht="15">
      <c r="C1948" s="68"/>
    </row>
    <row r="1949" ht="15">
      <c r="C1949" s="68"/>
    </row>
    <row r="1950" ht="15">
      <c r="C1950" s="68"/>
    </row>
    <row r="1951" ht="15">
      <c r="C1951" s="68"/>
    </row>
    <row r="1952" ht="15">
      <c r="C1952" s="68"/>
    </row>
    <row r="1953" ht="15">
      <c r="C1953" s="68"/>
    </row>
    <row r="1954" ht="15">
      <c r="C1954" s="68"/>
    </row>
    <row r="1955" ht="15">
      <c r="C1955" s="68"/>
    </row>
    <row r="1956" ht="15">
      <c r="C1956" s="68"/>
    </row>
    <row r="1957" ht="15">
      <c r="C1957" s="68"/>
    </row>
    <row r="1958" ht="15">
      <c r="C1958" s="68"/>
    </row>
    <row r="1959" ht="15">
      <c r="C1959" s="68"/>
    </row>
    <row r="1960" ht="15">
      <c r="C1960" s="68"/>
    </row>
    <row r="1961" ht="15">
      <c r="C1961" s="68"/>
    </row>
    <row r="1962" ht="15">
      <c r="C1962" s="68"/>
    </row>
    <row r="1963" ht="15">
      <c r="C1963" s="68"/>
    </row>
    <row r="1964" ht="15">
      <c r="C1964" s="68"/>
    </row>
    <row r="1965" ht="15">
      <c r="C1965" s="68"/>
    </row>
    <row r="1966" ht="15">
      <c r="C1966" s="68"/>
    </row>
    <row r="1967" ht="15">
      <c r="C1967" s="68"/>
    </row>
    <row r="1968" ht="15">
      <c r="C1968" s="68"/>
    </row>
    <row r="1969" ht="15">
      <c r="C1969" s="68"/>
    </row>
    <row r="1970" ht="15">
      <c r="C1970" s="68"/>
    </row>
    <row r="1971" ht="15">
      <c r="C1971" s="68"/>
    </row>
    <row r="1972" ht="15">
      <c r="C1972" s="68"/>
    </row>
    <row r="1973" ht="15">
      <c r="C1973" s="68"/>
    </row>
    <row r="1974" ht="15">
      <c r="C1974" s="68"/>
    </row>
    <row r="1975" ht="15">
      <c r="C1975" s="68"/>
    </row>
    <row r="1976" ht="15">
      <c r="C1976" s="68"/>
    </row>
    <row r="1977" ht="15">
      <c r="C1977" s="68"/>
    </row>
    <row r="1978" ht="15">
      <c r="C1978" s="68"/>
    </row>
    <row r="1979" ht="15">
      <c r="C1979" s="68"/>
    </row>
    <row r="1980" ht="15">
      <c r="C1980" s="68"/>
    </row>
    <row r="1981" ht="15">
      <c r="C1981" s="68"/>
    </row>
    <row r="1982" ht="15">
      <c r="C1982" s="68"/>
    </row>
    <row r="1983" ht="15">
      <c r="C1983" s="68"/>
    </row>
    <row r="1984" ht="15">
      <c r="C1984" s="68"/>
    </row>
    <row r="1985" ht="15">
      <c r="C1985" s="68"/>
    </row>
    <row r="1986" ht="15">
      <c r="C1986" s="68"/>
    </row>
    <row r="1987" ht="15">
      <c r="C1987" s="68"/>
    </row>
    <row r="1988" ht="15">
      <c r="C1988" s="68"/>
    </row>
    <row r="1989" ht="15">
      <c r="C1989" s="68"/>
    </row>
    <row r="1990" ht="15">
      <c r="C1990" s="68"/>
    </row>
    <row r="1991" ht="15">
      <c r="C1991" s="68"/>
    </row>
    <row r="1992" ht="15">
      <c r="C1992" s="68"/>
    </row>
    <row r="1993" ht="15">
      <c r="C1993" s="68"/>
    </row>
    <row r="1994" ht="15">
      <c r="C1994" s="68"/>
    </row>
    <row r="1995" ht="15">
      <c r="C1995" s="68"/>
    </row>
    <row r="1996" ht="15">
      <c r="C1996" s="68"/>
    </row>
    <row r="1997" ht="15">
      <c r="C1997" s="68"/>
    </row>
    <row r="1998" ht="15">
      <c r="C1998" s="68"/>
    </row>
    <row r="1999" ht="15">
      <c r="C1999" s="68"/>
    </row>
    <row r="2000" ht="15">
      <c r="C2000" s="68"/>
    </row>
    <row r="2001" ht="15">
      <c r="C2001" s="68"/>
    </row>
    <row r="2002" ht="15">
      <c r="C2002" s="68"/>
    </row>
    <row r="2003" ht="15">
      <c r="C2003" s="68"/>
    </row>
    <row r="2004" ht="15">
      <c r="C2004" s="68"/>
    </row>
    <row r="2005" ht="15">
      <c r="C2005" s="68"/>
    </row>
    <row r="2006" ht="15">
      <c r="C2006" s="68"/>
    </row>
    <row r="2007" ht="15">
      <c r="C2007" s="68"/>
    </row>
    <row r="2008" ht="15">
      <c r="C2008" s="68"/>
    </row>
    <row r="2009" ht="15">
      <c r="C2009" s="68"/>
    </row>
    <row r="2010" ht="15">
      <c r="C2010" s="68"/>
    </row>
    <row r="2011" ht="15">
      <c r="C2011" s="68"/>
    </row>
    <row r="2012" ht="15">
      <c r="C2012" s="68"/>
    </row>
    <row r="2013" ht="15">
      <c r="C2013" s="68"/>
    </row>
    <row r="2014" ht="15">
      <c r="C2014" s="68"/>
    </row>
    <row r="2015" ht="15">
      <c r="C2015" s="68"/>
    </row>
    <row r="2016" ht="15">
      <c r="C2016" s="68"/>
    </row>
    <row r="2017" ht="15">
      <c r="C2017" s="68"/>
    </row>
    <row r="2018" ht="15">
      <c r="C2018" s="68"/>
    </row>
    <row r="2019" ht="15">
      <c r="C2019" s="68"/>
    </row>
    <row r="2020" ht="15">
      <c r="C2020" s="68"/>
    </row>
    <row r="2021" ht="15">
      <c r="C2021" s="68"/>
    </row>
    <row r="2022" ht="15">
      <c r="C2022" s="68"/>
    </row>
    <row r="2023" ht="15">
      <c r="C2023" s="68"/>
    </row>
    <row r="2024" ht="15">
      <c r="C2024" s="68"/>
    </row>
    <row r="2025" ht="15">
      <c r="C2025" s="68"/>
    </row>
    <row r="2026" ht="15">
      <c r="C2026" s="68"/>
    </row>
    <row r="2027" ht="15">
      <c r="C2027" s="68"/>
    </row>
    <row r="2028" ht="15">
      <c r="C2028" s="68"/>
    </row>
    <row r="2029" ht="15">
      <c r="C2029" s="68"/>
    </row>
    <row r="2030" ht="15">
      <c r="C2030" s="68"/>
    </row>
    <row r="2031" ht="15">
      <c r="C2031" s="68"/>
    </row>
    <row r="2032" ht="15">
      <c r="C2032" s="68"/>
    </row>
    <row r="2033" ht="15">
      <c r="C2033" s="68"/>
    </row>
    <row r="2034" ht="15">
      <c r="C2034" s="68"/>
    </row>
    <row r="2035" ht="15">
      <c r="C2035" s="68"/>
    </row>
    <row r="2036" ht="15">
      <c r="C2036" s="68"/>
    </row>
    <row r="2037" ht="15">
      <c r="C2037" s="68"/>
    </row>
    <row r="2038" ht="15">
      <c r="C2038" s="68"/>
    </row>
    <row r="2039" ht="15">
      <c r="C2039" s="68"/>
    </row>
    <row r="2040" ht="15">
      <c r="C2040" s="68"/>
    </row>
    <row r="2041" ht="15">
      <c r="C2041" s="68"/>
    </row>
    <row r="2042" ht="15">
      <c r="C2042" s="68"/>
    </row>
    <row r="2043" ht="15">
      <c r="C2043" s="68"/>
    </row>
    <row r="2044" ht="15">
      <c r="C2044" s="68"/>
    </row>
    <row r="2045" ht="15">
      <c r="C2045" s="68"/>
    </row>
    <row r="2046" ht="15">
      <c r="C2046" s="68"/>
    </row>
    <row r="2047" ht="15">
      <c r="C2047" s="68"/>
    </row>
    <row r="2048" ht="15">
      <c r="C2048" s="68"/>
    </row>
    <row r="2049" ht="15">
      <c r="C2049" s="68"/>
    </row>
    <row r="2050" ht="15">
      <c r="C2050" s="68"/>
    </row>
    <row r="2051" ht="15">
      <c r="C2051" s="68"/>
    </row>
    <row r="2052" ht="15">
      <c r="C2052" s="68"/>
    </row>
    <row r="2053" ht="15">
      <c r="C2053" s="68"/>
    </row>
    <row r="2054" ht="15">
      <c r="C2054" s="68"/>
    </row>
    <row r="2055" ht="15">
      <c r="C2055" s="68"/>
    </row>
    <row r="2056" ht="15">
      <c r="C2056" s="68"/>
    </row>
    <row r="2057" ht="15">
      <c r="C2057" s="68"/>
    </row>
    <row r="2058" ht="15">
      <c r="C2058" s="68"/>
    </row>
    <row r="2059" ht="15">
      <c r="C2059" s="68"/>
    </row>
    <row r="2060" ht="15">
      <c r="C2060" s="68"/>
    </row>
    <row r="2061" ht="15">
      <c r="C2061" s="68"/>
    </row>
    <row r="2062" ht="15">
      <c r="C2062" s="68"/>
    </row>
    <row r="2063" ht="15">
      <c r="C2063" s="68"/>
    </row>
    <row r="2064" ht="15">
      <c r="C2064" s="68"/>
    </row>
    <row r="2065" ht="15">
      <c r="C2065" s="68"/>
    </row>
    <row r="2066" ht="15">
      <c r="C2066" s="68"/>
    </row>
    <row r="2067" ht="15">
      <c r="C2067" s="68"/>
    </row>
    <row r="2068" ht="15">
      <c r="C2068" s="68"/>
    </row>
    <row r="2069" ht="15">
      <c r="C2069" s="68"/>
    </row>
    <row r="2070" ht="15">
      <c r="C2070" s="68"/>
    </row>
    <row r="2071" ht="15">
      <c r="C2071" s="68"/>
    </row>
    <row r="2072" ht="15">
      <c r="C2072" s="68"/>
    </row>
    <row r="2073" ht="15">
      <c r="C2073" s="68"/>
    </row>
    <row r="2074" ht="15">
      <c r="C2074" s="68"/>
    </row>
    <row r="2075" ht="15">
      <c r="C2075" s="68"/>
    </row>
    <row r="2076" ht="15">
      <c r="C2076" s="68"/>
    </row>
    <row r="2077" ht="15">
      <c r="C2077" s="68"/>
    </row>
    <row r="2078" ht="15">
      <c r="C2078" s="68"/>
    </row>
    <row r="2079" ht="15">
      <c r="C2079" s="68"/>
    </row>
    <row r="2080" ht="15">
      <c r="C2080" s="68"/>
    </row>
    <row r="2081" ht="15">
      <c r="C2081" s="68"/>
    </row>
    <row r="2082" ht="15">
      <c r="C2082" s="68"/>
    </row>
    <row r="2083" ht="15">
      <c r="C2083" s="68"/>
    </row>
    <row r="2084" ht="15">
      <c r="C2084" s="68"/>
    </row>
    <row r="2085" ht="15">
      <c r="C2085" s="68"/>
    </row>
    <row r="2086" ht="15">
      <c r="C2086" s="68"/>
    </row>
    <row r="2087" ht="15">
      <c r="C2087" s="68"/>
    </row>
    <row r="2088" ht="15">
      <c r="C2088" s="68"/>
    </row>
    <row r="2089" ht="15">
      <c r="C2089" s="68"/>
    </row>
    <row r="2090" ht="15">
      <c r="C2090" s="68"/>
    </row>
    <row r="2091" ht="15">
      <c r="C2091" s="68"/>
    </row>
    <row r="2092" ht="15">
      <c r="C2092" s="68"/>
    </row>
    <row r="2093" ht="15">
      <c r="C2093" s="68"/>
    </row>
    <row r="2094" ht="15">
      <c r="C2094" s="68"/>
    </row>
    <row r="2095" ht="15">
      <c r="C2095" s="68"/>
    </row>
    <row r="2096" ht="15">
      <c r="C2096" s="68"/>
    </row>
    <row r="2097" ht="15">
      <c r="C2097" s="68"/>
    </row>
    <row r="2098" ht="15">
      <c r="C2098" s="68"/>
    </row>
    <row r="2099" ht="15">
      <c r="C2099" s="68"/>
    </row>
    <row r="2100" ht="15">
      <c r="C2100" s="68"/>
    </row>
    <row r="2101" ht="15">
      <c r="C2101" s="68"/>
    </row>
    <row r="2102" ht="15">
      <c r="C2102" s="68"/>
    </row>
    <row r="2103" ht="15">
      <c r="C2103" s="68"/>
    </row>
    <row r="2104" ht="15">
      <c r="C2104" s="68"/>
    </row>
    <row r="2105" ht="15">
      <c r="C2105" s="68"/>
    </row>
    <row r="2106" ht="15">
      <c r="C2106" s="68"/>
    </row>
    <row r="2107" ht="15">
      <c r="C2107" s="68"/>
    </row>
    <row r="2108" ht="15">
      <c r="C2108" s="68"/>
    </row>
    <row r="2109" ht="15">
      <c r="C2109" s="68"/>
    </row>
    <row r="2110" ht="15">
      <c r="C2110" s="68"/>
    </row>
    <row r="2111" ht="15">
      <c r="C2111" s="68"/>
    </row>
    <row r="2112" ht="15">
      <c r="C2112" s="68"/>
    </row>
    <row r="2113" ht="15">
      <c r="C2113" s="68"/>
    </row>
    <row r="2114" ht="15">
      <c r="C2114" s="68"/>
    </row>
    <row r="2115" ht="15">
      <c r="C2115" s="68"/>
    </row>
    <row r="2116" ht="15">
      <c r="C2116" s="68"/>
    </row>
    <row r="2117" ht="15">
      <c r="C2117" s="68"/>
    </row>
    <row r="2118" ht="15">
      <c r="C2118" s="68"/>
    </row>
    <row r="2119" ht="15">
      <c r="C2119" s="68"/>
    </row>
    <row r="2120" ht="15">
      <c r="C2120" s="68"/>
    </row>
    <row r="2121" ht="15">
      <c r="C2121" s="68"/>
    </row>
    <row r="2122" ht="15">
      <c r="C2122" s="68"/>
    </row>
    <row r="2123" ht="15">
      <c r="C2123" s="68"/>
    </row>
    <row r="2124" ht="15">
      <c r="C2124" s="68"/>
    </row>
    <row r="2125" ht="15">
      <c r="C2125" s="68"/>
    </row>
    <row r="2126" ht="15">
      <c r="C2126" s="68"/>
    </row>
    <row r="2127" ht="15">
      <c r="C2127" s="68"/>
    </row>
    <row r="2128" ht="15">
      <c r="C2128" s="68"/>
    </row>
    <row r="2129" ht="15">
      <c r="C2129" s="68"/>
    </row>
    <row r="2130" ht="15">
      <c r="C2130" s="68"/>
    </row>
    <row r="2131" ht="15">
      <c r="C2131" s="68"/>
    </row>
    <row r="2132" ht="15">
      <c r="C2132" s="68"/>
    </row>
    <row r="2133" ht="15">
      <c r="C2133" s="68"/>
    </row>
    <row r="2134" ht="15">
      <c r="C2134" s="68"/>
    </row>
    <row r="2135" ht="15">
      <c r="C2135" s="68"/>
    </row>
    <row r="2136" ht="15">
      <c r="C2136" s="68"/>
    </row>
    <row r="2137" ht="15">
      <c r="C2137" s="68"/>
    </row>
    <row r="2138" ht="15">
      <c r="C2138" s="68"/>
    </row>
    <row r="2139" ht="15">
      <c r="C2139" s="68"/>
    </row>
    <row r="2140" ht="15">
      <c r="C2140" s="68"/>
    </row>
    <row r="2141" ht="15">
      <c r="C2141" s="68"/>
    </row>
    <row r="2142" ht="15">
      <c r="C2142" s="68"/>
    </row>
    <row r="2143" ht="15">
      <c r="C2143" s="68"/>
    </row>
    <row r="2144" ht="15">
      <c r="C2144" s="68"/>
    </row>
    <row r="2145" ht="15">
      <c r="C2145" s="68"/>
    </row>
    <row r="2146" ht="15">
      <c r="C2146" s="68"/>
    </row>
    <row r="2147" ht="15">
      <c r="C2147" s="68"/>
    </row>
    <row r="2148" ht="15">
      <c r="C2148" s="68"/>
    </row>
    <row r="2149" ht="15">
      <c r="C2149" s="68"/>
    </row>
    <row r="2150" ht="15">
      <c r="C2150" s="68"/>
    </row>
    <row r="2151" ht="15">
      <c r="C2151" s="68"/>
    </row>
    <row r="2152" ht="15">
      <c r="C2152" s="68"/>
    </row>
    <row r="2153" ht="15">
      <c r="C2153" s="68"/>
    </row>
    <row r="2154" ht="15">
      <c r="C2154" s="68"/>
    </row>
    <row r="2155" ht="15">
      <c r="C2155" s="68"/>
    </row>
    <row r="2156" ht="15">
      <c r="C2156" s="68"/>
    </row>
    <row r="2157" ht="15">
      <c r="C2157" s="68"/>
    </row>
    <row r="2158" ht="15">
      <c r="C2158" s="68"/>
    </row>
    <row r="2159" ht="15">
      <c r="C2159" s="68"/>
    </row>
    <row r="2160" ht="15">
      <c r="C2160" s="68"/>
    </row>
    <row r="2161" ht="15">
      <c r="C2161" s="68"/>
    </row>
    <row r="2162" ht="15">
      <c r="C2162" s="68"/>
    </row>
    <row r="2163" ht="15">
      <c r="C2163" s="68"/>
    </row>
    <row r="2164" ht="15">
      <c r="C2164" s="68"/>
    </row>
    <row r="2165" ht="15">
      <c r="C2165" s="68"/>
    </row>
    <row r="2166" ht="15">
      <c r="C2166" s="68"/>
    </row>
    <row r="2167" ht="15">
      <c r="C2167" s="68"/>
    </row>
    <row r="2168" ht="15">
      <c r="C2168" s="68"/>
    </row>
    <row r="2169" ht="15">
      <c r="C2169" s="68"/>
    </row>
    <row r="2170" ht="15">
      <c r="C2170" s="68"/>
    </row>
    <row r="2171" ht="15">
      <c r="C2171" s="68"/>
    </row>
    <row r="2172" ht="15">
      <c r="C2172" s="68"/>
    </row>
    <row r="2173" ht="15">
      <c r="C2173" s="68"/>
    </row>
    <row r="2174" ht="15">
      <c r="C2174" s="68"/>
    </row>
    <row r="2175" ht="15">
      <c r="C2175" s="68"/>
    </row>
    <row r="2176" ht="15">
      <c r="C2176" s="68"/>
    </row>
    <row r="2177" ht="15">
      <c r="C2177" s="68"/>
    </row>
    <row r="2178" ht="15">
      <c r="C2178" s="68"/>
    </row>
    <row r="2179" ht="15">
      <c r="C2179" s="68"/>
    </row>
    <row r="2180" ht="15">
      <c r="C2180" s="68"/>
    </row>
    <row r="2181" ht="15">
      <c r="C2181" s="68"/>
    </row>
    <row r="2182" ht="15">
      <c r="C2182" s="68"/>
    </row>
    <row r="2183" ht="15">
      <c r="C2183" s="68"/>
    </row>
    <row r="2184" ht="15">
      <c r="C2184" s="68"/>
    </row>
    <row r="2185" ht="15">
      <c r="C2185" s="68"/>
    </row>
    <row r="2186" ht="15">
      <c r="C2186" s="68"/>
    </row>
    <row r="2187" ht="15">
      <c r="C2187" s="68"/>
    </row>
    <row r="2188" ht="15">
      <c r="C2188" s="68"/>
    </row>
    <row r="2189" ht="15">
      <c r="C2189" s="68"/>
    </row>
    <row r="2190" ht="15">
      <c r="C2190" s="68"/>
    </row>
    <row r="2191" ht="15">
      <c r="C2191" s="68"/>
    </row>
    <row r="2192" ht="15">
      <c r="C2192" s="68"/>
    </row>
    <row r="2193" ht="15">
      <c r="C2193" s="68"/>
    </row>
    <row r="2194" ht="15">
      <c r="C2194" s="68"/>
    </row>
    <row r="2195" ht="15">
      <c r="C2195" s="68"/>
    </row>
    <row r="2196" ht="15">
      <c r="C2196" s="68"/>
    </row>
    <row r="2197" ht="15">
      <c r="C2197" s="68"/>
    </row>
    <row r="2198" ht="15">
      <c r="C2198" s="68"/>
    </row>
    <row r="2199" ht="15">
      <c r="C2199" s="68"/>
    </row>
    <row r="2200" ht="15">
      <c r="C2200" s="68"/>
    </row>
    <row r="2201" ht="15">
      <c r="C2201" s="68"/>
    </row>
    <row r="2202" ht="15">
      <c r="C2202" s="68"/>
    </row>
    <row r="2203" ht="15">
      <c r="C2203" s="68"/>
    </row>
    <row r="2204" ht="15">
      <c r="C2204" s="68"/>
    </row>
    <row r="2205" ht="15">
      <c r="C2205" s="68"/>
    </row>
    <row r="2206" ht="15">
      <c r="C2206" s="68"/>
    </row>
    <row r="2207" ht="15">
      <c r="C2207" s="68"/>
    </row>
    <row r="2208" ht="15">
      <c r="C2208" s="68"/>
    </row>
    <row r="2209" ht="15">
      <c r="C2209" s="68"/>
    </row>
    <row r="2210" ht="15">
      <c r="C2210" s="68"/>
    </row>
    <row r="2211" ht="15">
      <c r="C2211" s="68"/>
    </row>
    <row r="2212" ht="15">
      <c r="C2212" s="68"/>
    </row>
    <row r="2213" ht="15">
      <c r="C2213" s="68"/>
    </row>
    <row r="2214" ht="15">
      <c r="C2214" s="68"/>
    </row>
    <row r="2215" ht="15">
      <c r="C2215" s="68"/>
    </row>
    <row r="2216" ht="15">
      <c r="C2216" s="68"/>
    </row>
    <row r="2217" ht="15">
      <c r="C2217" s="68"/>
    </row>
    <row r="2218" ht="15">
      <c r="C2218" s="68"/>
    </row>
    <row r="2219" ht="15">
      <c r="C2219" s="68"/>
    </row>
    <row r="2220" ht="15">
      <c r="C2220" s="68"/>
    </row>
    <row r="2221" ht="15">
      <c r="C2221" s="68"/>
    </row>
    <row r="2222" ht="15">
      <c r="C2222" s="68"/>
    </row>
    <row r="2223" ht="15">
      <c r="C2223" s="68"/>
    </row>
    <row r="2224" ht="15">
      <c r="C2224" s="68"/>
    </row>
    <row r="2225" ht="15">
      <c r="C2225" s="68"/>
    </row>
    <row r="2226" ht="15">
      <c r="C2226" s="68"/>
    </row>
    <row r="2227" ht="15">
      <c r="C2227" s="68"/>
    </row>
    <row r="2228" ht="15">
      <c r="C2228" s="68"/>
    </row>
    <row r="2229" ht="15">
      <c r="C2229" s="68"/>
    </row>
    <row r="2230" ht="15">
      <c r="C2230" s="68"/>
    </row>
    <row r="2231" ht="15">
      <c r="C2231" s="68"/>
    </row>
    <row r="2232" ht="15">
      <c r="C2232" s="68"/>
    </row>
    <row r="2233" ht="15">
      <c r="C2233" s="68"/>
    </row>
    <row r="2234" ht="15">
      <c r="C2234" s="68"/>
    </row>
    <row r="2235" ht="15">
      <c r="C2235" s="68"/>
    </row>
    <row r="2236" ht="15">
      <c r="C2236" s="68"/>
    </row>
    <row r="2237" ht="15">
      <c r="C2237" s="68"/>
    </row>
    <row r="2238" ht="15">
      <c r="C2238" s="68"/>
    </row>
    <row r="2239" ht="15">
      <c r="C2239" s="68"/>
    </row>
    <row r="2240" ht="15">
      <c r="C2240" s="68"/>
    </row>
    <row r="2241" ht="15">
      <c r="C2241" s="68"/>
    </row>
    <row r="2242" ht="15">
      <c r="C2242" s="68"/>
    </row>
    <row r="2243" ht="15">
      <c r="C2243" s="68"/>
    </row>
    <row r="2244" ht="15">
      <c r="C2244" s="68"/>
    </row>
    <row r="2245" ht="15">
      <c r="C2245" s="68"/>
    </row>
    <row r="2246" ht="15">
      <c r="C2246" s="68"/>
    </row>
    <row r="2247" ht="15">
      <c r="C2247" s="68"/>
    </row>
    <row r="2248" ht="15">
      <c r="C2248" s="68"/>
    </row>
    <row r="2249" ht="15">
      <c r="C2249" s="68"/>
    </row>
    <row r="2250" ht="15">
      <c r="C2250" s="68"/>
    </row>
    <row r="2251" ht="15">
      <c r="C2251" s="68"/>
    </row>
    <row r="2252" ht="15">
      <c r="C2252" s="68"/>
    </row>
    <row r="2253" ht="15">
      <c r="C2253" s="68"/>
    </row>
    <row r="2254" ht="15">
      <c r="C2254" s="68"/>
    </row>
    <row r="2255" ht="15">
      <c r="C2255" s="68"/>
    </row>
    <row r="2256" ht="15">
      <c r="C2256" s="68"/>
    </row>
    <row r="2257" ht="15">
      <c r="C2257" s="68"/>
    </row>
    <row r="2258" ht="15">
      <c r="C2258" s="68"/>
    </row>
    <row r="2259" ht="15">
      <c r="C2259" s="68"/>
    </row>
    <row r="2260" ht="15">
      <c r="C2260" s="68"/>
    </row>
    <row r="2261" ht="15">
      <c r="C2261" s="68"/>
    </row>
    <row r="2262" ht="15">
      <c r="C2262" s="68"/>
    </row>
    <row r="2263" ht="15">
      <c r="C2263" s="68"/>
    </row>
    <row r="2264" ht="15">
      <c r="C2264" s="68"/>
    </row>
    <row r="2265" ht="15">
      <c r="C2265" s="68"/>
    </row>
    <row r="2266" ht="15">
      <c r="C2266" s="68"/>
    </row>
    <row r="2267" ht="15">
      <c r="C2267" s="68"/>
    </row>
    <row r="2268" ht="15">
      <c r="C2268" s="68"/>
    </row>
    <row r="2269" ht="15">
      <c r="C2269" s="68"/>
    </row>
    <row r="2270" ht="15">
      <c r="C2270" s="68"/>
    </row>
    <row r="2271" ht="15">
      <c r="C2271" s="68"/>
    </row>
    <row r="2272" ht="15">
      <c r="C2272" s="68"/>
    </row>
    <row r="2273" ht="15">
      <c r="C2273" s="68"/>
    </row>
    <row r="2274" ht="15">
      <c r="C2274" s="68"/>
    </row>
    <row r="2275" ht="15">
      <c r="C2275" s="68"/>
    </row>
    <row r="2276" ht="15">
      <c r="C2276" s="68"/>
    </row>
    <row r="2277" ht="15">
      <c r="C2277" s="68"/>
    </row>
    <row r="2278" ht="15">
      <c r="C2278" s="68"/>
    </row>
    <row r="2279" ht="15">
      <c r="C2279" s="68"/>
    </row>
    <row r="2280" ht="15">
      <c r="C2280" s="68"/>
    </row>
    <row r="2281" ht="15">
      <c r="C2281" s="68"/>
    </row>
    <row r="2282" ht="15">
      <c r="C2282" s="68"/>
    </row>
    <row r="2283" ht="15">
      <c r="C2283" s="68"/>
    </row>
    <row r="2284" ht="15">
      <c r="C2284" s="68"/>
    </row>
    <row r="2285" ht="15">
      <c r="C2285" s="68"/>
    </row>
    <row r="2286" ht="15">
      <c r="C2286" s="68"/>
    </row>
    <row r="2287" ht="15">
      <c r="C2287" s="68"/>
    </row>
    <row r="2288" ht="15">
      <c r="C2288" s="68"/>
    </row>
    <row r="2289" ht="15">
      <c r="C2289" s="68"/>
    </row>
    <row r="2290" ht="15">
      <c r="C2290" s="68"/>
    </row>
    <row r="2291" ht="15">
      <c r="C2291" s="68"/>
    </row>
    <row r="2292" ht="15">
      <c r="C2292" s="68"/>
    </row>
    <row r="2293" ht="15">
      <c r="C2293" s="68"/>
    </row>
    <row r="2294" ht="15">
      <c r="C2294" s="68"/>
    </row>
    <row r="2295" ht="15">
      <c r="C2295" s="68"/>
    </row>
    <row r="2296" ht="15">
      <c r="C2296" s="68"/>
    </row>
    <row r="2297" ht="15">
      <c r="C2297" s="68"/>
    </row>
    <row r="2298" ht="15">
      <c r="C2298" s="68"/>
    </row>
    <row r="2299" ht="15">
      <c r="C2299" s="68"/>
    </row>
    <row r="2300" ht="15">
      <c r="C2300" s="68"/>
    </row>
    <row r="2301" ht="15">
      <c r="C2301" s="68"/>
    </row>
    <row r="2302" ht="15">
      <c r="C2302" s="68"/>
    </row>
    <row r="2303" ht="15">
      <c r="C2303" s="68"/>
    </row>
    <row r="2304" ht="15">
      <c r="C2304" s="68"/>
    </row>
    <row r="2305" ht="15">
      <c r="C2305" s="68"/>
    </row>
    <row r="2306" ht="15">
      <c r="C2306" s="68"/>
    </row>
    <row r="2307" ht="15">
      <c r="C2307" s="68"/>
    </row>
    <row r="2308" ht="15">
      <c r="C2308" s="68"/>
    </row>
    <row r="2309" ht="15">
      <c r="C2309" s="68"/>
    </row>
    <row r="2310" ht="15">
      <c r="C2310" s="68"/>
    </row>
    <row r="2311" ht="15">
      <c r="C2311" s="68"/>
    </row>
    <row r="2312" ht="15">
      <c r="C2312" s="68"/>
    </row>
    <row r="2313" ht="15">
      <c r="C2313" s="68"/>
    </row>
    <row r="2314" ht="15">
      <c r="C2314" s="68"/>
    </row>
    <row r="2315" ht="15">
      <c r="C2315" s="68"/>
    </row>
    <row r="2316" ht="15">
      <c r="C2316" s="68"/>
    </row>
    <row r="2317" ht="15">
      <c r="C2317" s="68"/>
    </row>
    <row r="2318" ht="15">
      <c r="C2318" s="68"/>
    </row>
    <row r="2319" ht="15">
      <c r="C2319" s="68"/>
    </row>
    <row r="2320" ht="15">
      <c r="C2320" s="68"/>
    </row>
    <row r="2321" ht="15">
      <c r="C2321" s="68"/>
    </row>
    <row r="2322" ht="15">
      <c r="C2322" s="68"/>
    </row>
    <row r="2323" ht="15">
      <c r="C2323" s="68"/>
    </row>
    <row r="2324" ht="15">
      <c r="C2324" s="68"/>
    </row>
    <row r="2325" ht="15">
      <c r="C2325" s="68"/>
    </row>
    <row r="2326" ht="15">
      <c r="C2326" s="68"/>
    </row>
    <row r="2327" ht="15">
      <c r="C2327" s="68"/>
    </row>
    <row r="2328" ht="15">
      <c r="C2328" s="68"/>
    </row>
    <row r="2329" ht="15">
      <c r="C2329" s="68"/>
    </row>
    <row r="2330" ht="15">
      <c r="C2330" s="68"/>
    </row>
    <row r="2331" ht="15">
      <c r="C2331" s="68"/>
    </row>
    <row r="2332" ht="15">
      <c r="C2332" s="68"/>
    </row>
    <row r="2333" ht="15">
      <c r="C2333" s="68"/>
    </row>
    <row r="2334" ht="15">
      <c r="C2334" s="68"/>
    </row>
    <row r="2335" ht="15">
      <c r="C2335" s="68"/>
    </row>
    <row r="2336" ht="15">
      <c r="C2336" s="68"/>
    </row>
    <row r="2337" ht="15">
      <c r="C2337" s="68"/>
    </row>
    <row r="2338" ht="15">
      <c r="C2338" s="68"/>
    </row>
    <row r="2339" ht="15">
      <c r="C2339" s="68"/>
    </row>
    <row r="2340" ht="15">
      <c r="C2340" s="68"/>
    </row>
    <row r="2341" ht="15">
      <c r="C2341" s="68"/>
    </row>
    <row r="2342" ht="15">
      <c r="C2342" s="68"/>
    </row>
    <row r="2343" ht="15">
      <c r="C2343" s="68"/>
    </row>
    <row r="2344" ht="15">
      <c r="C2344" s="68"/>
    </row>
    <row r="2345" ht="15">
      <c r="C2345" s="68"/>
    </row>
    <row r="2346" ht="15">
      <c r="C2346" s="68"/>
    </row>
    <row r="2347" ht="15">
      <c r="C2347" s="68"/>
    </row>
    <row r="2348" ht="15">
      <c r="C2348" s="68"/>
    </row>
    <row r="2349" ht="15">
      <c r="C2349" s="68"/>
    </row>
    <row r="2350" ht="15">
      <c r="C2350" s="68"/>
    </row>
    <row r="2351" ht="15">
      <c r="C2351" s="68"/>
    </row>
    <row r="2352" ht="15">
      <c r="C2352" s="68"/>
    </row>
    <row r="2353" ht="15">
      <c r="C2353" s="68"/>
    </row>
    <row r="2354" ht="15">
      <c r="C2354" s="68"/>
    </row>
    <row r="2355" ht="15">
      <c r="C2355" s="68"/>
    </row>
    <row r="2356" ht="15">
      <c r="C2356" s="68"/>
    </row>
    <row r="2357" ht="15">
      <c r="C2357" s="68"/>
    </row>
    <row r="2358" ht="15">
      <c r="C2358" s="68"/>
    </row>
    <row r="2359" ht="15">
      <c r="C2359" s="68"/>
    </row>
    <row r="2360" ht="15">
      <c r="C2360" s="68"/>
    </row>
    <row r="2361" ht="15">
      <c r="C2361" s="68"/>
    </row>
    <row r="2362" ht="15">
      <c r="C2362" s="68"/>
    </row>
    <row r="2363" ht="15">
      <c r="C2363" s="68"/>
    </row>
    <row r="2364" ht="15">
      <c r="C2364" s="68"/>
    </row>
    <row r="2365" ht="15">
      <c r="C2365" s="68"/>
    </row>
    <row r="2366" ht="15">
      <c r="C2366" s="68"/>
    </row>
    <row r="2367" ht="15">
      <c r="C2367" s="68"/>
    </row>
    <row r="2368" ht="15">
      <c r="C2368" s="68"/>
    </row>
    <row r="2369" ht="15">
      <c r="C2369" s="68"/>
    </row>
    <row r="2370" ht="15">
      <c r="C2370" s="68"/>
    </row>
    <row r="2371" ht="15">
      <c r="C2371" s="68"/>
    </row>
    <row r="2372" ht="15">
      <c r="C2372" s="68"/>
    </row>
    <row r="2373" ht="15">
      <c r="C2373" s="68"/>
    </row>
    <row r="2374" ht="15">
      <c r="C2374" s="68"/>
    </row>
    <row r="2375" ht="15">
      <c r="C2375" s="68"/>
    </row>
    <row r="2376" ht="15">
      <c r="C2376" s="68"/>
    </row>
    <row r="2377" ht="15">
      <c r="C2377" s="68"/>
    </row>
    <row r="2378" ht="15">
      <c r="C2378" s="68"/>
    </row>
    <row r="2379" ht="15">
      <c r="C2379" s="68"/>
    </row>
    <row r="2380" ht="15">
      <c r="C2380" s="68"/>
    </row>
    <row r="2381" ht="15">
      <c r="C2381" s="68"/>
    </row>
    <row r="2382" ht="15">
      <c r="C2382" s="68"/>
    </row>
    <row r="2383" ht="15">
      <c r="C2383" s="68"/>
    </row>
    <row r="2384" ht="15">
      <c r="C2384" s="68"/>
    </row>
    <row r="2385" ht="15">
      <c r="C2385" s="68"/>
    </row>
    <row r="2386" ht="15">
      <c r="C2386" s="68"/>
    </row>
    <row r="2387" ht="15">
      <c r="C2387" s="68"/>
    </row>
    <row r="2388" ht="15">
      <c r="C2388" s="68"/>
    </row>
    <row r="2389" ht="15">
      <c r="C2389" s="68"/>
    </row>
    <row r="2390" ht="15">
      <c r="C2390" s="68"/>
    </row>
    <row r="2391" ht="15">
      <c r="C2391" s="68"/>
    </row>
    <row r="2392" ht="15">
      <c r="C2392" s="68"/>
    </row>
    <row r="2393" ht="15">
      <c r="C2393" s="68"/>
    </row>
    <row r="2394" ht="15">
      <c r="C2394" s="68"/>
    </row>
    <row r="2395" ht="15">
      <c r="C2395" s="68"/>
    </row>
    <row r="2396" ht="15">
      <c r="C2396" s="68"/>
    </row>
    <row r="2397" ht="15">
      <c r="C2397" s="68"/>
    </row>
    <row r="2398" ht="15">
      <c r="C2398" s="68"/>
    </row>
    <row r="2399" ht="15">
      <c r="C2399" s="68"/>
    </row>
    <row r="2400" ht="15">
      <c r="C2400" s="68"/>
    </row>
    <row r="2401" ht="15">
      <c r="C2401" s="68"/>
    </row>
    <row r="2402" ht="15">
      <c r="C2402" s="68"/>
    </row>
    <row r="2403" ht="15">
      <c r="C2403" s="68"/>
    </row>
    <row r="2404" ht="15">
      <c r="C2404" s="68"/>
    </row>
    <row r="2405" ht="15">
      <c r="C2405" s="68"/>
    </row>
    <row r="2406" ht="15">
      <c r="C2406" s="68"/>
    </row>
    <row r="2407" ht="15">
      <c r="C2407" s="68"/>
    </row>
    <row r="2408" ht="15">
      <c r="C2408" s="68"/>
    </row>
    <row r="2409" ht="15">
      <c r="C2409" s="68"/>
    </row>
    <row r="2410" ht="15">
      <c r="C2410" s="68"/>
    </row>
    <row r="2411" ht="15">
      <c r="C2411" s="68"/>
    </row>
    <row r="2412" ht="15">
      <c r="C2412" s="68"/>
    </row>
    <row r="2413" ht="15">
      <c r="C2413" s="68"/>
    </row>
    <row r="2414" ht="15">
      <c r="C2414" s="68"/>
    </row>
    <row r="2415" ht="15">
      <c r="C2415" s="68"/>
    </row>
    <row r="2416" ht="15">
      <c r="C2416" s="68"/>
    </row>
    <row r="2417" ht="15">
      <c r="C2417" s="68"/>
    </row>
    <row r="2418" ht="15">
      <c r="C2418" s="68"/>
    </row>
    <row r="2419" ht="15">
      <c r="C2419" s="68"/>
    </row>
    <row r="2420" ht="15">
      <c r="C2420" s="68"/>
    </row>
    <row r="2421" ht="15">
      <c r="C2421" s="68"/>
    </row>
    <row r="2422" ht="15">
      <c r="C2422" s="68"/>
    </row>
    <row r="2423" ht="15">
      <c r="C2423" s="68"/>
    </row>
    <row r="2424" ht="15">
      <c r="C2424" s="68"/>
    </row>
    <row r="2425" ht="15">
      <c r="C2425" s="68"/>
    </row>
    <row r="2426" ht="15">
      <c r="C2426" s="68"/>
    </row>
    <row r="2427" ht="15">
      <c r="C2427" s="68"/>
    </row>
    <row r="2428" ht="15">
      <c r="C2428" s="68"/>
    </row>
    <row r="2429" ht="15">
      <c r="C2429" s="68"/>
    </row>
    <row r="2430" ht="15">
      <c r="C2430" s="68"/>
    </row>
    <row r="2431" ht="15">
      <c r="C2431" s="68"/>
    </row>
    <row r="2432" ht="15">
      <c r="C2432" s="68"/>
    </row>
    <row r="2433" ht="15">
      <c r="C2433" s="68"/>
    </row>
    <row r="2434" ht="15">
      <c r="C2434" s="68"/>
    </row>
    <row r="2435" ht="15">
      <c r="C2435" s="68"/>
    </row>
    <row r="2436" ht="15">
      <c r="C2436" s="68"/>
    </row>
    <row r="2437" ht="15">
      <c r="C2437" s="68"/>
    </row>
    <row r="2438" ht="15">
      <c r="C2438" s="68"/>
    </row>
    <row r="2439" ht="15">
      <c r="C2439" s="68"/>
    </row>
    <row r="2440" ht="15">
      <c r="C2440" s="68"/>
    </row>
    <row r="2441" ht="15">
      <c r="C2441" s="68"/>
    </row>
    <row r="2442" ht="15">
      <c r="C2442" s="68"/>
    </row>
    <row r="2443" ht="15">
      <c r="C2443" s="68"/>
    </row>
    <row r="2444" ht="15">
      <c r="C2444" s="68"/>
    </row>
    <row r="2445" ht="15">
      <c r="C2445" s="68"/>
    </row>
    <row r="2446" ht="15">
      <c r="C2446" s="68"/>
    </row>
    <row r="2447" ht="15">
      <c r="C2447" s="68"/>
    </row>
    <row r="2448" ht="15">
      <c r="C2448" s="68"/>
    </row>
    <row r="2449" ht="15">
      <c r="C2449" s="68"/>
    </row>
    <row r="2450" ht="15">
      <c r="C2450" s="68"/>
    </row>
    <row r="2451" ht="15">
      <c r="C2451" s="68"/>
    </row>
    <row r="2452" ht="15">
      <c r="C2452" s="68"/>
    </row>
    <row r="2453" ht="15">
      <c r="C2453" s="68"/>
    </row>
    <row r="2454" ht="15">
      <c r="C2454" s="68"/>
    </row>
    <row r="2455" ht="15">
      <c r="C2455" s="68"/>
    </row>
    <row r="2456" ht="15">
      <c r="C2456" s="68"/>
    </row>
    <row r="2457" ht="15">
      <c r="C2457" s="68"/>
    </row>
    <row r="2458" ht="15">
      <c r="C2458" s="68"/>
    </row>
    <row r="2459" ht="15">
      <c r="C2459" s="68"/>
    </row>
    <row r="2460" ht="15">
      <c r="C2460" s="68"/>
    </row>
    <row r="2461" ht="15">
      <c r="C2461" s="68"/>
    </row>
    <row r="2462" ht="15">
      <c r="C2462" s="68"/>
    </row>
    <row r="2463" ht="15">
      <c r="C2463" s="68"/>
    </row>
    <row r="2464" ht="15">
      <c r="C2464" s="68"/>
    </row>
    <row r="2465" ht="15">
      <c r="C2465" s="68"/>
    </row>
    <row r="2466" ht="15">
      <c r="C2466" s="68"/>
    </row>
    <row r="2467" ht="15">
      <c r="C2467" s="68"/>
    </row>
    <row r="2468" ht="15">
      <c r="C2468" s="68"/>
    </row>
    <row r="2469" ht="15">
      <c r="C2469" s="68"/>
    </row>
    <row r="2470" ht="15">
      <c r="C2470" s="68"/>
    </row>
    <row r="2471" ht="15">
      <c r="C2471" s="68"/>
    </row>
    <row r="2472" ht="15">
      <c r="C2472" s="68"/>
    </row>
    <row r="2473" ht="15">
      <c r="C2473" s="68"/>
    </row>
    <row r="2474" ht="15">
      <c r="C2474" s="68"/>
    </row>
    <row r="2475" ht="15">
      <c r="C2475" s="68"/>
    </row>
    <row r="2476" ht="15">
      <c r="C2476" s="68"/>
    </row>
    <row r="2477" ht="15">
      <c r="C2477" s="68"/>
    </row>
    <row r="2478" ht="15">
      <c r="C2478" s="68"/>
    </row>
    <row r="2479" ht="15">
      <c r="C2479" s="68"/>
    </row>
    <row r="2480" ht="15">
      <c r="C2480" s="68"/>
    </row>
    <row r="2481" ht="15">
      <c r="C2481" s="68"/>
    </row>
    <row r="2482" ht="15">
      <c r="C2482" s="68"/>
    </row>
    <row r="2483" ht="15">
      <c r="C2483" s="68"/>
    </row>
    <row r="2484" ht="15">
      <c r="C2484" s="68"/>
    </row>
    <row r="2485" ht="15">
      <c r="C2485" s="68"/>
    </row>
    <row r="2486" ht="15">
      <c r="C2486" s="68"/>
    </row>
    <row r="2487" ht="15">
      <c r="C2487" s="68"/>
    </row>
    <row r="2488" ht="15">
      <c r="C2488" s="68"/>
    </row>
    <row r="2489" ht="15">
      <c r="C2489" s="68"/>
    </row>
    <row r="2490" ht="15">
      <c r="C2490" s="68"/>
    </row>
    <row r="2491" ht="15">
      <c r="C2491" s="68"/>
    </row>
    <row r="2492" ht="15">
      <c r="C2492" s="68"/>
    </row>
    <row r="2493" ht="15">
      <c r="C2493" s="68"/>
    </row>
    <row r="2494" ht="15">
      <c r="C2494" s="68"/>
    </row>
    <row r="2495" ht="15">
      <c r="C2495" s="68"/>
    </row>
    <row r="2496" ht="15">
      <c r="C2496" s="68"/>
    </row>
    <row r="2497" ht="15">
      <c r="C2497" s="68"/>
    </row>
    <row r="2498" ht="15">
      <c r="C2498" s="68"/>
    </row>
    <row r="2499" ht="15">
      <c r="C2499" s="68"/>
    </row>
    <row r="2500" ht="15">
      <c r="C2500" s="68"/>
    </row>
    <row r="2501" ht="15">
      <c r="C2501" s="68"/>
    </row>
    <row r="2502" ht="15">
      <c r="C2502" s="68"/>
    </row>
    <row r="2503" ht="15">
      <c r="C2503" s="68"/>
    </row>
    <row r="2504" ht="15">
      <c r="C2504" s="68"/>
    </row>
    <row r="2505" ht="15">
      <c r="C2505" s="68"/>
    </row>
    <row r="2506" ht="15">
      <c r="C2506" s="68"/>
    </row>
    <row r="2507" ht="15">
      <c r="C2507" s="68"/>
    </row>
    <row r="2508" ht="15">
      <c r="C2508" s="68"/>
    </row>
    <row r="2509" ht="15">
      <c r="C2509" s="68"/>
    </row>
    <row r="2510" ht="15">
      <c r="C2510" s="68"/>
    </row>
    <row r="2511" ht="15">
      <c r="C2511" s="68"/>
    </row>
    <row r="2512" ht="15">
      <c r="C2512" s="68"/>
    </row>
    <row r="2513" ht="15">
      <c r="C2513" s="68"/>
    </row>
    <row r="2514" ht="15">
      <c r="C2514" s="68"/>
    </row>
    <row r="2515" ht="15">
      <c r="C2515" s="68"/>
    </row>
    <row r="2516" ht="15">
      <c r="C2516" s="68"/>
    </row>
    <row r="2517" ht="15">
      <c r="C2517" s="68"/>
    </row>
    <row r="2518" ht="15">
      <c r="C2518" s="68"/>
    </row>
    <row r="2519" ht="15">
      <c r="C2519" s="68"/>
    </row>
    <row r="2520" ht="15">
      <c r="C2520" s="68"/>
    </row>
    <row r="2521" ht="15">
      <c r="C2521" s="68"/>
    </row>
    <row r="2522" ht="15">
      <c r="C2522" s="68"/>
    </row>
    <row r="2523" ht="15">
      <c r="C2523" s="68"/>
    </row>
    <row r="2524" ht="15">
      <c r="C2524" s="68"/>
    </row>
    <row r="2525" ht="15">
      <c r="C2525" s="68"/>
    </row>
    <row r="2526" ht="15">
      <c r="C2526" s="68"/>
    </row>
    <row r="2527" ht="15">
      <c r="C2527" s="68"/>
    </row>
    <row r="2528" ht="15">
      <c r="C2528" s="68"/>
    </row>
    <row r="2529" ht="15">
      <c r="C2529" s="68"/>
    </row>
    <row r="2530" ht="15">
      <c r="C2530" s="68"/>
    </row>
    <row r="2531" ht="15">
      <c r="C2531" s="68"/>
    </row>
    <row r="2532" ht="15">
      <c r="C2532" s="68"/>
    </row>
    <row r="2533" ht="15">
      <c r="C2533" s="68"/>
    </row>
    <row r="2534" ht="15">
      <c r="C2534" s="68"/>
    </row>
    <row r="2535" ht="15">
      <c r="C2535" s="68"/>
    </row>
    <row r="2536" ht="15">
      <c r="C2536" s="68"/>
    </row>
    <row r="2537" ht="15">
      <c r="C2537" s="68"/>
    </row>
    <row r="2538" ht="15">
      <c r="C2538" s="68"/>
    </row>
    <row r="2539" ht="15">
      <c r="C2539" s="68"/>
    </row>
    <row r="2540" ht="15">
      <c r="C2540" s="68"/>
    </row>
    <row r="2541" ht="15">
      <c r="C2541" s="68"/>
    </row>
    <row r="2542" ht="15">
      <c r="C2542" s="68"/>
    </row>
    <row r="2543" ht="15">
      <c r="C2543" s="68"/>
    </row>
    <row r="2544" ht="15">
      <c r="C2544" s="68"/>
    </row>
    <row r="2545" ht="15">
      <c r="C2545" s="68"/>
    </row>
    <row r="2546" ht="15">
      <c r="C2546" s="68"/>
    </row>
    <row r="2547" ht="15">
      <c r="C2547" s="68"/>
    </row>
    <row r="2548" ht="15">
      <c r="C2548" s="68"/>
    </row>
    <row r="2549" ht="15">
      <c r="C2549" s="68"/>
    </row>
    <row r="2550" ht="15">
      <c r="C2550" s="68"/>
    </row>
    <row r="2551" ht="15">
      <c r="C2551" s="68"/>
    </row>
    <row r="2552" ht="15">
      <c r="C2552" s="68"/>
    </row>
    <row r="2553" ht="15">
      <c r="C2553" s="68"/>
    </row>
    <row r="2554" ht="15">
      <c r="C2554" s="68"/>
    </row>
    <row r="2555" ht="15">
      <c r="C2555" s="68"/>
    </row>
    <row r="2556" ht="15">
      <c r="C2556" s="68"/>
    </row>
    <row r="2557" ht="15">
      <c r="C2557" s="68"/>
    </row>
    <row r="2558" ht="15">
      <c r="C2558" s="68"/>
    </row>
    <row r="2559" ht="15">
      <c r="C2559" s="68"/>
    </row>
    <row r="2560" ht="15">
      <c r="C2560" s="68"/>
    </row>
    <row r="2561" ht="15">
      <c r="C2561" s="68"/>
    </row>
    <row r="2562" ht="15">
      <c r="C2562" s="68"/>
    </row>
    <row r="2563" ht="15">
      <c r="C2563" s="68"/>
    </row>
    <row r="2564" ht="15">
      <c r="C2564" s="68"/>
    </row>
    <row r="2565" ht="15">
      <c r="C2565" s="68"/>
    </row>
    <row r="2566" ht="15">
      <c r="C2566" s="68"/>
    </row>
    <row r="2567" ht="15">
      <c r="C2567" s="68"/>
    </row>
    <row r="2568" ht="15">
      <c r="C2568" s="68"/>
    </row>
    <row r="2569" ht="15">
      <c r="C2569" s="68"/>
    </row>
    <row r="2570" ht="15">
      <c r="C2570" s="68"/>
    </row>
    <row r="2571" ht="15">
      <c r="C2571" s="68"/>
    </row>
    <row r="2572" ht="15">
      <c r="C2572" s="68"/>
    </row>
    <row r="2573" ht="15">
      <c r="C2573" s="68"/>
    </row>
    <row r="2574" ht="15">
      <c r="C2574" s="68"/>
    </row>
    <row r="2575" ht="15">
      <c r="C2575" s="68"/>
    </row>
    <row r="2576" ht="15">
      <c r="C2576" s="68"/>
    </row>
    <row r="2577" ht="15">
      <c r="C2577" s="68"/>
    </row>
    <row r="2578" ht="15">
      <c r="C2578" s="68"/>
    </row>
    <row r="2579" ht="15">
      <c r="C2579" s="68"/>
    </row>
    <row r="2580" ht="15">
      <c r="C2580" s="68"/>
    </row>
    <row r="2581" ht="15">
      <c r="C2581" s="68"/>
    </row>
    <row r="2582" ht="15">
      <c r="C2582" s="68"/>
    </row>
    <row r="2583" ht="15">
      <c r="C2583" s="68"/>
    </row>
    <row r="2584" ht="15">
      <c r="C2584" s="68"/>
    </row>
    <row r="2585" ht="15">
      <c r="C2585" s="68"/>
    </row>
    <row r="2586" ht="15">
      <c r="C2586" s="68"/>
    </row>
    <row r="2587" ht="15">
      <c r="C2587" s="68"/>
    </row>
    <row r="2588" ht="15">
      <c r="C2588" s="68"/>
    </row>
    <row r="2589" ht="15">
      <c r="C2589" s="68"/>
    </row>
    <row r="2590" ht="15">
      <c r="C2590" s="68"/>
    </row>
    <row r="2591" ht="15">
      <c r="C2591" s="68"/>
    </row>
    <row r="2592" ht="15">
      <c r="C2592" s="68"/>
    </row>
    <row r="2593" ht="15">
      <c r="C2593" s="68"/>
    </row>
    <row r="2594" ht="15">
      <c r="C2594" s="68"/>
    </row>
    <row r="2595" ht="15">
      <c r="C2595" s="68"/>
    </row>
    <row r="2596" ht="15">
      <c r="C2596" s="68"/>
    </row>
    <row r="2597" ht="15">
      <c r="C2597" s="68"/>
    </row>
    <row r="2598" ht="15">
      <c r="C2598" s="68"/>
    </row>
    <row r="2599" ht="15">
      <c r="C2599" s="68"/>
    </row>
    <row r="2600" ht="15">
      <c r="C2600" s="68"/>
    </row>
    <row r="2601" ht="15">
      <c r="C2601" s="68"/>
    </row>
    <row r="2602" ht="15">
      <c r="C2602" s="68"/>
    </row>
    <row r="2603" ht="15">
      <c r="C2603" s="68"/>
    </row>
    <row r="2604" ht="15">
      <c r="C2604" s="68"/>
    </row>
    <row r="2605" ht="15">
      <c r="C2605" s="68"/>
    </row>
    <row r="2606" ht="15">
      <c r="C2606" s="68"/>
    </row>
    <row r="2607" ht="15">
      <c r="C2607" s="68"/>
    </row>
    <row r="2608" ht="15">
      <c r="C2608" s="68"/>
    </row>
    <row r="2609" ht="15">
      <c r="C2609" s="68"/>
    </row>
    <row r="2610" ht="15">
      <c r="C2610" s="68"/>
    </row>
    <row r="2611" ht="15">
      <c r="C2611" s="68"/>
    </row>
    <row r="2612" ht="15">
      <c r="C2612" s="68"/>
    </row>
    <row r="2613" ht="15">
      <c r="C2613" s="68"/>
    </row>
    <row r="2614" ht="15">
      <c r="C2614" s="68"/>
    </row>
    <row r="2615" ht="15">
      <c r="C2615" s="68"/>
    </row>
    <row r="2616" ht="15">
      <c r="C2616" s="68"/>
    </row>
    <row r="2617" ht="15">
      <c r="C2617" s="68"/>
    </row>
    <row r="2618" ht="15">
      <c r="C2618" s="68"/>
    </row>
    <row r="2619" ht="15">
      <c r="C2619" s="68"/>
    </row>
    <row r="2620" ht="15">
      <c r="C2620" s="68"/>
    </row>
    <row r="2621" ht="15">
      <c r="C2621" s="68"/>
    </row>
    <row r="2622" ht="15">
      <c r="C2622" s="68"/>
    </row>
    <row r="2623" ht="15">
      <c r="C2623" s="68"/>
    </row>
    <row r="2624" ht="15">
      <c r="C2624" s="68"/>
    </row>
    <row r="2625" ht="15">
      <c r="C2625" s="68"/>
    </row>
    <row r="2626" ht="15">
      <c r="C2626" s="68"/>
    </row>
    <row r="2627" ht="15">
      <c r="C2627" s="68"/>
    </row>
    <row r="2628" ht="15">
      <c r="C2628" s="68"/>
    </row>
    <row r="2629" ht="15">
      <c r="C2629" s="68"/>
    </row>
    <row r="2630" ht="15">
      <c r="C2630" s="68"/>
    </row>
    <row r="2631" ht="15">
      <c r="C2631" s="68"/>
    </row>
    <row r="2632" ht="15">
      <c r="C2632" s="68"/>
    </row>
    <row r="2633" ht="15">
      <c r="C2633" s="68"/>
    </row>
    <row r="2634" ht="15">
      <c r="C2634" s="68"/>
    </row>
    <row r="2635" ht="15">
      <c r="C2635" s="68"/>
    </row>
    <row r="2636" ht="15">
      <c r="C2636" s="68"/>
    </row>
    <row r="2637" ht="15">
      <c r="C2637" s="68"/>
    </row>
    <row r="2638" ht="15">
      <c r="C2638" s="68"/>
    </row>
    <row r="2639" ht="15">
      <c r="C2639" s="68"/>
    </row>
    <row r="2640" ht="15">
      <c r="C2640" s="68"/>
    </row>
    <row r="2641" ht="15">
      <c r="C2641" s="68"/>
    </row>
    <row r="2642" ht="15">
      <c r="C2642" s="68"/>
    </row>
    <row r="2643" ht="15">
      <c r="C2643" s="68"/>
    </row>
    <row r="2644" ht="15">
      <c r="C2644" s="68"/>
    </row>
    <row r="2645" ht="15">
      <c r="C2645" s="68"/>
    </row>
    <row r="2646" ht="15">
      <c r="C2646" s="68"/>
    </row>
    <row r="2647" ht="15">
      <c r="C2647" s="68"/>
    </row>
    <row r="2648" ht="15">
      <c r="C2648" s="68"/>
    </row>
    <row r="2649" ht="15">
      <c r="C2649" s="68"/>
    </row>
    <row r="2650" ht="15">
      <c r="C2650" s="68"/>
    </row>
    <row r="2651" ht="15">
      <c r="C2651" s="68"/>
    </row>
    <row r="2652" ht="15">
      <c r="C2652" s="68"/>
    </row>
    <row r="2653" ht="15">
      <c r="C2653" s="68"/>
    </row>
    <row r="2654" ht="15">
      <c r="C2654" s="68"/>
    </row>
    <row r="2655" ht="15">
      <c r="C2655" s="68"/>
    </row>
    <row r="2656" ht="15">
      <c r="C2656" s="68"/>
    </row>
    <row r="2657" ht="15">
      <c r="C2657" s="68"/>
    </row>
    <row r="2658" ht="15">
      <c r="C2658" s="68"/>
    </row>
    <row r="2659" ht="15">
      <c r="C2659" s="68"/>
    </row>
    <row r="2660" ht="15">
      <c r="C2660" s="68"/>
    </row>
    <row r="2661" ht="15">
      <c r="C2661" s="68"/>
    </row>
    <row r="2662" ht="15">
      <c r="C2662" s="68"/>
    </row>
    <row r="2663" ht="15">
      <c r="C2663" s="68"/>
    </row>
    <row r="2664" ht="15">
      <c r="C2664" s="68"/>
    </row>
    <row r="2665" ht="15">
      <c r="C2665" s="68"/>
    </row>
    <row r="2666" ht="15">
      <c r="C2666" s="68"/>
    </row>
    <row r="2667" ht="15">
      <c r="C2667" s="68"/>
    </row>
    <row r="2668" ht="15">
      <c r="C2668" s="68"/>
    </row>
    <row r="2669" ht="15">
      <c r="C2669" s="68"/>
    </row>
    <row r="2670" ht="15">
      <c r="C2670" s="68"/>
    </row>
    <row r="2671" ht="15">
      <c r="C2671" s="68"/>
    </row>
    <row r="2672" ht="15">
      <c r="C2672" s="68"/>
    </row>
    <row r="2673" ht="15">
      <c r="C2673" s="68"/>
    </row>
    <row r="2674" ht="15">
      <c r="C2674" s="68"/>
    </row>
    <row r="2675" ht="15">
      <c r="C2675" s="68"/>
    </row>
    <row r="2676" ht="15">
      <c r="C2676" s="68"/>
    </row>
    <row r="2677" ht="15">
      <c r="C2677" s="68"/>
    </row>
    <row r="2678" ht="15">
      <c r="C2678" s="68"/>
    </row>
    <row r="2679" ht="15">
      <c r="C2679" s="68"/>
    </row>
    <row r="2680" ht="15">
      <c r="C2680" s="68"/>
    </row>
    <row r="2681" ht="15">
      <c r="C2681" s="68"/>
    </row>
    <row r="2682" ht="15">
      <c r="C2682" s="68"/>
    </row>
    <row r="2683" ht="15">
      <c r="C2683" s="68"/>
    </row>
    <row r="2684" ht="15">
      <c r="C2684" s="68"/>
    </row>
    <row r="2685" ht="15">
      <c r="C2685" s="68"/>
    </row>
    <row r="2686" ht="15">
      <c r="C2686" s="68"/>
    </row>
    <row r="2687" ht="15">
      <c r="C2687" s="68"/>
    </row>
    <row r="2688" ht="15">
      <c r="C2688" s="68"/>
    </row>
    <row r="2689" ht="15">
      <c r="C2689" s="68"/>
    </row>
    <row r="2690" ht="15">
      <c r="C2690" s="68"/>
    </row>
    <row r="2691" ht="15">
      <c r="C2691" s="68"/>
    </row>
    <row r="2692" ht="15">
      <c r="C2692" s="68"/>
    </row>
    <row r="2693" ht="15">
      <c r="C2693" s="68"/>
    </row>
    <row r="2694" ht="15">
      <c r="C2694" s="68"/>
    </row>
    <row r="2695" ht="15">
      <c r="C2695" s="68"/>
    </row>
    <row r="2696" ht="15">
      <c r="C2696" s="68"/>
    </row>
    <row r="2697" ht="15">
      <c r="C2697" s="68"/>
    </row>
    <row r="2698" ht="15">
      <c r="C2698" s="68"/>
    </row>
    <row r="2699" ht="15">
      <c r="C2699" s="68"/>
    </row>
    <row r="2700" ht="15">
      <c r="C2700" s="68"/>
    </row>
    <row r="2701" ht="15">
      <c r="C2701" s="68"/>
    </row>
    <row r="2702" ht="15">
      <c r="C2702" s="68"/>
    </row>
    <row r="2703" ht="15">
      <c r="C2703" s="68"/>
    </row>
    <row r="2704" ht="15">
      <c r="C2704" s="68"/>
    </row>
    <row r="2705" ht="15">
      <c r="C2705" s="68"/>
    </row>
    <row r="2706" ht="15">
      <c r="C2706" s="68"/>
    </row>
    <row r="2707" ht="15">
      <c r="C2707" s="68"/>
    </row>
    <row r="2708" ht="15">
      <c r="C2708" s="68"/>
    </row>
    <row r="2709" ht="15">
      <c r="C2709" s="68"/>
    </row>
    <row r="2710" ht="15">
      <c r="C2710" s="68"/>
    </row>
    <row r="2711" ht="15">
      <c r="C2711" s="68"/>
    </row>
    <row r="2712" ht="15">
      <c r="C2712" s="68"/>
    </row>
    <row r="2713" ht="15">
      <c r="C2713" s="68"/>
    </row>
    <row r="2714" ht="15">
      <c r="C2714" s="68"/>
    </row>
    <row r="2715" ht="15">
      <c r="C2715" s="68"/>
    </row>
    <row r="2716" ht="15">
      <c r="C2716" s="68"/>
    </row>
    <row r="2717" ht="15">
      <c r="C2717" s="68"/>
    </row>
    <row r="2718" ht="15">
      <c r="C2718" s="68"/>
    </row>
    <row r="2719" ht="15">
      <c r="C2719" s="68"/>
    </row>
    <row r="2720" ht="15">
      <c r="C2720" s="68"/>
    </row>
    <row r="2721" ht="15">
      <c r="C2721" s="68"/>
    </row>
    <row r="2722" ht="15">
      <c r="C2722" s="68"/>
    </row>
    <row r="2723" ht="15">
      <c r="C2723" s="68"/>
    </row>
    <row r="2724" ht="15">
      <c r="C2724" s="68"/>
    </row>
    <row r="2725" ht="15">
      <c r="C2725" s="68"/>
    </row>
    <row r="2726" ht="15">
      <c r="C2726" s="68"/>
    </row>
    <row r="2727" ht="15">
      <c r="C2727" s="68"/>
    </row>
    <row r="2728" ht="15">
      <c r="C2728" s="68"/>
    </row>
    <row r="2729" ht="15">
      <c r="C2729" s="68"/>
    </row>
    <row r="2730" ht="15">
      <c r="C2730" s="68"/>
    </row>
    <row r="2731" ht="15">
      <c r="C2731" s="68"/>
    </row>
    <row r="2732" ht="15">
      <c r="C2732" s="68"/>
    </row>
    <row r="2733" ht="15">
      <c r="C2733" s="68"/>
    </row>
    <row r="2734" ht="15">
      <c r="C2734" s="68"/>
    </row>
    <row r="2735" ht="15">
      <c r="C2735" s="68"/>
    </row>
    <row r="2736" ht="15">
      <c r="C2736" s="68"/>
    </row>
    <row r="2737" ht="15">
      <c r="C2737" s="68"/>
    </row>
    <row r="2738" ht="15">
      <c r="C2738" s="68"/>
    </row>
    <row r="2739" ht="15">
      <c r="C2739" s="68"/>
    </row>
    <row r="2740" ht="15">
      <c r="C2740" s="68"/>
    </row>
    <row r="2741" ht="15">
      <c r="C2741" s="68"/>
    </row>
    <row r="2742" ht="15">
      <c r="C2742" s="68"/>
    </row>
    <row r="2743" ht="15">
      <c r="C2743" s="68"/>
    </row>
    <row r="2744" ht="15">
      <c r="C2744" s="68"/>
    </row>
    <row r="2745" ht="15">
      <c r="C2745" s="68"/>
    </row>
    <row r="2746" ht="15">
      <c r="C2746" s="68"/>
    </row>
    <row r="2747" ht="15">
      <c r="C2747" s="68"/>
    </row>
    <row r="2748" ht="15">
      <c r="C2748" s="68"/>
    </row>
    <row r="2749" ht="15">
      <c r="C2749" s="68"/>
    </row>
    <row r="2750" ht="15">
      <c r="C2750" s="68"/>
    </row>
    <row r="2751" ht="15">
      <c r="C2751" s="68"/>
    </row>
    <row r="2752" ht="15">
      <c r="C2752" s="68"/>
    </row>
    <row r="2753" ht="15">
      <c r="C2753" s="68"/>
    </row>
    <row r="2754" ht="15">
      <c r="C2754" s="68"/>
    </row>
    <row r="2755" ht="15">
      <c r="C2755" s="68"/>
    </row>
    <row r="2756" ht="15">
      <c r="C2756" s="68"/>
    </row>
    <row r="2757" ht="15">
      <c r="C2757" s="68"/>
    </row>
    <row r="2758" ht="15">
      <c r="C2758" s="68"/>
    </row>
    <row r="2759" ht="15">
      <c r="C2759" s="68"/>
    </row>
    <row r="2760" ht="15">
      <c r="C2760" s="68"/>
    </row>
    <row r="2761" ht="15">
      <c r="C2761" s="68"/>
    </row>
    <row r="2762" ht="15">
      <c r="C2762" s="68"/>
    </row>
    <row r="2763" ht="15">
      <c r="C2763" s="68"/>
    </row>
    <row r="2764" ht="15">
      <c r="C2764" s="68"/>
    </row>
    <row r="2765" ht="15">
      <c r="C2765" s="68"/>
    </row>
    <row r="2766" ht="15">
      <c r="C2766" s="68"/>
    </row>
    <row r="2767" ht="15">
      <c r="C2767" s="68"/>
    </row>
    <row r="2768" ht="15">
      <c r="C2768" s="68"/>
    </row>
    <row r="2769" ht="15">
      <c r="C2769" s="68"/>
    </row>
    <row r="2770" ht="15">
      <c r="C2770" s="68"/>
    </row>
    <row r="2771" ht="15">
      <c r="C2771" s="68"/>
    </row>
    <row r="2772" ht="15">
      <c r="C2772" s="68"/>
    </row>
    <row r="2773" ht="15">
      <c r="C2773" s="68"/>
    </row>
    <row r="2774" ht="15">
      <c r="C2774" s="68"/>
    </row>
    <row r="2775" ht="15">
      <c r="C2775" s="68"/>
    </row>
    <row r="2776" ht="15">
      <c r="C2776" s="68"/>
    </row>
    <row r="2777" ht="15">
      <c r="C2777" s="68"/>
    </row>
    <row r="2778" ht="15">
      <c r="C2778" s="68"/>
    </row>
    <row r="2779" ht="15">
      <c r="C2779" s="68"/>
    </row>
    <row r="2780" ht="15">
      <c r="C2780" s="68"/>
    </row>
    <row r="2781" ht="15">
      <c r="C2781" s="68"/>
    </row>
    <row r="2782" ht="15">
      <c r="C2782" s="68"/>
    </row>
    <row r="2783" ht="15">
      <c r="C2783" s="68"/>
    </row>
    <row r="2784" ht="15">
      <c r="C2784" s="68"/>
    </row>
    <row r="2785" ht="15">
      <c r="C2785" s="68"/>
    </row>
    <row r="2786" ht="15">
      <c r="C2786" s="68"/>
    </row>
    <row r="2787" ht="15">
      <c r="C2787" s="68"/>
    </row>
    <row r="2788" ht="15">
      <c r="C2788" s="68"/>
    </row>
    <row r="2789" ht="15">
      <c r="C2789" s="68"/>
    </row>
    <row r="2790" ht="15">
      <c r="C2790" s="68"/>
    </row>
    <row r="2791" ht="15">
      <c r="C2791" s="68"/>
    </row>
    <row r="2792" ht="15">
      <c r="C2792" s="68"/>
    </row>
    <row r="2793" ht="15">
      <c r="C2793" s="68"/>
    </row>
    <row r="2794" ht="15">
      <c r="C2794" s="68"/>
    </row>
    <row r="2795" ht="15">
      <c r="C2795" s="68"/>
    </row>
    <row r="2796" ht="15">
      <c r="C2796" s="68"/>
    </row>
    <row r="2797" ht="15">
      <c r="C2797" s="68"/>
    </row>
    <row r="2798" ht="15">
      <c r="C2798" s="68"/>
    </row>
    <row r="2799" ht="15">
      <c r="C2799" s="68"/>
    </row>
    <row r="2800" ht="15">
      <c r="C2800" s="68"/>
    </row>
    <row r="2801" ht="15">
      <c r="C2801" s="68"/>
    </row>
    <row r="2802" ht="15">
      <c r="C2802" s="68"/>
    </row>
    <row r="2803" ht="15">
      <c r="C2803" s="68"/>
    </row>
    <row r="2804" ht="15">
      <c r="C2804" s="68"/>
    </row>
    <row r="2805" ht="15">
      <c r="C2805" s="68"/>
    </row>
    <row r="2806" ht="15">
      <c r="C2806" s="68"/>
    </row>
    <row r="2807" ht="15">
      <c r="C2807" s="68"/>
    </row>
    <row r="2808" ht="15">
      <c r="C2808" s="68"/>
    </row>
    <row r="2809" ht="15">
      <c r="C2809" s="68"/>
    </row>
    <row r="2810" ht="15">
      <c r="C2810" s="68"/>
    </row>
    <row r="2811" ht="15">
      <c r="C2811" s="68"/>
    </row>
    <row r="2812" ht="15">
      <c r="C2812" s="68"/>
    </row>
    <row r="2813" ht="15">
      <c r="C2813" s="68"/>
    </row>
    <row r="2814" ht="15">
      <c r="C2814" s="68"/>
    </row>
    <row r="2815" ht="15">
      <c r="C2815" s="68"/>
    </row>
    <row r="2816" ht="15">
      <c r="C2816" s="68"/>
    </row>
    <row r="2817" ht="15">
      <c r="C2817" s="68"/>
    </row>
    <row r="2818" ht="15">
      <c r="C2818" s="68"/>
    </row>
    <row r="2819" ht="15">
      <c r="C2819" s="68"/>
    </row>
    <row r="2820" ht="15">
      <c r="C2820" s="68"/>
    </row>
    <row r="2821" ht="15">
      <c r="C2821" s="68"/>
    </row>
    <row r="2822" ht="15">
      <c r="C2822" s="68"/>
    </row>
    <row r="2823" ht="15">
      <c r="C2823" s="68"/>
    </row>
    <row r="2824" ht="15">
      <c r="C2824" s="68"/>
    </row>
    <row r="2825" ht="15">
      <c r="C2825" s="68"/>
    </row>
    <row r="2826" ht="15">
      <c r="C2826" s="68"/>
    </row>
    <row r="2827" ht="15">
      <c r="C2827" s="68"/>
    </row>
    <row r="2828" ht="15">
      <c r="C2828" s="68"/>
    </row>
    <row r="2829" ht="15">
      <c r="C2829" s="68"/>
    </row>
    <row r="2830" ht="15">
      <c r="C2830" s="68"/>
    </row>
    <row r="2831" ht="15">
      <c r="C2831" s="68"/>
    </row>
    <row r="2832" ht="15">
      <c r="C2832" s="68"/>
    </row>
    <row r="2833" ht="15">
      <c r="C2833" s="68"/>
    </row>
    <row r="2834" ht="15">
      <c r="C2834" s="68"/>
    </row>
    <row r="2835" ht="15">
      <c r="C2835" s="68"/>
    </row>
    <row r="2836" ht="15">
      <c r="C2836" s="68"/>
    </row>
    <row r="2837" ht="15">
      <c r="C2837" s="68"/>
    </row>
    <row r="2838" ht="15">
      <c r="C2838" s="68"/>
    </row>
    <row r="2839" ht="15">
      <c r="C2839" s="68"/>
    </row>
    <row r="2840" ht="15">
      <c r="C2840" s="68"/>
    </row>
    <row r="2841" ht="15">
      <c r="C2841" s="68"/>
    </row>
    <row r="2842" ht="15">
      <c r="C2842" s="68"/>
    </row>
    <row r="2843" ht="15">
      <c r="C2843" s="68"/>
    </row>
    <row r="2844" ht="15">
      <c r="C2844" s="68"/>
    </row>
    <row r="2845" ht="15">
      <c r="C2845" s="68"/>
    </row>
    <row r="2846" ht="15">
      <c r="C2846" s="68"/>
    </row>
    <row r="2847" ht="15">
      <c r="C2847" s="68"/>
    </row>
    <row r="2848" ht="15">
      <c r="C2848" s="68"/>
    </row>
    <row r="2849" ht="15">
      <c r="C2849" s="68"/>
    </row>
    <row r="2850" ht="15">
      <c r="C2850" s="68"/>
    </row>
    <row r="2851" ht="15">
      <c r="C2851" s="68"/>
    </row>
    <row r="2852" ht="15">
      <c r="C2852" s="68"/>
    </row>
    <row r="2853" ht="15">
      <c r="C2853" s="68"/>
    </row>
    <row r="2854" ht="15">
      <c r="C2854" s="68"/>
    </row>
    <row r="2855" ht="15">
      <c r="C2855" s="68"/>
    </row>
    <row r="2856" ht="15">
      <c r="C2856" s="68"/>
    </row>
    <row r="2857" ht="15">
      <c r="C2857" s="68"/>
    </row>
    <row r="2858" ht="15">
      <c r="C2858" s="68"/>
    </row>
    <row r="2859" ht="15">
      <c r="C2859" s="68"/>
    </row>
    <row r="2860" ht="15">
      <c r="C2860" s="68"/>
    </row>
    <row r="2861" ht="15">
      <c r="C2861" s="68"/>
    </row>
    <row r="2862" ht="15">
      <c r="C2862" s="68"/>
    </row>
    <row r="2863" ht="15">
      <c r="C2863" s="68"/>
    </row>
    <row r="2864" ht="15">
      <c r="C2864" s="68"/>
    </row>
    <row r="2865" ht="15">
      <c r="C2865" s="68"/>
    </row>
    <row r="2866" ht="15">
      <c r="C2866" s="68"/>
    </row>
    <row r="2867" ht="15">
      <c r="C2867" s="68"/>
    </row>
    <row r="2868" ht="15">
      <c r="C2868" s="68"/>
    </row>
    <row r="2869" ht="15">
      <c r="C2869" s="68"/>
    </row>
    <row r="2870" ht="15">
      <c r="C2870" s="68"/>
    </row>
    <row r="2871" ht="15">
      <c r="C2871" s="68"/>
    </row>
    <row r="2872" ht="15">
      <c r="C2872" s="68"/>
    </row>
    <row r="2873" ht="15">
      <c r="C2873" s="68"/>
    </row>
    <row r="2874" ht="15">
      <c r="C2874" s="68"/>
    </row>
    <row r="2875" ht="15">
      <c r="C2875" s="68"/>
    </row>
    <row r="2876" ht="15">
      <c r="C2876" s="68"/>
    </row>
    <row r="2877" ht="15">
      <c r="C2877" s="68"/>
    </row>
    <row r="2878" ht="15">
      <c r="C2878" s="68"/>
    </row>
    <row r="2879" ht="15">
      <c r="C2879" s="68"/>
    </row>
    <row r="2880" ht="15">
      <c r="C2880" s="68"/>
    </row>
    <row r="2881" ht="15">
      <c r="C2881" s="68"/>
    </row>
    <row r="2882" ht="15">
      <c r="C2882" s="68"/>
    </row>
    <row r="2883" ht="15">
      <c r="C2883" s="68"/>
    </row>
    <row r="2884" ht="15">
      <c r="C2884" s="68"/>
    </row>
    <row r="2885" ht="15">
      <c r="C2885" s="68"/>
    </row>
    <row r="2886" ht="15">
      <c r="C2886" s="68"/>
    </row>
    <row r="2887" ht="15">
      <c r="C2887" s="68"/>
    </row>
    <row r="2888" ht="15">
      <c r="C2888" s="68"/>
    </row>
    <row r="2889" ht="15">
      <c r="C2889" s="68"/>
    </row>
    <row r="2890" ht="15">
      <c r="C2890" s="68"/>
    </row>
    <row r="2891" ht="15">
      <c r="C2891" s="68"/>
    </row>
    <row r="2892" ht="15">
      <c r="C2892" s="68"/>
    </row>
    <row r="2893" ht="15">
      <c r="C2893" s="68"/>
    </row>
    <row r="2894" ht="15">
      <c r="C2894" s="68"/>
    </row>
    <row r="2895" ht="15">
      <c r="C2895" s="68"/>
    </row>
    <row r="2896" ht="15">
      <c r="C2896" s="68"/>
    </row>
    <row r="2897" ht="15">
      <c r="C2897" s="68"/>
    </row>
    <row r="2898" ht="15">
      <c r="C2898" s="68"/>
    </row>
    <row r="2899" ht="15">
      <c r="C2899" s="68"/>
    </row>
    <row r="2900" ht="15">
      <c r="C2900" s="68"/>
    </row>
    <row r="2901" ht="15">
      <c r="C2901" s="68"/>
    </row>
    <row r="2902" ht="15">
      <c r="C2902" s="68"/>
    </row>
    <row r="2903" ht="15">
      <c r="C2903" s="68"/>
    </row>
    <row r="2904" ht="15">
      <c r="C2904" s="68"/>
    </row>
    <row r="2905" ht="15">
      <c r="C2905" s="68"/>
    </row>
    <row r="2906" ht="15">
      <c r="C2906" s="68"/>
    </row>
    <row r="2907" ht="15">
      <c r="C2907" s="68"/>
    </row>
    <row r="2908" ht="15">
      <c r="C2908" s="68"/>
    </row>
    <row r="2909" ht="15">
      <c r="C2909" s="68"/>
    </row>
    <row r="2910" ht="15">
      <c r="C2910" s="68"/>
    </row>
    <row r="2911" ht="15">
      <c r="C2911" s="68"/>
    </row>
    <row r="2912" ht="15">
      <c r="C2912" s="68"/>
    </row>
    <row r="2913" ht="15">
      <c r="C2913" s="68"/>
    </row>
    <row r="2914" ht="15">
      <c r="C2914" s="68"/>
    </row>
    <row r="2915" ht="15">
      <c r="C2915" s="68"/>
    </row>
    <row r="2916" ht="15">
      <c r="C2916" s="68"/>
    </row>
    <row r="2917" ht="15">
      <c r="C2917" s="68"/>
    </row>
    <row r="2918" ht="15">
      <c r="C2918" s="68"/>
    </row>
    <row r="2919" ht="15">
      <c r="C2919" s="68"/>
    </row>
    <row r="2920" ht="15">
      <c r="C2920" s="68"/>
    </row>
    <row r="2921" ht="15">
      <c r="C2921" s="68"/>
    </row>
    <row r="2922" ht="15">
      <c r="C2922" s="68"/>
    </row>
    <row r="2923" ht="15">
      <c r="C2923" s="68"/>
    </row>
    <row r="2924" ht="15">
      <c r="C2924" s="68"/>
    </row>
    <row r="2925" ht="15">
      <c r="C2925" s="68"/>
    </row>
    <row r="2926" ht="15">
      <c r="C2926" s="68"/>
    </row>
    <row r="2927" ht="15">
      <c r="C2927" s="68"/>
    </row>
    <row r="2928" ht="15">
      <c r="C2928" s="68"/>
    </row>
    <row r="2929" ht="15">
      <c r="C2929" s="68"/>
    </row>
    <row r="2930" ht="15">
      <c r="C2930" s="68"/>
    </row>
    <row r="2931" ht="15">
      <c r="C2931" s="68"/>
    </row>
    <row r="2932" ht="15">
      <c r="C2932" s="68"/>
    </row>
    <row r="2933" ht="15">
      <c r="C2933" s="68"/>
    </row>
    <row r="2934" ht="15">
      <c r="C2934" s="68"/>
    </row>
    <row r="2935" ht="15">
      <c r="C2935" s="68"/>
    </row>
    <row r="2936" ht="15">
      <c r="C2936" s="68"/>
    </row>
    <row r="2937" ht="15">
      <c r="C2937" s="68"/>
    </row>
    <row r="2938" ht="15">
      <c r="C2938" s="68"/>
    </row>
    <row r="2939" ht="15">
      <c r="C2939" s="68"/>
    </row>
    <row r="2940" ht="15">
      <c r="C2940" s="68"/>
    </row>
    <row r="2941" ht="15">
      <c r="C2941" s="68"/>
    </row>
    <row r="2942" ht="15">
      <c r="C2942" s="68"/>
    </row>
    <row r="2943" ht="15">
      <c r="C2943" s="68"/>
    </row>
    <row r="2944" ht="15">
      <c r="C2944" s="68"/>
    </row>
    <row r="2945" ht="15">
      <c r="C2945" s="68"/>
    </row>
    <row r="2946" ht="15">
      <c r="C2946" s="68"/>
    </row>
    <row r="2947" ht="15">
      <c r="C2947" s="68"/>
    </row>
    <row r="2948" ht="15">
      <c r="C2948" s="68"/>
    </row>
    <row r="2949" ht="15">
      <c r="C2949" s="68"/>
    </row>
    <row r="2950" ht="15">
      <c r="C2950" s="68"/>
    </row>
    <row r="2951" ht="15">
      <c r="C2951" s="68"/>
    </row>
    <row r="2952" ht="15">
      <c r="C2952" s="68"/>
    </row>
    <row r="2953" ht="15">
      <c r="C2953" s="68"/>
    </row>
    <row r="2954" ht="15">
      <c r="C2954" s="68"/>
    </row>
    <row r="2955" ht="15">
      <c r="C2955" s="68"/>
    </row>
    <row r="2956" ht="15">
      <c r="C2956" s="68"/>
    </row>
    <row r="2957" ht="15">
      <c r="C2957" s="68"/>
    </row>
    <row r="2958" ht="15">
      <c r="C2958" s="68"/>
    </row>
    <row r="2959" ht="15">
      <c r="C2959" s="68"/>
    </row>
    <row r="2960" ht="15">
      <c r="C2960" s="68"/>
    </row>
    <row r="2961" ht="15">
      <c r="C2961" s="68"/>
    </row>
    <row r="2962" ht="15">
      <c r="C2962" s="68"/>
    </row>
    <row r="2963" ht="15">
      <c r="C2963" s="68"/>
    </row>
    <row r="2964" ht="15">
      <c r="C2964" s="68"/>
    </row>
    <row r="2965" ht="15">
      <c r="C2965" s="68"/>
    </row>
    <row r="2966" ht="15">
      <c r="C2966" s="68"/>
    </row>
    <row r="2967" ht="15">
      <c r="C2967" s="68"/>
    </row>
    <row r="2968" ht="15">
      <c r="C2968" s="68"/>
    </row>
    <row r="2969" ht="15">
      <c r="C2969" s="68"/>
    </row>
    <row r="2970" ht="15">
      <c r="C2970" s="68"/>
    </row>
    <row r="2971" ht="15">
      <c r="C2971" s="68"/>
    </row>
    <row r="2972" ht="15">
      <c r="C2972" s="68"/>
    </row>
    <row r="2973" ht="15">
      <c r="C2973" s="68"/>
    </row>
    <row r="2974" ht="15">
      <c r="C2974" s="68"/>
    </row>
    <row r="2975" ht="15">
      <c r="C2975" s="68"/>
    </row>
    <row r="2976" ht="15">
      <c r="C2976" s="68"/>
    </row>
    <row r="2977" ht="15">
      <c r="C2977" s="68"/>
    </row>
    <row r="2978" ht="15">
      <c r="C2978" s="68"/>
    </row>
    <row r="2979" ht="15">
      <c r="C2979" s="68"/>
    </row>
    <row r="2980" ht="15">
      <c r="C2980" s="68"/>
    </row>
    <row r="2981" ht="15">
      <c r="C2981" s="68"/>
    </row>
    <row r="2982" ht="15">
      <c r="C2982" s="68"/>
    </row>
    <row r="2983" ht="15">
      <c r="C2983" s="68"/>
    </row>
    <row r="2984" ht="15">
      <c r="C2984" s="68"/>
    </row>
    <row r="2985" ht="15">
      <c r="C2985" s="68"/>
    </row>
    <row r="2986" ht="15">
      <c r="C2986" s="68"/>
    </row>
    <row r="2987" ht="15">
      <c r="C2987" s="68"/>
    </row>
    <row r="2988" ht="15">
      <c r="C2988" s="68"/>
    </row>
    <row r="2989" ht="15">
      <c r="C2989" s="68"/>
    </row>
    <row r="2990" ht="15">
      <c r="C2990" s="68"/>
    </row>
    <row r="2991" ht="15">
      <c r="C2991" s="68"/>
    </row>
    <row r="2992" ht="15">
      <c r="C2992" s="68"/>
    </row>
    <row r="2993" ht="15">
      <c r="C2993" s="68"/>
    </row>
    <row r="2994" ht="15">
      <c r="C2994" s="68"/>
    </row>
    <row r="2995" ht="15">
      <c r="C2995" s="68"/>
    </row>
    <row r="2996" ht="15">
      <c r="C2996" s="68"/>
    </row>
    <row r="2997" ht="15">
      <c r="C2997" s="68"/>
    </row>
    <row r="2998" ht="15">
      <c r="C2998" s="68"/>
    </row>
    <row r="2999" ht="15">
      <c r="C2999" s="68"/>
    </row>
    <row r="3000" ht="15">
      <c r="C3000" s="68"/>
    </row>
    <row r="3001" ht="15">
      <c r="C3001" s="68"/>
    </row>
    <row r="3002" ht="15">
      <c r="C3002" s="68"/>
    </row>
    <row r="3003" ht="15">
      <c r="C3003" s="68"/>
    </row>
    <row r="3004" ht="15">
      <c r="C3004" s="68"/>
    </row>
    <row r="3005" ht="15">
      <c r="C3005" s="68"/>
    </row>
    <row r="3006" ht="15">
      <c r="C3006" s="68"/>
    </row>
    <row r="3007" ht="15">
      <c r="C3007" s="68"/>
    </row>
    <row r="3008" ht="15">
      <c r="C3008" s="68"/>
    </row>
    <row r="3009" ht="15">
      <c r="C3009" s="68"/>
    </row>
    <row r="3010" ht="15">
      <c r="C3010" s="68"/>
    </row>
    <row r="3011" ht="15">
      <c r="C3011" s="68"/>
    </row>
    <row r="3012" ht="15">
      <c r="C3012" s="68"/>
    </row>
    <row r="3013" ht="15">
      <c r="C3013" s="68"/>
    </row>
    <row r="3014" ht="15">
      <c r="C3014" s="68"/>
    </row>
    <row r="3015" ht="15">
      <c r="C3015" s="68"/>
    </row>
    <row r="3016" ht="15">
      <c r="C3016" s="68"/>
    </row>
    <row r="3017" ht="15">
      <c r="C3017" s="68"/>
    </row>
    <row r="3018" ht="15">
      <c r="C3018" s="68"/>
    </row>
    <row r="3019" ht="15">
      <c r="C3019" s="68"/>
    </row>
    <row r="3020" ht="15">
      <c r="C3020" s="68"/>
    </row>
    <row r="3021" ht="15">
      <c r="C3021" s="68"/>
    </row>
    <row r="3022" ht="15">
      <c r="C3022" s="68"/>
    </row>
    <row r="3023" ht="15">
      <c r="C3023" s="68"/>
    </row>
    <row r="3024" ht="15">
      <c r="C3024" s="68"/>
    </row>
    <row r="3025" ht="15">
      <c r="C3025" s="68"/>
    </row>
    <row r="3026" ht="15">
      <c r="C3026" s="68"/>
    </row>
    <row r="3027" ht="15">
      <c r="C3027" s="68"/>
    </row>
    <row r="3028" ht="15">
      <c r="C3028" s="68"/>
    </row>
    <row r="3029" ht="15">
      <c r="C3029" s="68"/>
    </row>
    <row r="3030" ht="15">
      <c r="C3030" s="68"/>
    </row>
    <row r="3031" ht="15">
      <c r="C3031" s="68"/>
    </row>
    <row r="3032" ht="15">
      <c r="C3032" s="68"/>
    </row>
    <row r="3033" ht="15">
      <c r="C3033" s="68"/>
    </row>
    <row r="3034" ht="15">
      <c r="C3034" s="68"/>
    </row>
    <row r="3035" ht="15">
      <c r="C3035" s="68"/>
    </row>
    <row r="3036" ht="15">
      <c r="C3036" s="68"/>
    </row>
    <row r="3037" ht="15">
      <c r="C3037" s="68"/>
    </row>
    <row r="3038" ht="15">
      <c r="C3038" s="68"/>
    </row>
    <row r="3039" ht="15">
      <c r="C3039" s="68"/>
    </row>
    <row r="3040" ht="15">
      <c r="C3040" s="68"/>
    </row>
    <row r="3041" ht="15">
      <c r="C3041" s="68"/>
    </row>
    <row r="3042" ht="15">
      <c r="C3042" s="68"/>
    </row>
    <row r="3043" ht="15">
      <c r="C3043" s="68"/>
    </row>
    <row r="3044" ht="15">
      <c r="C3044" s="68"/>
    </row>
    <row r="3045" ht="15">
      <c r="C3045" s="68"/>
    </row>
    <row r="3046" ht="15">
      <c r="C3046" s="68"/>
    </row>
    <row r="3047" ht="15">
      <c r="C3047" s="68"/>
    </row>
    <row r="3048" ht="15">
      <c r="C3048" s="68"/>
    </row>
    <row r="3049" ht="15">
      <c r="C3049" s="68"/>
    </row>
    <row r="3050" ht="15">
      <c r="C3050" s="68"/>
    </row>
    <row r="3051" ht="15">
      <c r="C3051" s="68"/>
    </row>
    <row r="3052" ht="15">
      <c r="C3052" s="68"/>
    </row>
    <row r="3053" ht="15">
      <c r="C3053" s="68"/>
    </row>
    <row r="3054" ht="15">
      <c r="C3054" s="68"/>
    </row>
    <row r="3055" ht="15">
      <c r="C3055" s="68"/>
    </row>
    <row r="3056" ht="15">
      <c r="C3056" s="68"/>
    </row>
    <row r="3057" ht="15">
      <c r="C3057" s="68"/>
    </row>
    <row r="3058" ht="15">
      <c r="C3058" s="68"/>
    </row>
    <row r="3059" ht="15">
      <c r="C3059" s="68"/>
    </row>
    <row r="3060" ht="15">
      <c r="C3060" s="68"/>
    </row>
    <row r="3061" ht="15">
      <c r="C3061" s="68"/>
    </row>
    <row r="3062" ht="15">
      <c r="C3062" s="68"/>
    </row>
    <row r="3063" ht="15">
      <c r="C3063" s="68"/>
    </row>
    <row r="3064" ht="15">
      <c r="C3064" s="68"/>
    </row>
    <row r="3065" ht="15">
      <c r="C3065" s="68"/>
    </row>
    <row r="3066" ht="15">
      <c r="C3066" s="68"/>
    </row>
    <row r="3067" ht="15">
      <c r="C3067" s="68"/>
    </row>
    <row r="3068" ht="15">
      <c r="C3068" s="68"/>
    </row>
    <row r="3069" ht="15">
      <c r="C3069" s="68"/>
    </row>
    <row r="3070" ht="15">
      <c r="C3070" s="68"/>
    </row>
    <row r="3071" ht="15">
      <c r="C3071" s="68"/>
    </row>
    <row r="3072" ht="15">
      <c r="C3072" s="68"/>
    </row>
    <row r="3073" ht="15">
      <c r="C3073" s="68"/>
    </row>
    <row r="3074" ht="15">
      <c r="C3074" s="68"/>
    </row>
    <row r="3075" ht="15">
      <c r="C3075" s="68"/>
    </row>
    <row r="3076" ht="15">
      <c r="C3076" s="68"/>
    </row>
    <row r="3077" ht="15">
      <c r="C3077" s="68"/>
    </row>
    <row r="3078" ht="15">
      <c r="C3078" s="68"/>
    </row>
    <row r="3079" ht="15">
      <c r="C3079" s="68"/>
    </row>
    <row r="3080" ht="15">
      <c r="C3080" s="68"/>
    </row>
    <row r="3081" ht="15">
      <c r="C3081" s="68"/>
    </row>
    <row r="3082" ht="15">
      <c r="C3082" s="68"/>
    </row>
    <row r="3083" ht="15">
      <c r="C3083" s="68"/>
    </row>
    <row r="3084" ht="15">
      <c r="C3084" s="68"/>
    </row>
    <row r="3085" ht="15">
      <c r="C3085" s="68"/>
    </row>
    <row r="3086" ht="15">
      <c r="C3086" s="68"/>
    </row>
    <row r="3087" ht="15">
      <c r="C3087" s="68"/>
    </row>
    <row r="3088" ht="15">
      <c r="C3088" s="68"/>
    </row>
    <row r="3089" ht="15">
      <c r="C3089" s="68"/>
    </row>
    <row r="3090" ht="15">
      <c r="C3090" s="68"/>
    </row>
    <row r="3091" ht="15">
      <c r="C3091" s="68"/>
    </row>
    <row r="3092" ht="15">
      <c r="C3092" s="68"/>
    </row>
    <row r="3093" ht="15">
      <c r="C3093" s="68"/>
    </row>
    <row r="3094" ht="15">
      <c r="C3094" s="68"/>
    </row>
    <row r="3095" ht="15">
      <c r="C3095" s="68"/>
    </row>
    <row r="3096" ht="15">
      <c r="C3096" s="68"/>
    </row>
    <row r="3097" ht="15">
      <c r="C3097" s="68"/>
    </row>
    <row r="3098" ht="15">
      <c r="C3098" s="68"/>
    </row>
    <row r="3099" ht="15">
      <c r="C3099" s="68"/>
    </row>
    <row r="3100" ht="15">
      <c r="C3100" s="68"/>
    </row>
    <row r="3101" ht="15">
      <c r="C3101" s="68"/>
    </row>
    <row r="3102" ht="15">
      <c r="C3102" s="68"/>
    </row>
    <row r="3103" ht="15">
      <c r="C3103" s="68"/>
    </row>
    <row r="3104" ht="15">
      <c r="C3104" s="68"/>
    </row>
    <row r="3105" ht="15">
      <c r="C3105" s="68"/>
    </row>
  </sheetData>
  <sheetProtection/>
  <mergeCells count="19">
    <mergeCell ref="B70:Q70"/>
    <mergeCell ref="B71:Q71"/>
    <mergeCell ref="B3:L3"/>
    <mergeCell ref="B4:L4"/>
    <mergeCell ref="B124:Q124"/>
    <mergeCell ref="L129:P129"/>
    <mergeCell ref="L150:P150"/>
    <mergeCell ref="F129:K129"/>
    <mergeCell ref="F150:K150"/>
    <mergeCell ref="B73:Q73"/>
    <mergeCell ref="F178:K178"/>
    <mergeCell ref="L178:P178"/>
    <mergeCell ref="F198:K198"/>
    <mergeCell ref="L198:P198"/>
    <mergeCell ref="B170:Q170"/>
    <mergeCell ref="B171:Q171"/>
    <mergeCell ref="B173:Q173"/>
    <mergeCell ref="B121:Q121"/>
    <mergeCell ref="B122:Q122"/>
  </mergeCells>
  <printOptions horizontalCentered="1"/>
  <pageMargins left="0.5" right="0.5" top="0.75" bottom="0.5" header="0.5" footer="0.5"/>
  <pageSetup fitToHeight="0" fitToWidth="1" horizontalDpi="600" verticalDpi="600" orientation="landscape" scale="49" r:id="rId3"/>
  <headerFooter alignWithMargins="0">
    <oddFooter>&amp;L&amp;D&amp;R&amp;F</oddFooter>
  </headerFooter>
  <rowBreaks count="4" manualBreakCount="4">
    <brk id="24" max="255" man="1"/>
    <brk id="67" max="255" man="1"/>
    <brk id="117" max="255" man="1"/>
    <brk id="166" max="255" man="1"/>
  </rowBreaks>
  <colBreaks count="1" manualBreakCount="1">
    <brk id="1" max="65535" man="1"/>
  </colBreaks>
  <legacyDrawing r:id="rId2"/>
</worksheet>
</file>

<file path=xl/worksheets/sheet6.xml><?xml version="1.0" encoding="utf-8"?>
<worksheet xmlns="http://schemas.openxmlformats.org/spreadsheetml/2006/main" xmlns:r="http://schemas.openxmlformats.org/officeDocument/2006/relationships">
  <sheetPr>
    <tabColor indexed="22"/>
    <pageSetUpPr fitToPage="1"/>
  </sheetPr>
  <dimension ref="A1:K40"/>
  <sheetViews>
    <sheetView zoomScale="65" zoomScaleNormal="65" zoomScalePageLayoutView="0" workbookViewId="0" topLeftCell="A1">
      <selection activeCell="A1" sqref="A1"/>
    </sheetView>
  </sheetViews>
  <sheetFormatPr defaultColWidth="8.88671875" defaultRowHeight="15"/>
  <cols>
    <col min="1" max="1" width="2.77734375" style="382" customWidth="1"/>
    <col min="2" max="2" width="7.5546875" style="382" bestFit="1" customWidth="1"/>
    <col min="3" max="3" width="1.88671875" style="382" customWidth="1"/>
    <col min="4" max="5" width="12.77734375" style="382" customWidth="1"/>
    <col min="6" max="6" width="25.77734375" style="382" customWidth="1"/>
    <col min="7" max="7" width="13.5546875" style="382" bestFit="1" customWidth="1"/>
    <col min="8" max="8" width="12.77734375" style="382" customWidth="1"/>
    <col min="9" max="9" width="13.5546875" style="382" bestFit="1" customWidth="1"/>
    <col min="10" max="10" width="5.77734375" style="382" customWidth="1"/>
    <col min="11" max="16384" width="8.88671875" style="382" customWidth="1"/>
  </cols>
  <sheetData>
    <row r="1" spans="1:10" ht="20.25">
      <c r="A1" s="76" t="s">
        <v>1634</v>
      </c>
      <c r="J1" s="1182" t="s">
        <v>18</v>
      </c>
    </row>
    <row r="2" spans="1:10" ht="15">
      <c r="A2" s="248"/>
      <c r="J2" s="1182"/>
    </row>
    <row r="3" spans="1:10" ht="15">
      <c r="A3" s="248"/>
      <c r="J3" s="1182"/>
    </row>
    <row r="4" spans="1:10" ht="18">
      <c r="A4" s="1409" t="s">
        <v>1603</v>
      </c>
      <c r="B4" s="1396"/>
      <c r="C4" s="1396"/>
      <c r="D4" s="1396"/>
      <c r="E4" s="1396"/>
      <c r="F4" s="1396"/>
      <c r="G4" s="1396"/>
      <c r="H4" s="1396"/>
      <c r="I4" s="1396"/>
      <c r="J4" s="1396"/>
    </row>
    <row r="5" spans="1:10" ht="18">
      <c r="A5" s="1409" t="s">
        <v>1787</v>
      </c>
      <c r="B5" s="1396"/>
      <c r="C5" s="1396"/>
      <c r="D5" s="1396"/>
      <c r="E5" s="1396"/>
      <c r="F5" s="1396"/>
      <c r="G5" s="1396"/>
      <c r="H5" s="1396"/>
      <c r="I5" s="1396"/>
      <c r="J5" s="1396"/>
    </row>
    <row r="6" spans="2:11" ht="15">
      <c r="B6" s="10"/>
      <c r="C6" s="10"/>
      <c r="D6" s="10"/>
      <c r="E6" s="10"/>
      <c r="F6" s="384" t="str">
        <f>+'Actual Net Rev Req'!$C$4</f>
        <v>For the 12 months ended - December 31, 2008</v>
      </c>
      <c r="G6" s="10"/>
      <c r="H6" s="10"/>
      <c r="I6" s="10"/>
      <c r="J6" s="10"/>
      <c r="K6" s="10"/>
    </row>
    <row r="7" spans="2:11" ht="15">
      <c r="B7" s="94" t="s">
        <v>823</v>
      </c>
      <c r="C7" s="543"/>
      <c r="D7" s="543"/>
      <c r="E7" s="543"/>
      <c r="F7" s="543"/>
      <c r="G7" s="95" t="s">
        <v>28</v>
      </c>
      <c r="H7" s="95" t="s">
        <v>29</v>
      </c>
      <c r="I7" s="95" t="s">
        <v>1106</v>
      </c>
      <c r="J7" s="543"/>
      <c r="K7" s="543"/>
    </row>
    <row r="8" spans="2:11" ht="15">
      <c r="B8" s="78">
        <v>1</v>
      </c>
      <c r="C8" s="10" t="s">
        <v>963</v>
      </c>
      <c r="D8" s="10"/>
      <c r="E8" s="10"/>
      <c r="F8" s="10"/>
      <c r="G8" s="10"/>
      <c r="H8" s="10"/>
      <c r="I8" s="10"/>
      <c r="J8" s="10"/>
      <c r="K8" s="10"/>
    </row>
    <row r="9" spans="2:11" ht="15">
      <c r="B9" s="78">
        <f>B8+1</f>
        <v>2</v>
      </c>
      <c r="C9" s="10"/>
      <c r="D9" s="10" t="s">
        <v>337</v>
      </c>
      <c r="E9" s="10"/>
      <c r="F9" s="1183" t="s">
        <v>58</v>
      </c>
      <c r="G9" s="644">
        <f>'A-5 (WEN ADIT)'!E15</f>
        <v>17206237.51999998</v>
      </c>
      <c r="H9" s="645">
        <f>'A-7 (WES ADIT)'!I15</f>
        <v>15882854.75</v>
      </c>
      <c r="I9" s="328">
        <f>SUM(G9:H9)</f>
        <v>33089092.26999998</v>
      </c>
      <c r="J9" s="543"/>
      <c r="K9" s="543"/>
    </row>
    <row r="10" spans="2:11" ht="15">
      <c r="B10" s="78">
        <f>B9+1</f>
        <v>3</v>
      </c>
      <c r="C10" s="10"/>
      <c r="D10" s="79" t="s">
        <v>1106</v>
      </c>
      <c r="E10" s="10"/>
      <c r="F10" s="10"/>
      <c r="G10" s="230">
        <f>+G9</f>
        <v>17206237.51999998</v>
      </c>
      <c r="H10" s="230">
        <f>+H9</f>
        <v>15882854.75</v>
      </c>
      <c r="I10" s="230">
        <f>SUM(I9:I9)</f>
        <v>33089092.26999998</v>
      </c>
      <c r="J10" s="10"/>
      <c r="K10" s="10"/>
    </row>
    <row r="11" spans="2:11" ht="15">
      <c r="B11" s="78"/>
      <c r="C11" s="10"/>
      <c r="D11" s="79"/>
      <c r="E11" s="10"/>
      <c r="F11" s="10"/>
      <c r="G11" s="80"/>
      <c r="H11" s="80"/>
      <c r="I11" s="10"/>
      <c r="J11" s="10"/>
      <c r="K11" s="10"/>
    </row>
    <row r="12" spans="2:11" ht="15">
      <c r="B12" s="78">
        <v>4</v>
      </c>
      <c r="C12" s="10"/>
      <c r="D12" s="10" t="s">
        <v>338</v>
      </c>
      <c r="E12" s="10"/>
      <c r="F12" s="1184" t="s">
        <v>60</v>
      </c>
      <c r="G12" s="1185">
        <f>GP</f>
        <v>0.12698143054354016</v>
      </c>
      <c r="H12" s="1185">
        <f>GP</f>
        <v>0.12698143054354016</v>
      </c>
      <c r="I12" s="10"/>
      <c r="J12" s="10"/>
      <c r="K12" s="10"/>
    </row>
    <row r="13" spans="2:11" ht="15">
      <c r="B13" s="78"/>
      <c r="C13" s="10"/>
      <c r="D13" s="10"/>
      <c r="E13" s="10"/>
      <c r="F13" s="10"/>
      <c r="G13" s="81"/>
      <c r="H13" s="81"/>
      <c r="I13" s="10"/>
      <c r="J13" s="10"/>
      <c r="K13" s="10"/>
    </row>
    <row r="14" spans="2:11" ht="15">
      <c r="B14" s="78">
        <v>5</v>
      </c>
      <c r="C14" s="10"/>
      <c r="D14" s="10" t="s">
        <v>1788</v>
      </c>
      <c r="E14" s="10"/>
      <c r="F14" s="628" t="s">
        <v>339</v>
      </c>
      <c r="G14" s="230">
        <f>+G10*G12</f>
        <v>2184872.654561532</v>
      </c>
      <c r="H14" s="230">
        <f>+H12*H10</f>
        <v>2016827.617270262</v>
      </c>
      <c r="I14" s="230">
        <f>SUM(G14:H14)</f>
        <v>4201700.271831794</v>
      </c>
      <c r="J14" s="10"/>
      <c r="K14" s="10"/>
    </row>
    <row r="15" spans="2:11" ht="15">
      <c r="B15" s="78"/>
      <c r="C15" s="10"/>
      <c r="D15" s="10"/>
      <c r="E15" s="10"/>
      <c r="F15" s="10"/>
      <c r="G15" s="10"/>
      <c r="H15" s="10"/>
      <c r="I15" s="10"/>
      <c r="J15" s="10"/>
      <c r="K15" s="10"/>
    </row>
    <row r="16" spans="2:11" ht="15">
      <c r="B16" s="78">
        <v>6</v>
      </c>
      <c r="C16" s="10" t="s">
        <v>1789</v>
      </c>
      <c r="D16" s="10"/>
      <c r="E16" s="10"/>
      <c r="F16" s="1183" t="s">
        <v>59</v>
      </c>
      <c r="G16" s="1185">
        <f>'Actual Gross Rev'!L237</f>
        <v>0.08180282570846481</v>
      </c>
      <c r="H16" s="1185">
        <f>'Actual Gross Rev'!L237</f>
        <v>0.08180282570846481</v>
      </c>
      <c r="I16" s="10"/>
      <c r="J16" s="10"/>
      <c r="K16" s="10"/>
    </row>
    <row r="17" spans="2:11" ht="15">
      <c r="B17" s="78"/>
      <c r="C17" s="10"/>
      <c r="D17" s="10"/>
      <c r="E17" s="10"/>
      <c r="F17" s="10"/>
      <c r="G17" s="81"/>
      <c r="H17" s="81"/>
      <c r="I17" s="10"/>
      <c r="J17" s="10"/>
      <c r="K17" s="10"/>
    </row>
    <row r="18" spans="2:11" ht="15">
      <c r="B18" s="78">
        <v>7</v>
      </c>
      <c r="C18" s="10" t="s">
        <v>964</v>
      </c>
      <c r="D18" s="10"/>
      <c r="E18" s="10"/>
      <c r="F18" s="628" t="s">
        <v>340</v>
      </c>
      <c r="G18" s="230">
        <f>+G14*G16</f>
        <v>178728.75695628786</v>
      </c>
      <c r="H18" s="230">
        <f>+H16*H14</f>
        <v>164982.1980595776</v>
      </c>
      <c r="I18" s="230">
        <f>SUM(G18:H18)</f>
        <v>343710.9550158655</v>
      </c>
      <c r="J18" s="10"/>
      <c r="K18" s="10"/>
    </row>
    <row r="19" spans="2:11" ht="15">
      <c r="B19" s="78"/>
      <c r="C19" s="10"/>
      <c r="D19" s="10"/>
      <c r="E19" s="10"/>
      <c r="F19" s="10"/>
      <c r="G19" s="80"/>
      <c r="H19" s="80"/>
      <c r="I19" s="10"/>
      <c r="J19" s="10"/>
      <c r="K19" s="10"/>
    </row>
    <row r="20" spans="2:11" ht="15">
      <c r="B20" s="78">
        <v>8</v>
      </c>
      <c r="C20" s="10" t="s">
        <v>1790</v>
      </c>
      <c r="D20" s="10"/>
      <c r="E20" s="10"/>
      <c r="F20" s="1183" t="s">
        <v>61</v>
      </c>
      <c r="G20" s="1185">
        <f>'Actual Gross Rev'!G111</f>
        <v>0.43734046479847694</v>
      </c>
      <c r="H20" s="1185">
        <f>'Actual Gross Rev'!G111</f>
        <v>0.43734046479847694</v>
      </c>
      <c r="I20" s="10"/>
      <c r="J20" s="10"/>
      <c r="K20" s="10"/>
    </row>
    <row r="21" spans="2:11" ht="15">
      <c r="B21" s="78"/>
      <c r="C21" s="10"/>
      <c r="D21" s="10"/>
      <c r="E21" s="10"/>
      <c r="F21" s="10"/>
      <c r="G21" s="81"/>
      <c r="H21" s="81"/>
      <c r="I21" s="10"/>
      <c r="J21" s="10"/>
      <c r="K21" s="10"/>
    </row>
    <row r="22" spans="2:11" ht="15">
      <c r="B22" s="78">
        <v>9</v>
      </c>
      <c r="C22" s="10" t="s">
        <v>965</v>
      </c>
      <c r="D22" s="10"/>
      <c r="E22" s="10"/>
      <c r="F22" s="628" t="s">
        <v>341</v>
      </c>
      <c r="G22" s="230">
        <f>+G20*G18</f>
        <v>78165.31764011695</v>
      </c>
      <c r="H22" s="230">
        <f>+H20*H18</f>
        <v>72153.39118285006</v>
      </c>
      <c r="I22" s="230">
        <f>SUM(G22:H22)</f>
        <v>150318.70882296702</v>
      </c>
      <c r="J22" s="10"/>
      <c r="K22" s="10"/>
    </row>
    <row r="23" spans="2:11" ht="15">
      <c r="B23" s="78"/>
      <c r="C23" s="10"/>
      <c r="D23" s="10"/>
      <c r="E23" s="10"/>
      <c r="F23" s="10"/>
      <c r="G23" s="80"/>
      <c r="H23" s="80"/>
      <c r="I23" s="10"/>
      <c r="J23" s="10"/>
      <c r="K23" s="10"/>
    </row>
    <row r="24" spans="2:11" ht="15">
      <c r="B24" s="78">
        <v>10</v>
      </c>
      <c r="C24" s="10" t="s">
        <v>1791</v>
      </c>
      <c r="D24" s="10"/>
      <c r="E24" s="10"/>
      <c r="F24" s="10"/>
      <c r="G24" s="10"/>
      <c r="H24" s="10"/>
      <c r="I24" s="10"/>
      <c r="J24" s="10"/>
      <c r="K24" s="10"/>
    </row>
    <row r="25" spans="2:11" ht="15">
      <c r="B25" s="78">
        <f>B24+1</f>
        <v>11</v>
      </c>
      <c r="C25" s="10"/>
      <c r="D25" s="10" t="s">
        <v>1792</v>
      </c>
      <c r="E25" s="10"/>
      <c r="F25" s="10"/>
      <c r="G25" s="1186">
        <v>0</v>
      </c>
      <c r="H25" s="1186">
        <v>0</v>
      </c>
      <c r="I25" s="230">
        <f>SUM(G25:H25)</f>
        <v>0</v>
      </c>
      <c r="J25" s="10"/>
      <c r="K25" s="10"/>
    </row>
    <row r="26" spans="2:11" ht="15">
      <c r="B26" s="78">
        <f>B25+1</f>
        <v>12</v>
      </c>
      <c r="C26" s="10"/>
      <c r="D26" s="10" t="s">
        <v>1793</v>
      </c>
      <c r="E26" s="10"/>
      <c r="F26" s="10"/>
      <c r="G26" s="1187">
        <v>0</v>
      </c>
      <c r="H26" s="1187">
        <v>0</v>
      </c>
      <c r="I26" s="329">
        <f>SUM(G26:H26)</f>
        <v>0</v>
      </c>
      <c r="J26" s="10"/>
      <c r="K26" s="10"/>
    </row>
    <row r="27" spans="2:11" ht="15">
      <c r="B27" s="78">
        <f>B26+1</f>
        <v>13</v>
      </c>
      <c r="C27" s="10"/>
      <c r="D27" s="10" t="s">
        <v>1794</v>
      </c>
      <c r="E27" s="10"/>
      <c r="F27" s="10"/>
      <c r="G27" s="1187">
        <v>0</v>
      </c>
      <c r="H27" s="1187">
        <v>0</v>
      </c>
      <c r="I27" s="329">
        <f>SUM(G27:H27)</f>
        <v>0</v>
      </c>
      <c r="J27" s="10"/>
      <c r="K27" s="10"/>
    </row>
    <row r="28" spans="2:11" ht="15">
      <c r="B28" s="78">
        <f>B27+1</f>
        <v>14</v>
      </c>
      <c r="C28" s="10"/>
      <c r="D28" s="10" t="s">
        <v>1795</v>
      </c>
      <c r="E28" s="10"/>
      <c r="G28" s="1187">
        <v>0</v>
      </c>
      <c r="H28" s="1187">
        <v>0</v>
      </c>
      <c r="I28" s="329">
        <f>SUM(G28:H28)</f>
        <v>0</v>
      </c>
      <c r="J28" s="10"/>
      <c r="K28" s="10"/>
    </row>
    <row r="29" spans="2:11" ht="15.75" thickBot="1">
      <c r="B29" s="78">
        <f>B28+1</f>
        <v>15</v>
      </c>
      <c r="C29" s="10"/>
      <c r="D29" s="79" t="s">
        <v>1106</v>
      </c>
      <c r="E29" s="10"/>
      <c r="F29" s="628" t="s">
        <v>342</v>
      </c>
      <c r="G29" s="330">
        <f>SUM(G25:G28)</f>
        <v>0</v>
      </c>
      <c r="H29" s="330">
        <f>SUM(H25:H28)</f>
        <v>0</v>
      </c>
      <c r="I29" s="330">
        <f>SUM(I25:I28)</f>
        <v>0</v>
      </c>
      <c r="J29" s="10"/>
      <c r="K29" s="10"/>
    </row>
    <row r="30" spans="2:11" ht="15.75" thickTop="1">
      <c r="B30" s="78"/>
      <c r="C30" s="10"/>
      <c r="D30" s="10"/>
      <c r="E30" s="10"/>
      <c r="F30" s="10"/>
      <c r="G30" s="82"/>
      <c r="H30" s="82"/>
      <c r="I30" s="82"/>
      <c r="J30" s="10"/>
      <c r="K30" s="10"/>
    </row>
    <row r="31" spans="2:11" ht="15">
      <c r="B31" s="78">
        <v>16</v>
      </c>
      <c r="C31" s="10" t="s">
        <v>1796</v>
      </c>
      <c r="D31" s="10"/>
      <c r="E31" s="10"/>
      <c r="F31" s="628" t="s">
        <v>233</v>
      </c>
      <c r="G31" s="82">
        <f>G18+G22+G29</f>
        <v>256894.0745964048</v>
      </c>
      <c r="H31" s="82">
        <f>H18+H22+H29</f>
        <v>237135.58924242767</v>
      </c>
      <c r="I31" s="82">
        <f>+G31+H31</f>
        <v>494029.66383883246</v>
      </c>
      <c r="J31" s="10"/>
      <c r="K31" s="10"/>
    </row>
    <row r="32" spans="2:11" ht="15">
      <c r="B32" s="10"/>
      <c r="C32" s="10"/>
      <c r="D32" s="10"/>
      <c r="E32" s="10"/>
      <c r="F32" s="10"/>
      <c r="G32" s="10"/>
      <c r="H32" s="10"/>
      <c r="I32" s="10"/>
      <c r="J32" s="10"/>
      <c r="K32" s="10"/>
    </row>
    <row r="33" spans="2:11" ht="15">
      <c r="B33" s="1188"/>
      <c r="C33" s="1189"/>
      <c r="D33" s="1189"/>
      <c r="E33" s="1189"/>
      <c r="F33" s="10"/>
      <c r="G33" s="10"/>
      <c r="H33" s="10"/>
      <c r="I33" s="10"/>
      <c r="J33" s="10"/>
      <c r="K33" s="10"/>
    </row>
    <row r="34" spans="2:11" ht="15">
      <c r="B34" s="1190"/>
      <c r="C34" s="1189"/>
      <c r="D34" s="1189"/>
      <c r="E34" s="1189"/>
      <c r="F34" s="10"/>
      <c r="G34" s="10"/>
      <c r="H34" s="10"/>
      <c r="I34" s="10"/>
      <c r="J34" s="10"/>
      <c r="K34" s="10"/>
    </row>
    <row r="35" spans="2:11" ht="15">
      <c r="B35" s="1190"/>
      <c r="C35" s="1189"/>
      <c r="D35" s="1189"/>
      <c r="E35" s="1189"/>
      <c r="F35" s="10"/>
      <c r="G35" s="10"/>
      <c r="H35" s="10"/>
      <c r="I35" s="10"/>
      <c r="J35" s="10"/>
      <c r="K35" s="10"/>
    </row>
    <row r="36" spans="2:11" ht="15">
      <c r="B36" s="1190"/>
      <c r="C36" s="1189"/>
      <c r="D36" s="1189"/>
      <c r="E36" s="1189"/>
      <c r="F36" s="10"/>
      <c r="G36" s="10"/>
      <c r="H36" s="10"/>
      <c r="I36" s="10"/>
      <c r="J36" s="10"/>
      <c r="K36" s="10"/>
    </row>
    <row r="37" spans="2:11" ht="15">
      <c r="B37" s="1190"/>
      <c r="C37" s="1189"/>
      <c r="D37" s="1189"/>
      <c r="E37" s="1189"/>
      <c r="F37" s="10"/>
      <c r="G37" s="10"/>
      <c r="H37" s="10"/>
      <c r="I37" s="10"/>
      <c r="J37" s="10"/>
      <c r="K37" s="10"/>
    </row>
    <row r="38" spans="2:11" ht="15">
      <c r="B38" s="10"/>
      <c r="C38" s="10"/>
      <c r="D38" s="10"/>
      <c r="E38" s="10"/>
      <c r="F38" s="10"/>
      <c r="G38" s="10"/>
      <c r="H38" s="10"/>
      <c r="I38" s="10"/>
      <c r="J38" s="10"/>
      <c r="K38" s="10"/>
    </row>
    <row r="39" spans="2:11" ht="15">
      <c r="B39" s="10"/>
      <c r="C39" s="10"/>
      <c r="D39" s="10"/>
      <c r="E39" s="10"/>
      <c r="F39" s="10"/>
      <c r="G39" s="10"/>
      <c r="H39" s="10"/>
      <c r="I39" s="10"/>
      <c r="J39" s="10"/>
      <c r="K39" s="10"/>
    </row>
    <row r="40" spans="2:11" ht="15">
      <c r="B40" s="10"/>
      <c r="C40" s="10"/>
      <c r="D40" s="10"/>
      <c r="E40" s="10"/>
      <c r="F40" s="10"/>
      <c r="G40" s="10"/>
      <c r="H40" s="10"/>
      <c r="I40" s="10"/>
      <c r="J40" s="10"/>
      <c r="K40" s="10"/>
    </row>
  </sheetData>
  <sheetProtection/>
  <mergeCells count="2">
    <mergeCell ref="A4:J4"/>
    <mergeCell ref="A5:J5"/>
  </mergeCells>
  <printOptions horizontalCentered="1"/>
  <pageMargins left="0.75" right="0.75" top="1" bottom="0.76" header="0.5" footer="0.5"/>
  <pageSetup fitToHeight="1" fitToWidth="1" horizontalDpi="600" verticalDpi="600" orientation="landscape" scale="86" r:id="rId1"/>
  <headerFooter alignWithMargins="0">
    <oddFooter>&amp;L&amp;D&amp;R&amp;F</oddFooter>
  </headerFooter>
</worksheet>
</file>

<file path=xl/worksheets/sheet7.xml><?xml version="1.0" encoding="utf-8"?>
<worksheet xmlns="http://schemas.openxmlformats.org/spreadsheetml/2006/main" xmlns:r="http://schemas.openxmlformats.org/officeDocument/2006/relationships">
  <sheetPr>
    <tabColor indexed="22"/>
    <pageSetUpPr fitToPage="1"/>
  </sheetPr>
  <dimension ref="A1:L17"/>
  <sheetViews>
    <sheetView zoomScale="50" zoomScaleNormal="50" zoomScalePageLayoutView="0" workbookViewId="0" topLeftCell="A1">
      <selection activeCell="A1" sqref="A1"/>
    </sheetView>
  </sheetViews>
  <sheetFormatPr defaultColWidth="8.88671875" defaultRowHeight="15"/>
  <cols>
    <col min="1" max="1" width="8.5546875" style="10" customWidth="1"/>
    <col min="2" max="2" width="3.88671875" style="10" customWidth="1"/>
    <col min="3" max="3" width="50.21484375" style="10" customWidth="1"/>
    <col min="4" max="4" width="33.5546875" style="10" customWidth="1"/>
    <col min="5" max="5" width="14.10546875" style="10" customWidth="1"/>
    <col min="6" max="6" width="14.88671875" style="10" customWidth="1"/>
    <col min="7" max="7" width="5.5546875" style="10" customWidth="1"/>
    <col min="8" max="8" width="12.77734375" style="10" customWidth="1"/>
    <col min="9" max="9" width="3.88671875" style="10" customWidth="1"/>
    <col min="10" max="10" width="17.88671875" style="10" customWidth="1"/>
    <col min="11" max="16384" width="8.88671875" style="10" customWidth="1"/>
  </cols>
  <sheetData>
    <row r="1" spans="1:10" ht="20.25">
      <c r="A1" s="224" t="s">
        <v>1635</v>
      </c>
      <c r="J1" s="79" t="s">
        <v>18</v>
      </c>
    </row>
    <row r="2" spans="1:10" ht="18">
      <c r="A2" s="248"/>
      <c r="J2" s="210"/>
    </row>
    <row r="3" spans="1:10" ht="26.25">
      <c r="A3" s="209"/>
      <c r="J3" s="210"/>
    </row>
    <row r="4" spans="1:10" ht="27" customHeight="1">
      <c r="A4" s="1397" t="s">
        <v>1603</v>
      </c>
      <c r="B4" s="1398"/>
      <c r="C4" s="1398"/>
      <c r="D4" s="1399"/>
      <c r="E4" s="1399"/>
      <c r="F4" s="1399"/>
      <c r="G4" s="1399"/>
      <c r="H4" s="1399"/>
      <c r="I4" s="1399"/>
      <c r="J4" s="1399"/>
    </row>
    <row r="5" spans="1:10" ht="27" customHeight="1">
      <c r="A5" s="1397" t="s">
        <v>957</v>
      </c>
      <c r="B5" s="1398"/>
      <c r="C5" s="1398"/>
      <c r="D5" s="1398"/>
      <c r="E5" s="1398"/>
      <c r="F5" s="1398"/>
      <c r="G5" s="1398"/>
      <c r="H5" s="1398"/>
      <c r="I5" s="1398"/>
      <c r="J5" s="1398"/>
    </row>
    <row r="6" spans="1:10" ht="20.25" customHeight="1">
      <c r="A6" s="211"/>
      <c r="B6" s="100"/>
      <c r="C6" s="201"/>
      <c r="D6" s="619" t="str">
        <f>+'Actual Net Rev Req'!$C$4</f>
        <v>For the 12 months ended - December 31, 2008</v>
      </c>
      <c r="E6" s="101"/>
      <c r="F6" s="101"/>
      <c r="G6" s="100"/>
      <c r="H6" s="100"/>
      <c r="I6" s="100"/>
      <c r="J6" s="100"/>
    </row>
    <row r="7" spans="1:10" ht="72.75" customHeight="1">
      <c r="A7" s="286" t="s">
        <v>805</v>
      </c>
      <c r="B7" s="212"/>
      <c r="C7" s="213"/>
      <c r="D7" s="214"/>
      <c r="E7" s="214"/>
      <c r="F7" s="100"/>
      <c r="G7" s="100"/>
      <c r="H7" s="100"/>
      <c r="I7" s="100"/>
      <c r="J7" s="100"/>
    </row>
    <row r="8" spans="1:10" ht="20.25" customHeight="1">
      <c r="A8" s="287" t="s">
        <v>617</v>
      </c>
      <c r="B8" s="100"/>
      <c r="C8" s="11" t="s">
        <v>1291</v>
      </c>
      <c r="D8" s="21" t="s">
        <v>1100</v>
      </c>
      <c r="E8" s="4"/>
      <c r="F8" s="74"/>
      <c r="G8" s="74"/>
      <c r="H8" s="74"/>
      <c r="I8" s="74"/>
      <c r="J8" s="74"/>
    </row>
    <row r="9" spans="1:10" ht="20.25" customHeight="1">
      <c r="A9" s="100"/>
      <c r="B9" s="100"/>
      <c r="C9" s="2" t="s">
        <v>1410</v>
      </c>
      <c r="D9" s="4" t="s">
        <v>1100</v>
      </c>
      <c r="F9" s="74"/>
      <c r="G9" s="74"/>
      <c r="I9" s="74"/>
      <c r="J9" s="824">
        <v>53168149</v>
      </c>
    </row>
    <row r="10" spans="1:11" ht="20.25" customHeight="1">
      <c r="A10" s="100"/>
      <c r="B10" s="100"/>
      <c r="C10" s="165" t="s">
        <v>808</v>
      </c>
      <c r="D10" s="4"/>
      <c r="F10" s="74"/>
      <c r="G10" s="74"/>
      <c r="I10" s="74"/>
      <c r="J10" s="225"/>
      <c r="K10" s="164"/>
    </row>
    <row r="11" spans="1:11" ht="20.25" customHeight="1">
      <c r="A11" s="100"/>
      <c r="B11" s="100"/>
      <c r="C11" s="29" t="s">
        <v>1777</v>
      </c>
      <c r="D11" s="288"/>
      <c r="E11" s="29"/>
      <c r="F11" s="154"/>
      <c r="G11" s="154"/>
      <c r="H11" s="29"/>
      <c r="I11" s="29"/>
      <c r="J11" s="824">
        <v>38935337</v>
      </c>
      <c r="K11" s="164"/>
    </row>
    <row r="12" spans="1:12" ht="20.25" customHeight="1" thickBot="1">
      <c r="A12" s="100" t="s">
        <v>1100</v>
      </c>
      <c r="B12" s="100"/>
      <c r="C12" s="154" t="s">
        <v>495</v>
      </c>
      <c r="D12" s="154"/>
      <c r="E12" s="154"/>
      <c r="F12" s="154"/>
      <c r="G12" s="154"/>
      <c r="H12" s="29"/>
      <c r="I12" s="154"/>
      <c r="J12" s="289">
        <f>+J9-J11</f>
        <v>14232812</v>
      </c>
      <c r="L12" s="164"/>
    </row>
    <row r="13" spans="1:10" ht="20.25" customHeight="1" thickTop="1">
      <c r="A13" s="100"/>
      <c r="B13" s="100"/>
      <c r="D13" s="100"/>
      <c r="E13" s="100"/>
      <c r="F13" s="100"/>
      <c r="G13" s="100"/>
      <c r="H13" s="100"/>
      <c r="I13" s="100"/>
      <c r="J13" s="201"/>
    </row>
    <row r="16" ht="15">
      <c r="A16" s="164"/>
    </row>
    <row r="17" ht="15">
      <c r="A17" s="164"/>
    </row>
  </sheetData>
  <sheetProtection/>
  <mergeCells count="2">
    <mergeCell ref="A5:J5"/>
    <mergeCell ref="A4:J4"/>
  </mergeCells>
  <printOptions horizontalCentered="1"/>
  <pageMargins left="0.57" right="0.3" top="0.77" bottom="0.75" header="0.5" footer="0.5"/>
  <pageSetup fitToHeight="1" fitToWidth="1" horizontalDpi="600" verticalDpi="600" orientation="landscape" scale="65" r:id="rId1"/>
  <headerFooter alignWithMargins="0">
    <oddFooter>&amp;L&amp;D&amp;R&amp;F</oddFooter>
  </headerFooter>
</worksheet>
</file>

<file path=xl/worksheets/sheet8.xml><?xml version="1.0" encoding="utf-8"?>
<worksheet xmlns="http://schemas.openxmlformats.org/spreadsheetml/2006/main" xmlns:r="http://schemas.openxmlformats.org/officeDocument/2006/relationships">
  <sheetPr>
    <tabColor indexed="22"/>
  </sheetPr>
  <dimension ref="A1:K230"/>
  <sheetViews>
    <sheetView view="pageBreakPreview" zoomScale="75" zoomScaleNormal="50" zoomScaleSheetLayoutView="75" zoomScalePageLayoutView="0" workbookViewId="0" topLeftCell="A1">
      <selection activeCell="A1" sqref="A1"/>
    </sheetView>
  </sheetViews>
  <sheetFormatPr defaultColWidth="7.10546875" defaultRowHeight="15"/>
  <cols>
    <col min="1" max="1" width="6.3359375" style="277" customWidth="1"/>
    <col min="2" max="2" width="11.99609375" style="1155" customWidth="1"/>
    <col min="3" max="3" width="35.77734375" style="277" customWidth="1"/>
    <col min="4" max="4" width="12.99609375" style="277" bestFit="1" customWidth="1"/>
    <col min="5" max="10" width="16.77734375" style="277" customWidth="1"/>
    <col min="11" max="11" width="75.77734375" style="277" customWidth="1"/>
    <col min="12" max="16384" width="7.10546875" style="277" customWidth="1"/>
  </cols>
  <sheetData>
    <row r="1" spans="1:11" ht="20.25">
      <c r="A1" s="86" t="s">
        <v>1636</v>
      </c>
      <c r="C1" s="85"/>
      <c r="D1" s="85"/>
      <c r="E1" s="85"/>
      <c r="F1" s="85"/>
      <c r="G1" s="85"/>
      <c r="H1" s="85"/>
      <c r="I1" s="85"/>
      <c r="J1" s="1156"/>
      <c r="K1" s="1156" t="s">
        <v>23</v>
      </c>
    </row>
    <row r="2" spans="1:10" ht="15">
      <c r="A2" s="248"/>
      <c r="C2" s="85"/>
      <c r="D2" s="85"/>
      <c r="E2" s="85"/>
      <c r="F2" s="85"/>
      <c r="G2" s="85"/>
      <c r="H2" s="85"/>
      <c r="I2" s="85"/>
      <c r="J2" s="1156"/>
    </row>
    <row r="3" spans="2:11" ht="20.25">
      <c r="B3" s="86"/>
      <c r="C3" s="85"/>
      <c r="D3" s="85"/>
      <c r="E3" s="85"/>
      <c r="F3" s="85"/>
      <c r="G3" s="85"/>
      <c r="H3" s="85"/>
      <c r="I3" s="85"/>
      <c r="J3" s="85"/>
      <c r="K3" s="1157"/>
    </row>
    <row r="4" spans="2:11" ht="18">
      <c r="B4" s="1409" t="s">
        <v>1603</v>
      </c>
      <c r="C4" s="1396"/>
      <c r="D4" s="1396"/>
      <c r="E4" s="1396"/>
      <c r="F4" s="1396"/>
      <c r="G4" s="1396"/>
      <c r="H4" s="1396"/>
      <c r="I4" s="1396"/>
      <c r="J4" s="1396"/>
      <c r="K4" s="87"/>
    </row>
    <row r="5" spans="2:11" ht="18">
      <c r="B5" s="1409" t="s">
        <v>268</v>
      </c>
      <c r="C5" s="1396"/>
      <c r="D5" s="1396"/>
      <c r="E5" s="1396"/>
      <c r="F5" s="1396"/>
      <c r="G5" s="1396"/>
      <c r="H5" s="1396"/>
      <c r="I5" s="1396"/>
      <c r="J5" s="1396"/>
      <c r="K5" s="87"/>
    </row>
    <row r="6" ht="15">
      <c r="F6" s="811" t="str">
        <f>+'Actual Net Rev Req'!$C$4</f>
        <v>For the 12 months ended - December 31, 2008</v>
      </c>
    </row>
    <row r="7" spans="1:10" ht="30" customHeight="1">
      <c r="A7" s="275" t="s">
        <v>1597</v>
      </c>
      <c r="C7" s="276" t="s">
        <v>1056</v>
      </c>
      <c r="E7" s="192">
        <v>1</v>
      </c>
      <c r="F7" s="192">
        <v>1</v>
      </c>
      <c r="G7" s="1102"/>
      <c r="H7" s="278"/>
      <c r="I7" s="192">
        <v>1</v>
      </c>
      <c r="J7" s="279" t="s">
        <v>1106</v>
      </c>
    </row>
    <row r="8" spans="5:10" ht="15.75">
      <c r="E8" s="279" t="s">
        <v>1173</v>
      </c>
      <c r="F8" s="279" t="s">
        <v>1151</v>
      </c>
      <c r="G8" s="279" t="s">
        <v>1174</v>
      </c>
      <c r="H8" s="279" t="s">
        <v>1175</v>
      </c>
      <c r="I8" s="279" t="s">
        <v>1598</v>
      </c>
      <c r="J8" s="279" t="s">
        <v>1177</v>
      </c>
    </row>
    <row r="9" spans="5:10" ht="15.75">
      <c r="E9" s="279" t="s">
        <v>1176</v>
      </c>
      <c r="F9" s="279" t="s">
        <v>1176</v>
      </c>
      <c r="G9" s="279" t="s">
        <v>1176</v>
      </c>
      <c r="H9" s="279" t="s">
        <v>1176</v>
      </c>
      <c r="I9" s="279" t="s">
        <v>1176</v>
      </c>
      <c r="J9" s="280"/>
    </row>
    <row r="12" spans="1:10" ht="15.75">
      <c r="A12" s="1158">
        <v>1</v>
      </c>
      <c r="B12" s="516" t="s">
        <v>1591</v>
      </c>
      <c r="C12" s="517" t="s">
        <v>1178</v>
      </c>
      <c r="D12" s="518" t="s">
        <v>1100</v>
      </c>
      <c r="E12" s="520">
        <f>-E166</f>
        <v>-4816941.37</v>
      </c>
      <c r="F12" s="520">
        <f>-F166</f>
        <v>0</v>
      </c>
      <c r="G12" s="520">
        <f>-G166</f>
        <v>-334353523.31</v>
      </c>
      <c r="H12" s="520">
        <f>-H166</f>
        <v>-357748.96</v>
      </c>
      <c r="I12" s="520">
        <f>-I166</f>
        <v>15443251.2</v>
      </c>
      <c r="J12" s="520"/>
    </row>
    <row r="13" spans="1:10" ht="15.75">
      <c r="A13" s="1158">
        <v>2</v>
      </c>
      <c r="B13" s="516" t="s">
        <v>1591</v>
      </c>
      <c r="C13" s="517" t="s">
        <v>1179</v>
      </c>
      <c r="D13" s="518"/>
      <c r="E13" s="520">
        <f>-E221</f>
        <v>-168692626.22</v>
      </c>
      <c r="F13" s="520">
        <f>-F221</f>
        <v>0</v>
      </c>
      <c r="G13" s="520">
        <f>-G221</f>
        <v>-44723896.68</v>
      </c>
      <c r="H13" s="520">
        <f>-H221</f>
        <v>0</v>
      </c>
      <c r="I13" s="520">
        <f>-I221</f>
        <v>-500011.42</v>
      </c>
      <c r="J13" s="520"/>
    </row>
    <row r="14" spans="1:11" ht="15.75">
      <c r="A14" s="1158">
        <v>3</v>
      </c>
      <c r="B14" s="516" t="s">
        <v>1592</v>
      </c>
      <c r="C14" s="517" t="s">
        <v>1180</v>
      </c>
      <c r="D14" s="518"/>
      <c r="E14" s="520">
        <f>+E131</f>
        <v>190715805.10999998</v>
      </c>
      <c r="F14" s="520">
        <f>+F131</f>
        <v>693352.84</v>
      </c>
      <c r="G14" s="520">
        <f>+G131</f>
        <v>3603749.8800000004</v>
      </c>
      <c r="H14" s="520">
        <f>+H131</f>
        <v>1332550.9500000011</v>
      </c>
      <c r="I14" s="520">
        <f>+I131</f>
        <v>145637.75</v>
      </c>
      <c r="J14" s="520" t="s">
        <v>1100</v>
      </c>
      <c r="K14" s="521" t="s">
        <v>1100</v>
      </c>
    </row>
    <row r="15" spans="1:10" ht="15.75">
      <c r="A15" s="1158">
        <v>4</v>
      </c>
      <c r="B15" s="516"/>
      <c r="C15" s="517" t="s">
        <v>1181</v>
      </c>
      <c r="D15" s="518"/>
      <c r="E15" s="520">
        <f>SUM(E12:E14)</f>
        <v>17206237.51999998</v>
      </c>
      <c r="F15" s="520">
        <f>SUM(F12:F14)</f>
        <v>693352.84</v>
      </c>
      <c r="G15" s="520">
        <f>SUM(G12:G14)</f>
        <v>-375473670.11</v>
      </c>
      <c r="H15" s="520">
        <f>SUM(H12:H14)</f>
        <v>974801.9900000012</v>
      </c>
      <c r="I15" s="520">
        <f>SUM(I12:I14)</f>
        <v>15088877.53</v>
      </c>
      <c r="J15" s="520">
        <f>SUM(E15:I15)</f>
        <v>-341510400.2300001</v>
      </c>
    </row>
    <row r="16" spans="1:10" ht="15.75">
      <c r="A16" s="1158">
        <v>5</v>
      </c>
      <c r="B16" s="516"/>
      <c r="C16" s="517" t="s">
        <v>226</v>
      </c>
      <c r="D16" s="518"/>
      <c r="E16" s="522"/>
      <c r="F16" s="522"/>
      <c r="G16" s="522"/>
      <c r="H16" s="523">
        <f>WS</f>
        <v>0.053603184670747886</v>
      </c>
      <c r="I16" s="520"/>
      <c r="J16" s="522"/>
    </row>
    <row r="17" spans="1:10" ht="15.75">
      <c r="A17" s="1158">
        <v>6</v>
      </c>
      <c r="B17" s="516"/>
      <c r="C17" s="524" t="s">
        <v>1182</v>
      </c>
      <c r="D17" s="518"/>
      <c r="E17" s="522"/>
      <c r="F17" s="523">
        <v>1</v>
      </c>
      <c r="G17" s="523">
        <f>GP</f>
        <v>0.12698143054354016</v>
      </c>
      <c r="H17" s="522"/>
      <c r="I17" s="520"/>
      <c r="J17" s="522"/>
    </row>
    <row r="18" spans="1:10" ht="15.75">
      <c r="A18" s="1158">
        <v>7</v>
      </c>
      <c r="B18" s="516"/>
      <c r="C18" s="517" t="s">
        <v>1177</v>
      </c>
      <c r="D18" s="518"/>
      <c r="E18" s="522"/>
      <c r="F18" s="520">
        <f>+F17*F15</f>
        <v>693352.84</v>
      </c>
      <c r="G18" s="520">
        <f>+G17*G15</f>
        <v>-47678183.76200108</v>
      </c>
      <c r="H18" s="520">
        <f>+H16*H15</f>
        <v>52252.491087382594</v>
      </c>
      <c r="I18" s="520">
        <f>+I17*I15</f>
        <v>0</v>
      </c>
      <c r="J18" s="520">
        <f>SUM(F18:I18)</f>
        <v>-46932578.430913694</v>
      </c>
    </row>
    <row r="19" spans="1:11" ht="20.25">
      <c r="A19" s="83" t="str">
        <f>A1</f>
        <v>Worksheet A-5 - WEN ADIT</v>
      </c>
      <c r="C19" s="1159"/>
      <c r="D19" s="1159"/>
      <c r="E19" s="1159"/>
      <c r="F19" s="1159"/>
      <c r="G19" s="1159"/>
      <c r="H19" s="1159"/>
      <c r="I19" s="1159"/>
      <c r="J19" s="1159"/>
      <c r="K19" s="1156" t="s">
        <v>24</v>
      </c>
    </row>
    <row r="20" spans="2:10" ht="20.25">
      <c r="B20" s="83"/>
      <c r="J20" s="525"/>
    </row>
    <row r="21" spans="2:11" ht="18">
      <c r="B21" s="1440" t="str">
        <f>B4</f>
        <v>Westar Energy, Inc.</v>
      </c>
      <c r="C21" s="1410"/>
      <c r="D21" s="1410"/>
      <c r="E21" s="1410"/>
      <c r="F21" s="1410"/>
      <c r="G21" s="1410"/>
      <c r="H21" s="1410"/>
      <c r="I21" s="1410"/>
      <c r="J21" s="1410"/>
      <c r="K21" s="1410"/>
    </row>
    <row r="22" spans="2:11" ht="18">
      <c r="B22" s="1440" t="str">
        <f>B5</f>
        <v>Allocation of ADIT</v>
      </c>
      <c r="C22" s="1410"/>
      <c r="D22" s="1410"/>
      <c r="E22" s="1410"/>
      <c r="F22" s="1410"/>
      <c r="G22" s="1410"/>
      <c r="H22" s="1410"/>
      <c r="I22" s="1410"/>
      <c r="J22" s="1410"/>
      <c r="K22" s="1410"/>
    </row>
    <row r="23" spans="8:9" ht="12.75">
      <c r="H23" s="40"/>
      <c r="I23" s="40"/>
    </row>
    <row r="24" spans="3:11" ht="15.75">
      <c r="C24" s="180" t="s">
        <v>1180</v>
      </c>
      <c r="D24" s="279" t="s">
        <v>1165</v>
      </c>
      <c r="E24" s="279" t="s">
        <v>1166</v>
      </c>
      <c r="F24" s="279" t="s">
        <v>1167</v>
      </c>
      <c r="G24" s="279" t="s">
        <v>1168</v>
      </c>
      <c r="H24" s="279" t="s">
        <v>1170</v>
      </c>
      <c r="I24" s="279" t="s">
        <v>1171</v>
      </c>
      <c r="J24" s="279" t="s">
        <v>1172</v>
      </c>
      <c r="K24" s="41" t="s">
        <v>1172</v>
      </c>
    </row>
    <row r="25" spans="3:11" ht="15.75">
      <c r="C25" s="1160"/>
      <c r="D25" s="1101"/>
      <c r="E25" s="179">
        <f aca="true" t="shared" si="0" ref="E25:F27">+E7</f>
        <v>1</v>
      </c>
      <c r="F25" s="179">
        <f t="shared" si="0"/>
        <v>1</v>
      </c>
      <c r="G25" s="179"/>
      <c r="H25" s="179"/>
      <c r="I25" s="191" t="s">
        <v>1599</v>
      </c>
      <c r="J25" s="279" t="s">
        <v>1183</v>
      </c>
      <c r="K25" s="42" t="s">
        <v>1100</v>
      </c>
    </row>
    <row r="26" spans="3:11" ht="15.75">
      <c r="C26" s="1160"/>
      <c r="D26" s="823">
        <v>2008</v>
      </c>
      <c r="E26" s="279" t="str">
        <f t="shared" si="0"/>
        <v>NonTrans.</v>
      </c>
      <c r="F26" s="279" t="str">
        <f t="shared" si="0"/>
        <v>Transmission</v>
      </c>
      <c r="G26" s="279" t="str">
        <f>+G8</f>
        <v>Plant </v>
      </c>
      <c r="H26" s="279" t="str">
        <f>+H8</f>
        <v>Labor</v>
      </c>
      <c r="I26" s="189" t="s">
        <v>1600</v>
      </c>
      <c r="J26" s="279" t="s">
        <v>1184</v>
      </c>
      <c r="K26" s="42" t="s">
        <v>234</v>
      </c>
    </row>
    <row r="27" spans="3:11" ht="15.75">
      <c r="C27" s="1160"/>
      <c r="D27" s="280" t="s">
        <v>1185</v>
      </c>
      <c r="E27" s="279" t="str">
        <f t="shared" si="0"/>
        <v>Related</v>
      </c>
      <c r="F27" s="279" t="str">
        <f t="shared" si="0"/>
        <v>Related</v>
      </c>
      <c r="G27" s="279" t="str">
        <f>+G9</f>
        <v>Related</v>
      </c>
      <c r="H27" s="279" t="str">
        <f>+H9</f>
        <v>Related</v>
      </c>
      <c r="I27" s="189" t="s">
        <v>1601</v>
      </c>
      <c r="J27" s="279" t="s">
        <v>490</v>
      </c>
      <c r="K27" s="42" t="s">
        <v>187</v>
      </c>
    </row>
    <row r="28" spans="1:9" s="1161" customFormat="1" ht="12.75">
      <c r="A28" s="277"/>
      <c r="B28" s="1155"/>
      <c r="C28" s="43"/>
      <c r="G28" s="1162"/>
      <c r="H28" s="1162"/>
      <c r="I28" s="1162"/>
    </row>
    <row r="29" spans="1:11" s="1163" customFormat="1" ht="15">
      <c r="A29" s="1162"/>
      <c r="B29" s="1343">
        <v>1900140</v>
      </c>
      <c r="C29" s="1344" t="s">
        <v>527</v>
      </c>
      <c r="D29" s="1345">
        <v>16549251.45</v>
      </c>
      <c r="E29" s="1345">
        <f>+D29</f>
        <v>16549251.45</v>
      </c>
      <c r="F29" s="1345"/>
      <c r="G29" s="1345" t="s">
        <v>1100</v>
      </c>
      <c r="H29" s="1345"/>
      <c r="I29" s="1345"/>
      <c r="J29" s="608"/>
      <c r="K29" s="608" t="s">
        <v>1186</v>
      </c>
    </row>
    <row r="30" spans="2:11" ht="15">
      <c r="B30" s="1343" t="s">
        <v>1100</v>
      </c>
      <c r="C30" s="611" t="s">
        <v>1100</v>
      </c>
      <c r="D30" s="1346" t="s">
        <v>1100</v>
      </c>
      <c r="E30" s="1346"/>
      <c r="F30" s="1346"/>
      <c r="G30" s="1346" t="s">
        <v>1100</v>
      </c>
      <c r="H30" s="1345"/>
      <c r="I30" s="1345"/>
      <c r="J30" s="608"/>
      <c r="K30" s="608"/>
    </row>
    <row r="31" spans="2:11" ht="15">
      <c r="B31" s="1343"/>
      <c r="C31" s="611" t="s">
        <v>528</v>
      </c>
      <c r="D31" s="1345"/>
      <c r="E31" s="1345"/>
      <c r="F31" s="1345"/>
      <c r="G31" s="1345"/>
      <c r="H31" s="1345"/>
      <c r="I31" s="1345"/>
      <c r="J31" s="608"/>
      <c r="K31" s="608"/>
    </row>
    <row r="32" spans="2:11" ht="30">
      <c r="B32" s="1343">
        <v>1901013</v>
      </c>
      <c r="C32" s="1344" t="s">
        <v>529</v>
      </c>
      <c r="D32" s="1345">
        <v>0</v>
      </c>
      <c r="E32" s="1345">
        <f>D32</f>
        <v>0</v>
      </c>
      <c r="F32" s="1345"/>
      <c r="G32" s="1345"/>
      <c r="H32" s="1345"/>
      <c r="I32" s="1345"/>
      <c r="J32" s="1347" t="s">
        <v>1187</v>
      </c>
      <c r="K32" s="1348" t="s">
        <v>530</v>
      </c>
    </row>
    <row r="33" spans="2:11" ht="15">
      <c r="B33" s="1343">
        <v>1901110</v>
      </c>
      <c r="C33" s="1344" t="s">
        <v>531</v>
      </c>
      <c r="D33" s="1345">
        <v>0</v>
      </c>
      <c r="E33" s="1345"/>
      <c r="F33" s="1345"/>
      <c r="G33" s="1345"/>
      <c r="H33" s="1345"/>
      <c r="I33" s="1345">
        <f>D33</f>
        <v>0</v>
      </c>
      <c r="J33" s="1347" t="s">
        <v>1187</v>
      </c>
      <c r="K33" s="608" t="s">
        <v>532</v>
      </c>
    </row>
    <row r="34" spans="2:11" ht="15">
      <c r="B34" s="1343">
        <v>1901015</v>
      </c>
      <c r="C34" s="1344" t="s">
        <v>533</v>
      </c>
      <c r="D34" s="1345">
        <v>-17417375.23</v>
      </c>
      <c r="E34" s="1345"/>
      <c r="F34" s="1345"/>
      <c r="G34" s="1345">
        <f aca="true" t="shared" si="1" ref="G34:G47">+D34-H34</f>
        <v>0</v>
      </c>
      <c r="H34" s="1345">
        <f>+D34</f>
        <v>-17417375.23</v>
      </c>
      <c r="I34" s="1345"/>
      <c r="J34" s="1347" t="s">
        <v>1187</v>
      </c>
      <c r="K34" s="608" t="s">
        <v>534</v>
      </c>
    </row>
    <row r="35" spans="2:11" ht="15">
      <c r="B35" s="1343">
        <v>1901016</v>
      </c>
      <c r="C35" s="1344" t="s">
        <v>535</v>
      </c>
      <c r="D35" s="1345">
        <v>235741.2</v>
      </c>
      <c r="E35" s="1345"/>
      <c r="F35" s="1345"/>
      <c r="G35" s="1345">
        <f t="shared" si="1"/>
        <v>0</v>
      </c>
      <c r="H35" s="1345">
        <f>+D35</f>
        <v>235741.2</v>
      </c>
      <c r="I35" s="1345"/>
      <c r="J35" s="1347" t="s">
        <v>1187</v>
      </c>
      <c r="K35" s="608" t="s">
        <v>536</v>
      </c>
    </row>
    <row r="36" spans="2:11" ht="15">
      <c r="B36" s="1343">
        <v>1901018</v>
      </c>
      <c r="C36" s="1344" t="s">
        <v>537</v>
      </c>
      <c r="D36" s="1345">
        <v>0</v>
      </c>
      <c r="E36" s="1345"/>
      <c r="F36" s="1345"/>
      <c r="G36" s="1345"/>
      <c r="H36" s="1345"/>
      <c r="I36" s="1345">
        <f>D36</f>
        <v>0</v>
      </c>
      <c r="J36" s="1347" t="s">
        <v>1187</v>
      </c>
      <c r="K36" s="608" t="s">
        <v>538</v>
      </c>
    </row>
    <row r="37" spans="2:11" ht="15">
      <c r="B37" s="1343">
        <v>1901019</v>
      </c>
      <c r="C37" s="1344" t="s">
        <v>539</v>
      </c>
      <c r="D37" s="1345">
        <v>203811.21</v>
      </c>
      <c r="E37" s="1345"/>
      <c r="F37" s="1345"/>
      <c r="G37" s="1345">
        <f t="shared" si="1"/>
        <v>203811.21</v>
      </c>
      <c r="H37" s="1345"/>
      <c r="I37" s="1345"/>
      <c r="J37" s="1347" t="s">
        <v>1187</v>
      </c>
      <c r="K37" s="608" t="s">
        <v>540</v>
      </c>
    </row>
    <row r="38" spans="2:11" s="1163" customFormat="1" ht="15">
      <c r="B38" s="1343">
        <v>1901020</v>
      </c>
      <c r="C38" s="1344" t="s">
        <v>541</v>
      </c>
      <c r="D38" s="1345">
        <v>-27584.77</v>
      </c>
      <c r="E38" s="1345"/>
      <c r="F38" s="1345"/>
      <c r="G38" s="1345">
        <f t="shared" si="1"/>
        <v>-27584.77</v>
      </c>
      <c r="H38" s="1345"/>
      <c r="I38" s="1345"/>
      <c r="J38" s="1347" t="s">
        <v>1187</v>
      </c>
      <c r="K38" s="608" t="s">
        <v>542</v>
      </c>
    </row>
    <row r="39" spans="2:11" ht="15">
      <c r="B39" s="1343">
        <v>1901021</v>
      </c>
      <c r="C39" s="1344" t="s">
        <v>543</v>
      </c>
      <c r="D39" s="1345">
        <v>517871.66</v>
      </c>
      <c r="E39" s="1345">
        <f>D39</f>
        <v>517871.66</v>
      </c>
      <c r="F39" s="1345"/>
      <c r="G39" s="1345"/>
      <c r="H39" s="1345"/>
      <c r="I39" s="1345"/>
      <c r="J39" s="1347" t="s">
        <v>1086</v>
      </c>
      <c r="K39" s="608" t="s">
        <v>544</v>
      </c>
    </row>
    <row r="40" spans="2:11" ht="15">
      <c r="B40" s="1343">
        <v>1901022</v>
      </c>
      <c r="C40" s="1344" t="s">
        <v>545</v>
      </c>
      <c r="D40" s="1345">
        <v>3389579.68</v>
      </c>
      <c r="E40" s="1345"/>
      <c r="F40" s="1345"/>
      <c r="G40" s="1345">
        <f t="shared" si="1"/>
        <v>3389579.68</v>
      </c>
      <c r="H40" s="1345"/>
      <c r="I40" s="1345"/>
      <c r="J40" s="1347" t="s">
        <v>1187</v>
      </c>
      <c r="K40" s="608" t="s">
        <v>546</v>
      </c>
    </row>
    <row r="41" spans="2:11" ht="15">
      <c r="B41" s="1343">
        <v>1901026</v>
      </c>
      <c r="C41" s="1344" t="s">
        <v>547</v>
      </c>
      <c r="D41" s="1345">
        <v>3895905.23</v>
      </c>
      <c r="E41" s="1345"/>
      <c r="F41" s="1345"/>
      <c r="G41" s="1345">
        <f t="shared" si="1"/>
        <v>0</v>
      </c>
      <c r="H41" s="1345">
        <f>+D41</f>
        <v>3895905.23</v>
      </c>
      <c r="I41" s="1345"/>
      <c r="J41" s="1347" t="s">
        <v>1187</v>
      </c>
      <c r="K41" s="608" t="s">
        <v>548</v>
      </c>
    </row>
    <row r="42" spans="2:11" ht="15">
      <c r="B42" s="1343">
        <v>1901027</v>
      </c>
      <c r="C42" s="1344" t="s">
        <v>549</v>
      </c>
      <c r="D42" s="1345">
        <v>16591.61</v>
      </c>
      <c r="E42" s="1345">
        <f>D42</f>
        <v>16591.61</v>
      </c>
      <c r="F42" s="1345"/>
      <c r="G42" s="1345"/>
      <c r="H42" s="1345"/>
      <c r="I42" s="1345"/>
      <c r="J42" s="1347" t="s">
        <v>1086</v>
      </c>
      <c r="K42" s="608" t="s">
        <v>550</v>
      </c>
    </row>
    <row r="43" spans="2:11" ht="15">
      <c r="B43" s="1343">
        <v>1901032</v>
      </c>
      <c r="C43" s="1344" t="s">
        <v>551</v>
      </c>
      <c r="D43" s="1345">
        <v>707160</v>
      </c>
      <c r="E43" s="1345">
        <f>+D43</f>
        <v>707160</v>
      </c>
      <c r="F43" s="1345"/>
      <c r="G43" s="1345"/>
      <c r="H43" s="1345"/>
      <c r="I43" s="1345"/>
      <c r="J43" s="1347" t="s">
        <v>1187</v>
      </c>
      <c r="K43" s="608" t="s">
        <v>552</v>
      </c>
    </row>
    <row r="44" spans="2:11" ht="15">
      <c r="B44" s="1343">
        <v>1901034</v>
      </c>
      <c r="C44" s="1344" t="s">
        <v>553</v>
      </c>
      <c r="D44" s="1345">
        <v>1045361.32</v>
      </c>
      <c r="E44" s="1345"/>
      <c r="F44" s="1345"/>
      <c r="G44" s="1345">
        <f t="shared" si="1"/>
        <v>0</v>
      </c>
      <c r="H44" s="1345">
        <f>+D44</f>
        <v>1045361.32</v>
      </c>
      <c r="I44" s="1345"/>
      <c r="J44" s="1347" t="s">
        <v>1187</v>
      </c>
      <c r="K44" s="608" t="s">
        <v>554</v>
      </c>
    </row>
    <row r="45" spans="2:11" ht="15">
      <c r="B45" s="1343">
        <v>1901035</v>
      </c>
      <c r="C45" s="1344" t="s">
        <v>555</v>
      </c>
      <c r="D45" s="1345">
        <v>392691.05</v>
      </c>
      <c r="E45" s="1345">
        <f>D45</f>
        <v>392691.05</v>
      </c>
      <c r="F45" s="1345"/>
      <c r="G45" s="1345"/>
      <c r="H45" s="1345"/>
      <c r="I45" s="1345"/>
      <c r="J45" s="1347" t="s">
        <v>1086</v>
      </c>
      <c r="K45" s="608" t="s">
        <v>556</v>
      </c>
    </row>
    <row r="46" spans="2:11" ht="30">
      <c r="B46" s="1343">
        <v>1901036</v>
      </c>
      <c r="C46" s="1349" t="s">
        <v>557</v>
      </c>
      <c r="D46" s="1345">
        <v>163144.31</v>
      </c>
      <c r="E46" s="1345">
        <f>+D46</f>
        <v>163144.31</v>
      </c>
      <c r="F46" s="1345"/>
      <c r="G46" s="1345">
        <f>+D46-E46-F46-H46</f>
        <v>0</v>
      </c>
      <c r="H46" s="1345"/>
      <c r="I46" s="1345"/>
      <c r="J46" s="1347" t="s">
        <v>1187</v>
      </c>
      <c r="K46" s="1348" t="s">
        <v>558</v>
      </c>
    </row>
    <row r="47" spans="2:11" ht="30">
      <c r="B47" s="1343">
        <v>1901037</v>
      </c>
      <c r="C47" s="1344" t="s">
        <v>559</v>
      </c>
      <c r="D47" s="1345">
        <v>0</v>
      </c>
      <c r="E47" s="1345"/>
      <c r="F47" s="1345"/>
      <c r="G47" s="1345">
        <f t="shared" si="1"/>
        <v>0</v>
      </c>
      <c r="H47" s="1345"/>
      <c r="I47" s="1345"/>
      <c r="J47" s="1347" t="s">
        <v>1086</v>
      </c>
      <c r="K47" s="1348" t="s">
        <v>560</v>
      </c>
    </row>
    <row r="48" spans="2:11" s="1163" customFormat="1" ht="30">
      <c r="B48" s="1343">
        <v>1901040</v>
      </c>
      <c r="C48" s="1344" t="s">
        <v>561</v>
      </c>
      <c r="D48" s="1345">
        <v>-130470.29</v>
      </c>
      <c r="E48" s="1345">
        <f>+D48</f>
        <v>-130470.29</v>
      </c>
      <c r="F48" s="1345"/>
      <c r="G48" s="1345">
        <f>+D48-E48-F48-H48</f>
        <v>0</v>
      </c>
      <c r="H48" s="1345"/>
      <c r="I48" s="1345"/>
      <c r="J48" s="1347" t="s">
        <v>1187</v>
      </c>
      <c r="K48" s="1348" t="s">
        <v>562</v>
      </c>
    </row>
    <row r="49" spans="2:11" ht="15">
      <c r="B49" s="1343">
        <v>1901042</v>
      </c>
      <c r="C49" s="1344" t="s">
        <v>563</v>
      </c>
      <c r="D49" s="1345">
        <v>4195855</v>
      </c>
      <c r="E49" s="1345">
        <f>+D49</f>
        <v>4195855</v>
      </c>
      <c r="F49" s="1345"/>
      <c r="G49" s="1345"/>
      <c r="H49" s="1345"/>
      <c r="I49" s="1345"/>
      <c r="J49" s="1347" t="s">
        <v>1187</v>
      </c>
      <c r="K49" s="608" t="s">
        <v>564</v>
      </c>
    </row>
    <row r="50" spans="2:11" ht="15">
      <c r="B50" s="1343">
        <v>1901043</v>
      </c>
      <c r="C50" s="1344" t="s">
        <v>565</v>
      </c>
      <c r="D50" s="1345">
        <v>6597.42</v>
      </c>
      <c r="E50" s="1345">
        <f>+D50</f>
        <v>6597.42</v>
      </c>
      <c r="F50" s="1345"/>
      <c r="G50" s="1345">
        <f>+D50-E50-F50-H50</f>
        <v>0</v>
      </c>
      <c r="H50" s="1345"/>
      <c r="I50" s="1345"/>
      <c r="J50" s="1347" t="s">
        <v>1187</v>
      </c>
      <c r="K50" s="608" t="s">
        <v>1420</v>
      </c>
    </row>
    <row r="51" spans="2:11" ht="30">
      <c r="B51" s="1343">
        <v>1901044</v>
      </c>
      <c r="C51" s="1344" t="s">
        <v>1421</v>
      </c>
      <c r="D51" s="1345">
        <v>0</v>
      </c>
      <c r="E51" s="1345"/>
      <c r="F51" s="1345"/>
      <c r="G51" s="1345"/>
      <c r="H51" s="1345"/>
      <c r="I51" s="1345">
        <f>D51</f>
        <v>0</v>
      </c>
      <c r="J51" s="1347" t="s">
        <v>1187</v>
      </c>
      <c r="K51" s="1348" t="s">
        <v>1422</v>
      </c>
    </row>
    <row r="52" spans="2:11" ht="15">
      <c r="B52" s="1343">
        <v>1901045</v>
      </c>
      <c r="C52" s="1344" t="s">
        <v>1423</v>
      </c>
      <c r="D52" s="1345">
        <v>0</v>
      </c>
      <c r="E52" s="1345"/>
      <c r="F52" s="1345"/>
      <c r="G52" s="1345">
        <f>+D52-H52</f>
        <v>0</v>
      </c>
      <c r="H52" s="1345">
        <f>+D52</f>
        <v>0</v>
      </c>
      <c r="I52" s="1345"/>
      <c r="J52" s="1347" t="s">
        <v>1187</v>
      </c>
      <c r="K52" s="608" t="s">
        <v>1424</v>
      </c>
    </row>
    <row r="53" spans="2:11" ht="30">
      <c r="B53" s="1343">
        <v>1901046</v>
      </c>
      <c r="C53" s="1344" t="s">
        <v>1425</v>
      </c>
      <c r="D53" s="1345">
        <v>1126981</v>
      </c>
      <c r="E53" s="1345">
        <f>+D53</f>
        <v>1126981</v>
      </c>
      <c r="F53" s="1345"/>
      <c r="G53" s="1345"/>
      <c r="H53" s="1345"/>
      <c r="I53" s="1345"/>
      <c r="J53" s="1347" t="s">
        <v>1187</v>
      </c>
      <c r="K53" s="1348" t="s">
        <v>1426</v>
      </c>
    </row>
    <row r="54" spans="2:11" ht="15">
      <c r="B54" s="1343">
        <v>1901047</v>
      </c>
      <c r="C54" s="1350" t="s">
        <v>1427</v>
      </c>
      <c r="D54" s="1345">
        <v>3365319</v>
      </c>
      <c r="E54" s="1345">
        <f>+D54</f>
        <v>3365319</v>
      </c>
      <c r="F54" s="1345"/>
      <c r="G54" s="1345"/>
      <c r="H54" s="1345"/>
      <c r="I54" s="1345"/>
      <c r="J54" s="1347" t="s">
        <v>1187</v>
      </c>
      <c r="K54" s="608" t="s">
        <v>1428</v>
      </c>
    </row>
    <row r="55" spans="2:11" ht="15">
      <c r="B55" s="1343">
        <v>1901048</v>
      </c>
      <c r="C55" s="1350" t="s">
        <v>1429</v>
      </c>
      <c r="D55" s="1345">
        <v>0</v>
      </c>
      <c r="E55" s="1345">
        <f>+D55</f>
        <v>0</v>
      </c>
      <c r="F55" s="1345"/>
      <c r="G55" s="1345"/>
      <c r="H55" s="1345"/>
      <c r="I55" s="1345"/>
      <c r="J55" s="1347" t="s">
        <v>1187</v>
      </c>
      <c r="K55" s="608" t="s">
        <v>1430</v>
      </c>
    </row>
    <row r="56" spans="1:11" ht="30">
      <c r="A56" s="1164"/>
      <c r="B56" s="1343">
        <v>1901050</v>
      </c>
      <c r="C56" s="1350" t="s">
        <v>1431</v>
      </c>
      <c r="D56" s="1345">
        <v>32680.74</v>
      </c>
      <c r="E56" s="1345"/>
      <c r="F56" s="1345"/>
      <c r="G56" s="1345">
        <f>+D56-E56-F56-H56</f>
        <v>32680.74</v>
      </c>
      <c r="H56" s="1345"/>
      <c r="I56" s="1345"/>
      <c r="J56" s="1347" t="s">
        <v>1187</v>
      </c>
      <c r="K56" s="1348" t="s">
        <v>1432</v>
      </c>
    </row>
    <row r="57" spans="1:11" ht="15">
      <c r="A57" s="1164"/>
      <c r="B57" s="1343">
        <v>1901051</v>
      </c>
      <c r="C57" s="1350" t="s">
        <v>1433</v>
      </c>
      <c r="D57" s="1345">
        <v>228858.47</v>
      </c>
      <c r="E57" s="1345">
        <f>+D57</f>
        <v>228858.47</v>
      </c>
      <c r="F57" s="1345"/>
      <c r="G57" s="1345"/>
      <c r="H57" s="1345"/>
      <c r="I57" s="1345"/>
      <c r="J57" s="1347" t="s">
        <v>1187</v>
      </c>
      <c r="K57" s="608" t="s">
        <v>1434</v>
      </c>
    </row>
    <row r="58" spans="1:11" ht="30">
      <c r="A58" s="1164"/>
      <c r="B58" s="1343">
        <v>1901052</v>
      </c>
      <c r="C58" s="1350" t="s">
        <v>1435</v>
      </c>
      <c r="D58" s="1345">
        <v>-0.01</v>
      </c>
      <c r="E58" s="1345">
        <f>+D58</f>
        <v>-0.01</v>
      </c>
      <c r="F58" s="1345"/>
      <c r="G58" s="1345"/>
      <c r="H58" s="1345"/>
      <c r="I58" s="1345"/>
      <c r="J58" s="1347" t="s">
        <v>1187</v>
      </c>
      <c r="K58" s="1348" t="s">
        <v>1436</v>
      </c>
    </row>
    <row r="59" spans="1:11" ht="30">
      <c r="A59" s="1164"/>
      <c r="B59" s="1343">
        <v>1901053</v>
      </c>
      <c r="C59" s="1350" t="s">
        <v>1437</v>
      </c>
      <c r="D59" s="1345">
        <v>177833.61</v>
      </c>
      <c r="E59" s="1345">
        <f>D59</f>
        <v>177833.61</v>
      </c>
      <c r="F59" s="1345"/>
      <c r="G59" s="1345"/>
      <c r="H59" s="1345"/>
      <c r="I59" s="1345"/>
      <c r="J59" s="1347" t="s">
        <v>1086</v>
      </c>
      <c r="K59" s="1348" t="s">
        <v>1438</v>
      </c>
    </row>
    <row r="60" spans="1:11" ht="15" customHeight="1">
      <c r="A60" s="1164"/>
      <c r="B60" s="1343">
        <v>1901054</v>
      </c>
      <c r="C60" s="1350" t="s">
        <v>1439</v>
      </c>
      <c r="D60" s="1345">
        <v>132406418.9</v>
      </c>
      <c r="E60" s="1345">
        <f>+D60</f>
        <v>132406418.9</v>
      </c>
      <c r="F60" s="1345"/>
      <c r="G60" s="1345"/>
      <c r="H60" s="1345"/>
      <c r="I60" s="1345"/>
      <c r="J60" s="1347" t="s">
        <v>1086</v>
      </c>
      <c r="K60" s="1348" t="s">
        <v>1440</v>
      </c>
    </row>
    <row r="61" spans="1:11" ht="30">
      <c r="A61" s="1164"/>
      <c r="B61" s="1343">
        <v>1901055</v>
      </c>
      <c r="C61" s="1350" t="s">
        <v>1441</v>
      </c>
      <c r="D61" s="1345">
        <v>26025411.46</v>
      </c>
      <c r="E61" s="1345">
        <f>+D61</f>
        <v>26025411.46</v>
      </c>
      <c r="F61" s="1345"/>
      <c r="G61" s="1345"/>
      <c r="H61" s="1345"/>
      <c r="I61" s="1345"/>
      <c r="J61" s="1347" t="s">
        <v>1086</v>
      </c>
      <c r="K61" s="1348" t="s">
        <v>1442</v>
      </c>
    </row>
    <row r="62" spans="1:11" ht="30">
      <c r="A62" s="1164"/>
      <c r="B62" s="1343">
        <v>1901057</v>
      </c>
      <c r="C62" s="1350" t="s">
        <v>1443</v>
      </c>
      <c r="D62" s="1345">
        <v>941.48</v>
      </c>
      <c r="E62" s="1345">
        <f>D62</f>
        <v>941.48</v>
      </c>
      <c r="F62" s="1345"/>
      <c r="G62" s="1345">
        <f>+D62-E62-F62-H62</f>
        <v>0</v>
      </c>
      <c r="H62" s="1345"/>
      <c r="I62" s="1345"/>
      <c r="J62" s="1347" t="s">
        <v>1086</v>
      </c>
      <c r="K62" s="1348" t="s">
        <v>1444</v>
      </c>
    </row>
    <row r="63" spans="1:11" ht="15">
      <c r="A63" s="1164"/>
      <c r="B63" s="1343">
        <v>1901058</v>
      </c>
      <c r="C63" s="1351" t="s">
        <v>1445</v>
      </c>
      <c r="D63" s="612">
        <v>2974095.4</v>
      </c>
      <c r="E63" s="612">
        <f aca="true" t="shared" si="2" ref="E63:E70">+D63</f>
        <v>2974095.4</v>
      </c>
      <c r="F63" s="612"/>
      <c r="G63" s="612"/>
      <c r="H63" s="612"/>
      <c r="I63" s="612"/>
      <c r="J63" s="1347" t="s">
        <v>1187</v>
      </c>
      <c r="K63" s="1348" t="s">
        <v>362</v>
      </c>
    </row>
    <row r="64" spans="1:11" ht="15">
      <c r="A64" s="1164"/>
      <c r="B64" s="1343">
        <v>1901063</v>
      </c>
      <c r="C64" s="1351" t="s">
        <v>363</v>
      </c>
      <c r="D64" s="612">
        <v>0</v>
      </c>
      <c r="E64" s="612">
        <f t="shared" si="2"/>
        <v>0</v>
      </c>
      <c r="F64" s="612"/>
      <c r="G64" s="612"/>
      <c r="H64" s="612"/>
      <c r="I64" s="612"/>
      <c r="J64" s="1347" t="s">
        <v>1086</v>
      </c>
      <c r="K64" s="1348" t="s">
        <v>364</v>
      </c>
    </row>
    <row r="65" spans="1:11" ht="15">
      <c r="A65" s="1164"/>
      <c r="B65" s="1343">
        <v>1901064</v>
      </c>
      <c r="C65" s="1351" t="s">
        <v>365</v>
      </c>
      <c r="D65" s="612">
        <v>0</v>
      </c>
      <c r="E65" s="612">
        <f t="shared" si="2"/>
        <v>0</v>
      </c>
      <c r="F65" s="612"/>
      <c r="G65" s="612"/>
      <c r="H65" s="612"/>
      <c r="I65" s="612"/>
      <c r="J65" s="1347" t="s">
        <v>1086</v>
      </c>
      <c r="K65" s="1348" t="s">
        <v>366</v>
      </c>
    </row>
    <row r="66" spans="1:11" ht="15">
      <c r="A66" s="1164"/>
      <c r="B66" s="1343">
        <v>1901065</v>
      </c>
      <c r="C66" s="1351" t="s">
        <v>367</v>
      </c>
      <c r="D66" s="612">
        <v>860705</v>
      </c>
      <c r="E66" s="612">
        <f t="shared" si="2"/>
        <v>860705</v>
      </c>
      <c r="F66" s="612"/>
      <c r="G66" s="612"/>
      <c r="H66" s="612"/>
      <c r="I66" s="612"/>
      <c r="J66" s="1347" t="s">
        <v>1086</v>
      </c>
      <c r="K66" s="1348" t="s">
        <v>1079</v>
      </c>
    </row>
    <row r="67" spans="1:11" ht="15">
      <c r="A67" s="1164"/>
      <c r="B67" s="1343">
        <v>1901066</v>
      </c>
      <c r="C67" s="1351" t="s">
        <v>1189</v>
      </c>
      <c r="D67" s="612">
        <v>174600.65</v>
      </c>
      <c r="E67" s="612">
        <f t="shared" si="2"/>
        <v>174600.65</v>
      </c>
      <c r="F67" s="612"/>
      <c r="G67" s="612"/>
      <c r="H67" s="612"/>
      <c r="I67" s="612"/>
      <c r="J67" s="1347" t="s">
        <v>1086</v>
      </c>
      <c r="K67" s="1348" t="s">
        <v>1265</v>
      </c>
    </row>
    <row r="68" spans="1:11" ht="30">
      <c r="A68" s="1164"/>
      <c r="B68" s="1343">
        <v>1901067</v>
      </c>
      <c r="C68" s="1351" t="s">
        <v>1266</v>
      </c>
      <c r="D68" s="612">
        <v>725384</v>
      </c>
      <c r="E68" s="612">
        <f t="shared" si="2"/>
        <v>725384</v>
      </c>
      <c r="F68" s="612"/>
      <c r="G68" s="612"/>
      <c r="H68" s="612"/>
      <c r="I68" s="612"/>
      <c r="J68" s="1347" t="s">
        <v>1086</v>
      </c>
      <c r="K68" s="1348" t="s">
        <v>1267</v>
      </c>
    </row>
    <row r="69" spans="1:11" ht="15">
      <c r="A69" s="1164"/>
      <c r="B69" s="1343">
        <v>1901070</v>
      </c>
      <c r="C69" s="1351" t="s">
        <v>1268</v>
      </c>
      <c r="D69" s="612">
        <v>1537024.59</v>
      </c>
      <c r="E69" s="612">
        <f t="shared" si="2"/>
        <v>1537024.59</v>
      </c>
      <c r="F69" s="612"/>
      <c r="G69" s="612"/>
      <c r="H69" s="612"/>
      <c r="I69" s="612"/>
      <c r="J69" s="1347" t="s">
        <v>1187</v>
      </c>
      <c r="K69" s="1348" t="s">
        <v>1269</v>
      </c>
    </row>
    <row r="70" spans="1:11" ht="15">
      <c r="A70" s="1164"/>
      <c r="B70" s="1343">
        <v>1901071</v>
      </c>
      <c r="C70" s="1351" t="s">
        <v>1270</v>
      </c>
      <c r="D70" s="612">
        <v>1310842.64</v>
      </c>
      <c r="E70" s="612">
        <f t="shared" si="2"/>
        <v>1310842.64</v>
      </c>
      <c r="F70" s="612"/>
      <c r="G70" s="612"/>
      <c r="H70" s="612"/>
      <c r="I70" s="612"/>
      <c r="J70" s="1347" t="s">
        <v>1187</v>
      </c>
      <c r="K70" s="1352" t="s">
        <v>1271</v>
      </c>
    </row>
    <row r="71" spans="1:11" ht="15">
      <c r="A71" s="1164"/>
      <c r="B71" s="1343">
        <v>1901075</v>
      </c>
      <c r="C71" s="1351" t="s">
        <v>1272</v>
      </c>
      <c r="D71" s="612">
        <v>638783.57</v>
      </c>
      <c r="E71" s="612"/>
      <c r="F71" s="612">
        <f>+D71</f>
        <v>638783.57</v>
      </c>
      <c r="G71" s="612"/>
      <c r="H71" s="612"/>
      <c r="I71" s="612"/>
      <c r="J71" s="1347" t="s">
        <v>1187</v>
      </c>
      <c r="K71" s="1352" t="s">
        <v>1273</v>
      </c>
    </row>
    <row r="72" spans="1:11" ht="15">
      <c r="A72" s="1164"/>
      <c r="B72" s="1343">
        <v>1901078</v>
      </c>
      <c r="C72" s="1351" t="s">
        <v>297</v>
      </c>
      <c r="D72" s="612">
        <v>6776.09</v>
      </c>
      <c r="E72" s="612">
        <f>+D72</f>
        <v>6776.09</v>
      </c>
      <c r="F72" s="612"/>
      <c r="G72" s="612"/>
      <c r="H72" s="612">
        <v>0</v>
      </c>
      <c r="I72" s="612"/>
      <c r="J72" s="1347" t="s">
        <v>1086</v>
      </c>
      <c r="K72" s="1352" t="s">
        <v>298</v>
      </c>
    </row>
    <row r="73" spans="1:11" ht="15">
      <c r="A73" s="1164"/>
      <c r="B73" s="1343">
        <v>1901082</v>
      </c>
      <c r="C73" s="1351" t="s">
        <v>299</v>
      </c>
      <c r="D73" s="612">
        <v>-658.82</v>
      </c>
      <c r="E73" s="612">
        <f>+D73</f>
        <v>-658.82</v>
      </c>
      <c r="F73" s="612"/>
      <c r="G73" s="612"/>
      <c r="H73" s="612"/>
      <c r="I73" s="612"/>
      <c r="J73" s="1347" t="s">
        <v>1086</v>
      </c>
      <c r="K73" s="1352" t="s">
        <v>300</v>
      </c>
    </row>
    <row r="74" spans="1:11" ht="15">
      <c r="A74" s="1164"/>
      <c r="B74" s="1343">
        <v>1901084</v>
      </c>
      <c r="C74" s="1351" t="s">
        <v>301</v>
      </c>
      <c r="D74" s="612">
        <v>193961.53</v>
      </c>
      <c r="E74" s="612">
        <f>+D74</f>
        <v>193961.53</v>
      </c>
      <c r="F74" s="612"/>
      <c r="G74" s="612"/>
      <c r="H74" s="612"/>
      <c r="I74" s="612"/>
      <c r="J74" s="1347" t="s">
        <v>1086</v>
      </c>
      <c r="K74" s="1353" t="s">
        <v>302</v>
      </c>
    </row>
    <row r="75" spans="2:11" ht="15">
      <c r="B75" s="1343">
        <v>1901085</v>
      </c>
      <c r="C75" s="1350" t="s">
        <v>1274</v>
      </c>
      <c r="D75" s="1345">
        <v>470763.16</v>
      </c>
      <c r="E75" s="1345">
        <f>+D75</f>
        <v>470763.16</v>
      </c>
      <c r="F75" s="1345"/>
      <c r="G75" s="1345">
        <f>+D75-E75-F75-H75</f>
        <v>0</v>
      </c>
      <c r="H75" s="1345"/>
      <c r="I75" s="1345"/>
      <c r="J75" s="1347" t="s">
        <v>1187</v>
      </c>
      <c r="K75" s="608" t="s">
        <v>1322</v>
      </c>
    </row>
    <row r="76" spans="2:11" ht="15">
      <c r="B76" s="1343">
        <v>1901086</v>
      </c>
      <c r="C76" s="1344" t="s">
        <v>1323</v>
      </c>
      <c r="D76" s="1345">
        <v>1745350.05</v>
      </c>
      <c r="E76" s="1345"/>
      <c r="F76" s="1345"/>
      <c r="G76" s="1345">
        <f>+D76-H76</f>
        <v>0</v>
      </c>
      <c r="H76" s="1345">
        <f>+D76</f>
        <v>1745350.05</v>
      </c>
      <c r="I76" s="1345"/>
      <c r="J76" s="1347" t="s">
        <v>1187</v>
      </c>
      <c r="K76" s="608" t="s">
        <v>1324</v>
      </c>
    </row>
    <row r="77" spans="2:11" ht="15">
      <c r="B77" s="1343">
        <v>1901087</v>
      </c>
      <c r="C77" s="1344" t="s">
        <v>1325</v>
      </c>
      <c r="D77" s="1345">
        <v>6340822.44</v>
      </c>
      <c r="E77" s="1345"/>
      <c r="F77" s="1345"/>
      <c r="G77" s="1345">
        <f>+D77-H77</f>
        <v>0</v>
      </c>
      <c r="H77" s="1345">
        <f>+D77</f>
        <v>6340822.44</v>
      </c>
      <c r="I77" s="1345"/>
      <c r="J77" s="1347" t="s">
        <v>1187</v>
      </c>
      <c r="K77" s="608" t="s">
        <v>1326</v>
      </c>
    </row>
    <row r="78" spans="2:11" ht="15">
      <c r="B78" s="1343">
        <v>1901088</v>
      </c>
      <c r="C78" s="1344" t="s">
        <v>303</v>
      </c>
      <c r="D78" s="1345">
        <v>-84.22</v>
      </c>
      <c r="E78" s="1345">
        <f>+D78</f>
        <v>-84.22</v>
      </c>
      <c r="F78" s="1345"/>
      <c r="G78" s="1354">
        <v>0</v>
      </c>
      <c r="H78" s="1354"/>
      <c r="I78" s="1354"/>
      <c r="J78" s="1355" t="s">
        <v>1086</v>
      </c>
      <c r="K78" s="1353" t="s">
        <v>304</v>
      </c>
    </row>
    <row r="79" spans="2:11" s="1163" customFormat="1" ht="30">
      <c r="B79" s="1343">
        <v>1901090</v>
      </c>
      <c r="C79" s="1349" t="s">
        <v>1327</v>
      </c>
      <c r="D79" s="1345">
        <v>6382311.09</v>
      </c>
      <c r="E79" s="1345">
        <f>+D79</f>
        <v>6382311.09</v>
      </c>
      <c r="F79" s="1345"/>
      <c r="G79" s="1345">
        <f>+D79-E79-F79-H79</f>
        <v>0</v>
      </c>
      <c r="H79" s="1345"/>
      <c r="I79" s="1345"/>
      <c r="J79" s="1347" t="s">
        <v>1187</v>
      </c>
      <c r="K79" s="1348" t="s">
        <v>1328</v>
      </c>
    </row>
    <row r="80" spans="2:11" ht="30">
      <c r="B80" s="1343">
        <v>1901091</v>
      </c>
      <c r="C80" s="1344" t="s">
        <v>1329</v>
      </c>
      <c r="D80" s="1345">
        <v>28046.42</v>
      </c>
      <c r="E80" s="1345">
        <f>+D80</f>
        <v>28046.42</v>
      </c>
      <c r="F80" s="1345"/>
      <c r="G80" s="1345">
        <f>+D80-E80-F80-H80</f>
        <v>0</v>
      </c>
      <c r="H80" s="1345"/>
      <c r="I80" s="1345"/>
      <c r="J80" s="1347" t="s">
        <v>1187</v>
      </c>
      <c r="K80" s="1348" t="s">
        <v>1330</v>
      </c>
    </row>
    <row r="81" spans="2:11" ht="15">
      <c r="B81" s="1343">
        <v>1901092</v>
      </c>
      <c r="C81" s="1344" t="s">
        <v>1331</v>
      </c>
      <c r="D81" s="1345">
        <v>6899090.79</v>
      </c>
      <c r="E81" s="1345">
        <f>+D81</f>
        <v>6899090.79</v>
      </c>
      <c r="F81" s="1345"/>
      <c r="G81" s="1345">
        <f>+D81-E81-F81-H81</f>
        <v>0</v>
      </c>
      <c r="H81" s="1345"/>
      <c r="I81" s="1345"/>
      <c r="J81" s="1347" t="s">
        <v>1086</v>
      </c>
      <c r="K81" s="608" t="s">
        <v>1332</v>
      </c>
    </row>
    <row r="82" spans="2:11" ht="15">
      <c r="B82" s="1343">
        <v>1901093</v>
      </c>
      <c r="C82" s="1344" t="s">
        <v>1333</v>
      </c>
      <c r="D82" s="1345">
        <v>5486745.94</v>
      </c>
      <c r="E82" s="1345"/>
      <c r="F82" s="1345"/>
      <c r="G82" s="1345">
        <f>+D82-H82</f>
        <v>0</v>
      </c>
      <c r="H82" s="1345">
        <f>+D82</f>
        <v>5486745.94</v>
      </c>
      <c r="I82" s="1345"/>
      <c r="J82" s="1347" t="s">
        <v>1187</v>
      </c>
      <c r="K82" s="608" t="s">
        <v>1334</v>
      </c>
    </row>
    <row r="83" spans="2:11" ht="30">
      <c r="B83" s="1343">
        <v>1901094</v>
      </c>
      <c r="C83" s="1344" t="s">
        <v>1335</v>
      </c>
      <c r="D83" s="1345">
        <v>0</v>
      </c>
      <c r="E83" s="1345"/>
      <c r="F83" s="1345"/>
      <c r="G83" s="1345">
        <f>+D83-H83</f>
        <v>0</v>
      </c>
      <c r="H83" s="1345"/>
      <c r="I83" s="1345"/>
      <c r="J83" s="1347" t="s">
        <v>1187</v>
      </c>
      <c r="K83" s="1348" t="s">
        <v>1336</v>
      </c>
    </row>
    <row r="84" spans="2:11" ht="15">
      <c r="B84" s="527" t="s">
        <v>1100</v>
      </c>
      <c r="C84" s="529"/>
      <c r="D84" s="530"/>
      <c r="E84" s="530"/>
      <c r="F84" s="530"/>
      <c r="G84" s="530"/>
      <c r="H84" s="530"/>
      <c r="I84" s="530"/>
      <c r="J84" s="528"/>
      <c r="K84" s="528"/>
    </row>
    <row r="85" spans="1:11" ht="20.25">
      <c r="A85" s="83" t="str">
        <f>+A1</f>
        <v>Worksheet A-5 - WEN ADIT</v>
      </c>
      <c r="B85" s="83"/>
      <c r="C85" s="1159"/>
      <c r="D85" s="1159"/>
      <c r="E85" s="1159"/>
      <c r="F85" s="1159"/>
      <c r="G85" s="1159"/>
      <c r="H85" s="1159"/>
      <c r="I85" s="1159"/>
      <c r="J85" s="1159"/>
      <c r="K85" s="1156" t="s">
        <v>25</v>
      </c>
    </row>
    <row r="86" spans="2:10" ht="20.25">
      <c r="B86" s="83"/>
      <c r="J86" s="525"/>
    </row>
    <row r="87" spans="3:11" ht="18">
      <c r="C87" s="1165"/>
      <c r="D87" s="530"/>
      <c r="F87" s="167"/>
      <c r="G87" s="167"/>
      <c r="H87" s="519" t="str">
        <f>+B4</f>
        <v>Westar Energy, Inc.</v>
      </c>
      <c r="I87" s="531"/>
      <c r="J87" s="528"/>
      <c r="K87" s="528"/>
    </row>
    <row r="88" spans="3:11" ht="18">
      <c r="C88" s="1165"/>
      <c r="D88" s="530"/>
      <c r="F88" s="167"/>
      <c r="G88" s="167"/>
      <c r="H88" s="519" t="str">
        <f>+B22</f>
        <v>Allocation of ADIT</v>
      </c>
      <c r="I88" s="531"/>
      <c r="J88" s="528"/>
      <c r="K88" s="528"/>
    </row>
    <row r="89" spans="8:9" ht="12.75">
      <c r="H89" s="40"/>
      <c r="I89" s="40"/>
    </row>
    <row r="90" spans="3:11" ht="15.75">
      <c r="C90" s="180" t="s">
        <v>295</v>
      </c>
      <c r="D90" s="189" t="s">
        <v>1165</v>
      </c>
      <c r="E90" s="189" t="s">
        <v>1166</v>
      </c>
      <c r="F90" s="189" t="s">
        <v>1167</v>
      </c>
      <c r="G90" s="189" t="s">
        <v>1168</v>
      </c>
      <c r="H90" s="189" t="s">
        <v>1170</v>
      </c>
      <c r="I90" s="189" t="s">
        <v>1171</v>
      </c>
      <c r="J90" s="189" t="s">
        <v>1172</v>
      </c>
      <c r="K90" s="41" t="s">
        <v>1172</v>
      </c>
    </row>
    <row r="91" spans="3:11" ht="15.75">
      <c r="C91" s="1160"/>
      <c r="D91" s="1160"/>
      <c r="E91" s="191" t="s">
        <v>296</v>
      </c>
      <c r="F91" s="191" t="s">
        <v>296</v>
      </c>
      <c r="G91" s="189"/>
      <c r="H91" s="189"/>
      <c r="I91" s="191" t="s">
        <v>1599</v>
      </c>
      <c r="J91" s="189" t="s">
        <v>1183</v>
      </c>
      <c r="K91" s="42" t="s">
        <v>1100</v>
      </c>
    </row>
    <row r="92" spans="3:11" ht="15.75">
      <c r="C92" s="1160"/>
      <c r="D92" s="532">
        <f>+D26</f>
        <v>2008</v>
      </c>
      <c r="E92" s="189" t="s">
        <v>1173</v>
      </c>
      <c r="F92" s="189" t="s">
        <v>1151</v>
      </c>
      <c r="G92" s="189" t="s">
        <v>1174</v>
      </c>
      <c r="H92" s="189" t="s">
        <v>1175</v>
      </c>
      <c r="I92" s="189" t="s">
        <v>1600</v>
      </c>
      <c r="J92" s="189" t="s">
        <v>1184</v>
      </c>
      <c r="K92" s="42" t="s">
        <v>234</v>
      </c>
    </row>
    <row r="93" spans="3:11" ht="15.75">
      <c r="C93" s="1160"/>
      <c r="D93" s="532" t="s">
        <v>1185</v>
      </c>
      <c r="E93" s="189" t="s">
        <v>1176</v>
      </c>
      <c r="F93" s="189" t="s">
        <v>1176</v>
      </c>
      <c r="G93" s="189" t="s">
        <v>1176</v>
      </c>
      <c r="H93" s="189" t="s">
        <v>1176</v>
      </c>
      <c r="I93" s="189" t="s">
        <v>1601</v>
      </c>
      <c r="J93" s="189" t="s">
        <v>490</v>
      </c>
      <c r="K93" s="42" t="s">
        <v>187</v>
      </c>
    </row>
    <row r="94" spans="1:9" s="1161" customFormat="1" ht="12.75">
      <c r="A94" s="277"/>
      <c r="B94" s="1155"/>
      <c r="C94" s="43"/>
      <c r="G94" s="1162"/>
      <c r="H94" s="1162"/>
      <c r="I94" s="1162"/>
    </row>
    <row r="95" spans="1:11" ht="15">
      <c r="A95" s="1161"/>
      <c r="B95" s="527"/>
      <c r="C95" s="168" t="s">
        <v>1200</v>
      </c>
      <c r="D95" s="531"/>
      <c r="E95" s="533"/>
      <c r="F95" s="533"/>
      <c r="G95" s="533"/>
      <c r="H95" s="531"/>
      <c r="I95" s="531"/>
      <c r="J95" s="528"/>
      <c r="K95" s="528"/>
    </row>
    <row r="96" spans="2:11" ht="15">
      <c r="B96" s="1343">
        <v>1901097</v>
      </c>
      <c r="C96" s="1356" t="s">
        <v>305</v>
      </c>
      <c r="D96" s="1345">
        <v>-48257.88</v>
      </c>
      <c r="E96" s="1345">
        <f>+D96</f>
        <v>-48257.88</v>
      </c>
      <c r="F96" s="1345"/>
      <c r="G96" s="1345"/>
      <c r="H96" s="1345"/>
      <c r="I96" s="1345"/>
      <c r="J96" s="1347" t="s">
        <v>1086</v>
      </c>
      <c r="K96" s="1352" t="s">
        <v>306</v>
      </c>
    </row>
    <row r="97" spans="2:11" ht="45">
      <c r="B97" s="1343">
        <v>1901098</v>
      </c>
      <c r="C97" s="1344" t="s">
        <v>1337</v>
      </c>
      <c r="D97" s="1345">
        <v>5263.02</v>
      </c>
      <c r="E97" s="1345"/>
      <c r="F97" s="1345"/>
      <c r="G97" s="1345">
        <f>+D97-H97</f>
        <v>5263.02</v>
      </c>
      <c r="H97" s="1345"/>
      <c r="I97" s="1345"/>
      <c r="J97" s="1347" t="s">
        <v>1187</v>
      </c>
      <c r="K97" s="1348" t="s">
        <v>1338</v>
      </c>
    </row>
    <row r="98" spans="2:11" ht="15">
      <c r="B98" s="1343">
        <v>1901099</v>
      </c>
      <c r="C98" s="1344" t="s">
        <v>307</v>
      </c>
      <c r="D98" s="1345">
        <v>145637.75</v>
      </c>
      <c r="E98" s="1345"/>
      <c r="F98" s="1345"/>
      <c r="G98" s="1345"/>
      <c r="H98" s="1345"/>
      <c r="I98" s="1345">
        <f>D98</f>
        <v>145637.75</v>
      </c>
      <c r="J98" s="1347" t="s">
        <v>1187</v>
      </c>
      <c r="K98" s="608" t="s">
        <v>725</v>
      </c>
    </row>
    <row r="99" spans="2:11" ht="15">
      <c r="B99" s="1343">
        <v>1901119</v>
      </c>
      <c r="C99" s="1344" t="s">
        <v>308</v>
      </c>
      <c r="D99" s="1345">
        <v>23207.26</v>
      </c>
      <c r="E99" s="1345"/>
      <c r="F99" s="1357">
        <f>+D99</f>
        <v>23207.26</v>
      </c>
      <c r="G99" s="1354"/>
      <c r="H99" s="1354"/>
      <c r="I99" s="1354"/>
      <c r="J99" s="1355" t="s">
        <v>1187</v>
      </c>
      <c r="K99" s="1352" t="s">
        <v>309</v>
      </c>
    </row>
    <row r="100" spans="2:11" ht="15">
      <c r="B100" s="1343">
        <v>1901122</v>
      </c>
      <c r="C100" s="1344" t="s">
        <v>310</v>
      </c>
      <c r="D100" s="1345">
        <v>7652.43</v>
      </c>
      <c r="E100" s="1345"/>
      <c r="F100" s="1357">
        <f>+D100</f>
        <v>7652.43</v>
      </c>
      <c r="G100" s="1354"/>
      <c r="H100" s="1354"/>
      <c r="I100" s="1354"/>
      <c r="J100" s="1355" t="s">
        <v>1187</v>
      </c>
      <c r="K100" s="1352" t="s">
        <v>906</v>
      </c>
    </row>
    <row r="101" spans="2:11" ht="30">
      <c r="B101" s="1343">
        <v>1901150</v>
      </c>
      <c r="C101" s="1344" t="s">
        <v>907</v>
      </c>
      <c r="D101" s="1345">
        <v>23709.58</v>
      </c>
      <c r="E101" s="1345"/>
      <c r="F101" s="1357">
        <f>+D101</f>
        <v>23709.58</v>
      </c>
      <c r="G101" s="1354"/>
      <c r="H101" s="1354"/>
      <c r="I101" s="1354"/>
      <c r="J101" s="1355" t="s">
        <v>1187</v>
      </c>
      <c r="K101" s="1353" t="s">
        <v>908</v>
      </c>
    </row>
    <row r="102" spans="2:11" ht="15">
      <c r="B102" s="1343">
        <v>1902016</v>
      </c>
      <c r="C102" s="1358" t="s">
        <v>909</v>
      </c>
      <c r="D102" s="612">
        <v>211007.95</v>
      </c>
      <c r="E102" s="612"/>
      <c r="F102" s="612"/>
      <c r="G102" s="612"/>
      <c r="H102" s="612"/>
      <c r="I102" s="612"/>
      <c r="J102" s="1347" t="s">
        <v>1086</v>
      </c>
      <c r="K102" s="608" t="s">
        <v>727</v>
      </c>
    </row>
    <row r="103" spans="2:11" ht="15">
      <c r="B103" s="1343">
        <v>1902017</v>
      </c>
      <c r="C103" s="1358" t="s">
        <v>910</v>
      </c>
      <c r="D103" s="612">
        <v>178155.79</v>
      </c>
      <c r="E103" s="612"/>
      <c r="F103" s="612"/>
      <c r="G103" s="612"/>
      <c r="H103" s="612"/>
      <c r="I103" s="612"/>
      <c r="J103" s="1347" t="s">
        <v>1086</v>
      </c>
      <c r="K103" s="608" t="s">
        <v>727</v>
      </c>
    </row>
    <row r="104" spans="2:11" ht="15">
      <c r="B104" s="1343">
        <v>1902030</v>
      </c>
      <c r="C104" s="1344" t="s">
        <v>726</v>
      </c>
      <c r="D104" s="1359">
        <v>0</v>
      </c>
      <c r="E104" s="1359"/>
      <c r="F104" s="1359"/>
      <c r="G104" s="612"/>
      <c r="H104" s="612"/>
      <c r="I104" s="612"/>
      <c r="J104" s="1347" t="s">
        <v>1086</v>
      </c>
      <c r="K104" s="608" t="s">
        <v>727</v>
      </c>
    </row>
    <row r="105" spans="2:11" ht="30">
      <c r="B105" s="1343">
        <v>1902043</v>
      </c>
      <c r="C105" s="1349" t="s">
        <v>728</v>
      </c>
      <c r="D105" s="612">
        <v>0</v>
      </c>
      <c r="E105" s="612"/>
      <c r="F105" s="612"/>
      <c r="G105" s="612"/>
      <c r="H105" s="612"/>
      <c r="I105" s="612"/>
      <c r="J105" s="1347" t="s">
        <v>1086</v>
      </c>
      <c r="K105" s="608" t="s">
        <v>727</v>
      </c>
    </row>
    <row r="106" spans="2:11" ht="15">
      <c r="B106" s="1343">
        <v>1902061</v>
      </c>
      <c r="C106" s="1344" t="s">
        <v>729</v>
      </c>
      <c r="D106" s="612">
        <v>385042.44</v>
      </c>
      <c r="E106" s="612"/>
      <c r="F106" s="612"/>
      <c r="G106" s="612"/>
      <c r="H106" s="612"/>
      <c r="I106" s="612"/>
      <c r="J106" s="1347" t="s">
        <v>1086</v>
      </c>
      <c r="K106" s="608" t="s">
        <v>727</v>
      </c>
    </row>
    <row r="107" spans="2:11" ht="15">
      <c r="B107" s="1343">
        <v>1902062</v>
      </c>
      <c r="C107" s="1344" t="s">
        <v>730</v>
      </c>
      <c r="D107" s="612">
        <v>1212970.1</v>
      </c>
      <c r="E107" s="612"/>
      <c r="F107" s="612"/>
      <c r="G107" s="612"/>
      <c r="H107" s="612"/>
      <c r="I107" s="612"/>
      <c r="J107" s="1347" t="s">
        <v>1086</v>
      </c>
      <c r="K107" s="608" t="s">
        <v>727</v>
      </c>
    </row>
    <row r="108" spans="2:11" ht="30">
      <c r="B108" s="1343">
        <v>1902065</v>
      </c>
      <c r="C108" s="1349" t="s">
        <v>731</v>
      </c>
      <c r="D108" s="612">
        <v>-1194403.33</v>
      </c>
      <c r="E108" s="612"/>
      <c r="F108" s="612"/>
      <c r="G108" s="612"/>
      <c r="H108" s="612"/>
      <c r="I108" s="612"/>
      <c r="J108" s="1347" t="s">
        <v>1086</v>
      </c>
      <c r="K108" s="608" t="s">
        <v>727</v>
      </c>
    </row>
    <row r="109" spans="2:11" ht="15">
      <c r="B109" s="1343">
        <v>1902066</v>
      </c>
      <c r="C109" s="1349" t="s">
        <v>732</v>
      </c>
      <c r="D109" s="612">
        <v>0</v>
      </c>
      <c r="E109" s="612"/>
      <c r="F109" s="612"/>
      <c r="G109" s="612"/>
      <c r="H109" s="612"/>
      <c r="I109" s="612"/>
      <c r="J109" s="1347" t="s">
        <v>1086</v>
      </c>
      <c r="K109" s="608" t="s">
        <v>727</v>
      </c>
    </row>
    <row r="110" spans="2:11" ht="15">
      <c r="B110" s="1343">
        <v>1902068</v>
      </c>
      <c r="C110" s="1344" t="s">
        <v>733</v>
      </c>
      <c r="D110" s="612">
        <v>155222.73</v>
      </c>
      <c r="E110" s="612"/>
      <c r="F110" s="612"/>
      <c r="G110" s="612"/>
      <c r="H110" s="612"/>
      <c r="I110" s="612"/>
      <c r="J110" s="1347" t="s">
        <v>1086</v>
      </c>
      <c r="K110" s="608" t="s">
        <v>727</v>
      </c>
    </row>
    <row r="111" spans="2:11" ht="15">
      <c r="B111" s="1343">
        <v>1902069</v>
      </c>
      <c r="C111" s="1344" t="s">
        <v>734</v>
      </c>
      <c r="D111" s="612">
        <v>317775.09</v>
      </c>
      <c r="E111" s="612"/>
      <c r="F111" s="612"/>
      <c r="G111" s="612"/>
      <c r="H111" s="612"/>
      <c r="I111" s="612"/>
      <c r="J111" s="1347" t="s">
        <v>1086</v>
      </c>
      <c r="K111" s="608" t="s">
        <v>727</v>
      </c>
    </row>
    <row r="112" spans="2:11" ht="15">
      <c r="B112" s="1343">
        <v>1902072</v>
      </c>
      <c r="C112" s="1344" t="s">
        <v>735</v>
      </c>
      <c r="D112" s="612">
        <v>26566.05</v>
      </c>
      <c r="E112" s="612"/>
      <c r="F112" s="612"/>
      <c r="G112" s="612"/>
      <c r="H112" s="612"/>
      <c r="I112" s="612"/>
      <c r="J112" s="1347" t="s">
        <v>1086</v>
      </c>
      <c r="K112" s="608" t="s">
        <v>727</v>
      </c>
    </row>
    <row r="113" spans="2:11" ht="15">
      <c r="B113" s="1343">
        <v>1902073</v>
      </c>
      <c r="C113" s="1344" t="s">
        <v>736</v>
      </c>
      <c r="D113" s="612">
        <v>-174398.68</v>
      </c>
      <c r="E113" s="612"/>
      <c r="F113" s="612"/>
      <c r="G113" s="612"/>
      <c r="H113" s="612"/>
      <c r="I113" s="612"/>
      <c r="J113" s="1347" t="s">
        <v>1086</v>
      </c>
      <c r="K113" s="608" t="s">
        <v>727</v>
      </c>
    </row>
    <row r="114" spans="2:11" ht="15">
      <c r="B114" s="1343">
        <v>1902075</v>
      </c>
      <c r="C114" s="1344" t="s">
        <v>737</v>
      </c>
      <c r="D114" s="612">
        <v>10137138.81</v>
      </c>
      <c r="E114" s="612"/>
      <c r="F114" s="612"/>
      <c r="G114" s="612"/>
      <c r="H114" s="612"/>
      <c r="I114" s="612"/>
      <c r="J114" s="1347" t="s">
        <v>1086</v>
      </c>
      <c r="K114" s="608" t="s">
        <v>727</v>
      </c>
    </row>
    <row r="115" spans="2:11" ht="15">
      <c r="B115" s="1343">
        <v>1902076</v>
      </c>
      <c r="C115" s="1344" t="s">
        <v>738</v>
      </c>
      <c r="D115" s="612">
        <v>340246.83</v>
      </c>
      <c r="E115" s="612"/>
      <c r="F115" s="612"/>
      <c r="G115" s="612"/>
      <c r="H115" s="612"/>
      <c r="I115" s="612"/>
      <c r="J115" s="1347" t="s">
        <v>1086</v>
      </c>
      <c r="K115" s="608" t="s">
        <v>727</v>
      </c>
    </row>
    <row r="116" spans="2:11" ht="15">
      <c r="B116" s="1343">
        <v>1902078</v>
      </c>
      <c r="C116" s="1344" t="s">
        <v>911</v>
      </c>
      <c r="D116" s="612">
        <v>778.08</v>
      </c>
      <c r="E116" s="612"/>
      <c r="F116" s="612"/>
      <c r="G116" s="612"/>
      <c r="H116" s="612"/>
      <c r="I116" s="612"/>
      <c r="J116" s="1347" t="s">
        <v>1086</v>
      </c>
      <c r="K116" s="608" t="s">
        <v>727</v>
      </c>
    </row>
    <row r="117" spans="2:11" ht="15">
      <c r="B117" s="1343">
        <v>1902079</v>
      </c>
      <c r="C117" s="1344" t="s">
        <v>739</v>
      </c>
      <c r="D117" s="612">
        <v>0</v>
      </c>
      <c r="E117" s="612"/>
      <c r="F117" s="612"/>
      <c r="G117" s="612"/>
      <c r="H117" s="612"/>
      <c r="I117" s="612"/>
      <c r="J117" s="1347" t="s">
        <v>1086</v>
      </c>
      <c r="K117" s="608" t="s">
        <v>727</v>
      </c>
    </row>
    <row r="118" spans="2:11" ht="15">
      <c r="B118" s="1343">
        <v>1902082</v>
      </c>
      <c r="C118" s="1344" t="s">
        <v>740</v>
      </c>
      <c r="D118" s="612">
        <v>3802438.29</v>
      </c>
      <c r="E118" s="612"/>
      <c r="F118" s="612"/>
      <c r="G118" s="612"/>
      <c r="H118" s="612"/>
      <c r="I118" s="612"/>
      <c r="J118" s="1347" t="s">
        <v>1086</v>
      </c>
      <c r="K118" s="608" t="s">
        <v>727</v>
      </c>
    </row>
    <row r="119" spans="2:11" ht="15">
      <c r="B119" s="1343">
        <v>1902083</v>
      </c>
      <c r="C119" s="1344" t="s">
        <v>741</v>
      </c>
      <c r="D119" s="612">
        <v>17230706.03</v>
      </c>
      <c r="E119" s="612"/>
      <c r="F119" s="612"/>
      <c r="G119" s="612"/>
      <c r="H119" s="612"/>
      <c r="I119" s="612"/>
      <c r="J119" s="1347" t="s">
        <v>1086</v>
      </c>
      <c r="K119" s="608" t="s">
        <v>727</v>
      </c>
    </row>
    <row r="120" spans="2:11" ht="15">
      <c r="B120" s="1343">
        <v>1902084</v>
      </c>
      <c r="C120" s="1344" t="s">
        <v>742</v>
      </c>
      <c r="D120" s="612">
        <v>-3802438.29</v>
      </c>
      <c r="E120" s="612"/>
      <c r="F120" s="612"/>
      <c r="G120" s="612"/>
      <c r="H120" s="612"/>
      <c r="I120" s="612"/>
      <c r="J120" s="1347" t="s">
        <v>1086</v>
      </c>
      <c r="K120" s="608" t="s">
        <v>727</v>
      </c>
    </row>
    <row r="121" spans="2:11" ht="15">
      <c r="B121" s="1343">
        <v>1902085</v>
      </c>
      <c r="C121" s="1344" t="s">
        <v>912</v>
      </c>
      <c r="D121" s="612">
        <v>1177988</v>
      </c>
      <c r="E121" s="612"/>
      <c r="F121" s="612"/>
      <c r="G121" s="612"/>
      <c r="H121" s="612"/>
      <c r="I121" s="612"/>
      <c r="J121" s="1347" t="s">
        <v>1086</v>
      </c>
      <c r="K121" s="608" t="s">
        <v>727</v>
      </c>
    </row>
    <row r="122" spans="2:11" ht="15">
      <c r="B122" s="1343">
        <v>1902090</v>
      </c>
      <c r="C122" s="1344" t="s">
        <v>743</v>
      </c>
      <c r="D122" s="612">
        <v>6194936.68</v>
      </c>
      <c r="E122" s="612"/>
      <c r="F122" s="612"/>
      <c r="G122" s="612"/>
      <c r="H122" s="612"/>
      <c r="I122" s="612"/>
      <c r="J122" s="1347" t="s">
        <v>1086</v>
      </c>
      <c r="K122" s="608" t="s">
        <v>727</v>
      </c>
    </row>
    <row r="123" spans="2:11" ht="15">
      <c r="B123" s="1343">
        <v>1902091</v>
      </c>
      <c r="C123" s="1344" t="s">
        <v>744</v>
      </c>
      <c r="D123" s="612">
        <v>688686.73</v>
      </c>
      <c r="E123" s="612"/>
      <c r="F123" s="612"/>
      <c r="G123" s="612"/>
      <c r="H123" s="612"/>
      <c r="I123" s="612"/>
      <c r="J123" s="1347" t="s">
        <v>1086</v>
      </c>
      <c r="K123" s="608" t="s">
        <v>727</v>
      </c>
    </row>
    <row r="124" spans="2:11" ht="15">
      <c r="B124" s="166" t="s">
        <v>1100</v>
      </c>
      <c r="C124" s="533"/>
      <c r="D124" s="167" t="s">
        <v>1100</v>
      </c>
      <c r="E124" s="167"/>
      <c r="F124" s="167"/>
      <c r="G124" s="167" t="s">
        <v>1100</v>
      </c>
      <c r="H124" s="531"/>
      <c r="I124" s="531"/>
      <c r="J124" s="528"/>
      <c r="K124" s="528"/>
    </row>
    <row r="125" spans="2:11" ht="15.75">
      <c r="B125" s="534"/>
      <c r="C125" s="169"/>
      <c r="D125" s="533"/>
      <c r="E125" s="533"/>
      <c r="F125" s="533"/>
      <c r="G125" s="533"/>
      <c r="H125" s="531"/>
      <c r="I125" s="531"/>
      <c r="J125" s="528"/>
      <c r="K125" s="528"/>
    </row>
    <row r="126" spans="2:11" ht="15">
      <c r="B126" s="170" t="s">
        <v>176</v>
      </c>
      <c r="C126" s="166"/>
      <c r="D126" s="167">
        <f>-D29</f>
        <v>-16549251.45</v>
      </c>
      <c r="E126" s="167">
        <f>-E29</f>
        <v>-16549251.45</v>
      </c>
      <c r="F126" s="167"/>
      <c r="G126" s="533">
        <f>+D126-E126-F126-H126</f>
        <v>0</v>
      </c>
      <c r="H126" s="531"/>
      <c r="I126" s="531"/>
      <c r="J126" s="528"/>
      <c r="K126" s="528" t="s">
        <v>1186</v>
      </c>
    </row>
    <row r="127" spans="2:11" ht="15.75">
      <c r="B127" s="534"/>
      <c r="C127" s="169"/>
      <c r="D127" s="528"/>
      <c r="E127" s="533"/>
      <c r="F127" s="533"/>
      <c r="G127" s="533"/>
      <c r="H127" s="531"/>
      <c r="I127" s="531"/>
      <c r="J127" s="528"/>
      <c r="K127" s="528"/>
    </row>
    <row r="128" spans="2:11" ht="15.75">
      <c r="B128" s="1166" t="s">
        <v>966</v>
      </c>
      <c r="D128" s="528"/>
      <c r="E128" s="531">
        <f>SUM(E29:E83)+SUM(E96:E126)</f>
        <v>190715805.10999998</v>
      </c>
      <c r="F128" s="531">
        <f>SUM(F29:F83)+SUM(F96:F126)</f>
        <v>693352.84</v>
      </c>
      <c r="G128" s="531">
        <f>SUM(G29:G83)+SUM(G96:G126)</f>
        <v>3603749.8800000004</v>
      </c>
      <c r="H128" s="531">
        <f>SUM(H29:H83)+SUM(H96:H126)</f>
        <v>1332550.9500000011</v>
      </c>
      <c r="I128" s="531">
        <f>SUM(I29:I83)+SUM(I96:I126)</f>
        <v>145637.75</v>
      </c>
      <c r="J128" s="282">
        <f>+E128+G128+H128+I128</f>
        <v>195797743.68999997</v>
      </c>
      <c r="K128" s="528"/>
    </row>
    <row r="129" spans="2:11" ht="15.75">
      <c r="B129" s="1167" t="s">
        <v>967</v>
      </c>
      <c r="D129" s="528"/>
      <c r="E129" s="533"/>
      <c r="F129" s="533"/>
      <c r="G129" s="531">
        <v>0</v>
      </c>
      <c r="H129" s="535"/>
      <c r="I129" s="535"/>
      <c r="J129" s="1168" t="s">
        <v>1100</v>
      </c>
      <c r="K129" s="528"/>
    </row>
    <row r="130" spans="2:11" ht="15.75">
      <c r="B130" s="1167" t="s">
        <v>968</v>
      </c>
      <c r="D130" s="528"/>
      <c r="E130" s="533"/>
      <c r="F130" s="533"/>
      <c r="G130" s="531">
        <v>0</v>
      </c>
      <c r="H130" s="531">
        <f>H75+H53</f>
        <v>0</v>
      </c>
      <c r="I130" s="531">
        <f>I75+I53</f>
        <v>0</v>
      </c>
      <c r="J130" s="1169" t="s">
        <v>1100</v>
      </c>
      <c r="K130" s="528"/>
    </row>
    <row r="131" spans="2:11" ht="15.75">
      <c r="B131" s="1167" t="s">
        <v>1106</v>
      </c>
      <c r="D131" s="528"/>
      <c r="E131" s="531">
        <f>+E128-E129-E130</f>
        <v>190715805.10999998</v>
      </c>
      <c r="F131" s="531">
        <f>+F128-F129-F130</f>
        <v>693352.84</v>
      </c>
      <c r="G131" s="531">
        <f>+G128-G129-G130</f>
        <v>3603749.8800000004</v>
      </c>
      <c r="H131" s="531">
        <f>+H128-H129-H130</f>
        <v>1332550.9500000011</v>
      </c>
      <c r="I131" s="531">
        <f>+I128-I129-I130</f>
        <v>145637.75</v>
      </c>
      <c r="J131" s="536" t="s">
        <v>1100</v>
      </c>
      <c r="K131" s="528"/>
    </row>
    <row r="132" spans="1:11" ht="20.25">
      <c r="A132" s="283" t="str">
        <f>+A1</f>
        <v>Worksheet A-5 - WEN ADIT</v>
      </c>
      <c r="B132" s="283"/>
      <c r="C132" s="1170"/>
      <c r="D132" s="528"/>
      <c r="E132" s="528"/>
      <c r="F132" s="528"/>
      <c r="G132" s="537"/>
      <c r="H132" s="537"/>
      <c r="I132" s="537"/>
      <c r="J132" s="528"/>
      <c r="K132" s="104" t="s">
        <v>26</v>
      </c>
    </row>
    <row r="133" spans="2:11" ht="15.75">
      <c r="B133" s="534"/>
      <c r="C133" s="1170"/>
      <c r="D133" s="528"/>
      <c r="E133" s="528"/>
      <c r="F133" s="528"/>
      <c r="G133" s="537"/>
      <c r="H133" s="537"/>
      <c r="I133" s="537"/>
      <c r="J133" s="528"/>
      <c r="K133" s="528"/>
    </row>
    <row r="134" spans="2:11" ht="15.75">
      <c r="B134" s="1441" t="str">
        <f>B21</f>
        <v>Westar Energy, Inc.</v>
      </c>
      <c r="C134" s="1442"/>
      <c r="D134" s="1442"/>
      <c r="E134" s="1442"/>
      <c r="F134" s="1442"/>
      <c r="G134" s="1442"/>
      <c r="H134" s="1442"/>
      <c r="I134" s="1442"/>
      <c r="J134" s="1442"/>
      <c r="K134" s="1442"/>
    </row>
    <row r="135" spans="2:11" ht="15.75">
      <c r="B135" s="1441" t="str">
        <f>B22</f>
        <v>Allocation of ADIT</v>
      </c>
      <c r="C135" s="1442"/>
      <c r="D135" s="1442"/>
      <c r="E135" s="1442"/>
      <c r="F135" s="1442"/>
      <c r="G135" s="1442"/>
      <c r="H135" s="1442"/>
      <c r="I135" s="1442"/>
      <c r="J135" s="1442"/>
      <c r="K135" s="1442"/>
    </row>
    <row r="136" spans="2:11" ht="15.75">
      <c r="B136" s="534"/>
      <c r="C136" s="1170"/>
      <c r="D136" s="528"/>
      <c r="E136" s="528"/>
      <c r="F136" s="528"/>
      <c r="G136" s="537"/>
      <c r="H136" s="537"/>
      <c r="I136" s="537"/>
      <c r="J136" s="528"/>
      <c r="K136" s="528"/>
    </row>
    <row r="137" spans="2:11" ht="15">
      <c r="B137" s="534"/>
      <c r="C137" s="171" t="s">
        <v>969</v>
      </c>
      <c r="D137" s="172" t="str">
        <f aca="true" t="shared" si="3" ref="D137:K137">D24</f>
        <v>(A)</v>
      </c>
      <c r="E137" s="172" t="str">
        <f t="shared" si="3"/>
        <v>(B)</v>
      </c>
      <c r="F137" s="172" t="str">
        <f t="shared" si="3"/>
        <v>(C)</v>
      </c>
      <c r="G137" s="172" t="str">
        <f t="shared" si="3"/>
        <v>(D)</v>
      </c>
      <c r="H137" s="172" t="str">
        <f t="shared" si="3"/>
        <v>(E)</v>
      </c>
      <c r="I137" s="172" t="str">
        <f t="shared" si="3"/>
        <v>(F)</v>
      </c>
      <c r="J137" s="172" t="str">
        <f t="shared" si="3"/>
        <v>(G)</v>
      </c>
      <c r="K137" s="172" t="str">
        <f t="shared" si="3"/>
        <v>(G)</v>
      </c>
    </row>
    <row r="138" spans="2:11" ht="15">
      <c r="B138" s="534"/>
      <c r="C138" s="528"/>
      <c r="D138" s="528"/>
      <c r="E138" s="173">
        <v>1</v>
      </c>
      <c r="F138" s="173">
        <v>1</v>
      </c>
      <c r="G138" s="172"/>
      <c r="H138" s="172"/>
      <c r="I138" s="172" t="str">
        <f aca="true" t="shared" si="4" ref="I138:K140">I25</f>
        <v>100% Retail</v>
      </c>
      <c r="J138" s="172" t="str">
        <f t="shared" si="4"/>
        <v>In</v>
      </c>
      <c r="K138" s="172" t="str">
        <f t="shared" si="4"/>
        <v> </v>
      </c>
    </row>
    <row r="139" spans="2:11" ht="15.75">
      <c r="B139" s="534"/>
      <c r="C139" s="1171"/>
      <c r="D139" s="174">
        <f>+D26</f>
        <v>2008</v>
      </c>
      <c r="E139" s="172" t="s">
        <v>1173</v>
      </c>
      <c r="F139" s="172" t="s">
        <v>1151</v>
      </c>
      <c r="G139" s="172" t="str">
        <f>G26</f>
        <v>Plant </v>
      </c>
      <c r="H139" s="172" t="str">
        <f>H26</f>
        <v>Labor</v>
      </c>
      <c r="I139" s="172" t="str">
        <f t="shared" si="4"/>
        <v>[Allocate</v>
      </c>
      <c r="J139" s="172" t="str">
        <f t="shared" si="4"/>
        <v>Adjustment</v>
      </c>
      <c r="K139" s="172" t="str">
        <f t="shared" si="4"/>
        <v>Description</v>
      </c>
    </row>
    <row r="140" spans="2:11" ht="15.75">
      <c r="B140" s="534"/>
      <c r="C140" s="175"/>
      <c r="D140" s="172" t="str">
        <f>D27</f>
        <v>YE Balance</v>
      </c>
      <c r="E140" s="172" t="s">
        <v>1176</v>
      </c>
      <c r="F140" s="172" t="s">
        <v>1176</v>
      </c>
      <c r="G140" s="172" t="str">
        <f>G27</f>
        <v>Related</v>
      </c>
      <c r="H140" s="172" t="str">
        <f>H27</f>
        <v>Related</v>
      </c>
      <c r="I140" s="172" t="str">
        <f t="shared" si="4"/>
        <v>by Plant]</v>
      </c>
      <c r="J140" s="172" t="str">
        <f t="shared" si="4"/>
        <v>to Ratebase</v>
      </c>
      <c r="K140" s="172" t="str">
        <f t="shared" si="4"/>
        <v>and Justification</v>
      </c>
    </row>
    <row r="141" spans="2:11" ht="15">
      <c r="B141" s="534"/>
      <c r="C141" s="528"/>
      <c r="D141" s="528"/>
      <c r="E141" s="528"/>
      <c r="F141" s="528"/>
      <c r="G141" s="538"/>
      <c r="H141" s="538"/>
      <c r="I141" s="538"/>
      <c r="J141" s="528"/>
      <c r="K141" s="528"/>
    </row>
    <row r="142" spans="2:11" ht="15">
      <c r="B142" s="534"/>
      <c r="C142" s="176" t="s">
        <v>970</v>
      </c>
      <c r="D142" s="528"/>
      <c r="E142" s="528"/>
      <c r="F142" s="528"/>
      <c r="G142" s="538"/>
      <c r="H142" s="538"/>
      <c r="I142" s="538"/>
      <c r="J142" s="528"/>
      <c r="K142" s="528"/>
    </row>
    <row r="143" spans="1:11" s="1163" customFormat="1" ht="31.5">
      <c r="A143" s="1172"/>
      <c r="B143" s="608">
        <v>2821002</v>
      </c>
      <c r="C143" s="608" t="s">
        <v>745</v>
      </c>
      <c r="D143" s="540">
        <v>0</v>
      </c>
      <c r="E143" s="540"/>
      <c r="F143" s="540"/>
      <c r="G143" s="612">
        <f aca="true" t="shared" si="5" ref="G143:G149">+D143-H143</f>
        <v>0</v>
      </c>
      <c r="H143" s="612"/>
      <c r="I143" s="612"/>
      <c r="J143" s="1347" t="s">
        <v>1187</v>
      </c>
      <c r="K143" s="1360" t="s">
        <v>746</v>
      </c>
    </row>
    <row r="144" spans="2:11" s="1163" customFormat="1" ht="45">
      <c r="B144" s="608">
        <v>2821003</v>
      </c>
      <c r="C144" s="608" t="s">
        <v>747</v>
      </c>
      <c r="D144" s="540">
        <v>324701785.99</v>
      </c>
      <c r="E144" s="540"/>
      <c r="F144" s="540"/>
      <c r="G144" s="612">
        <f>+D144-H144</f>
        <v>324701785.99</v>
      </c>
      <c r="H144" s="612"/>
      <c r="I144" s="612"/>
      <c r="J144" s="1347" t="s">
        <v>1187</v>
      </c>
      <c r="K144" s="1348" t="s">
        <v>1365</v>
      </c>
    </row>
    <row r="145" spans="2:11" s="1163" customFormat="1" ht="15">
      <c r="B145" s="1343">
        <v>2821003</v>
      </c>
      <c r="C145" s="610" t="s">
        <v>1366</v>
      </c>
      <c r="D145" s="540">
        <v>0</v>
      </c>
      <c r="E145" s="540"/>
      <c r="F145" s="540"/>
      <c r="G145" s="612">
        <f t="shared" si="5"/>
        <v>0</v>
      </c>
      <c r="H145" s="612"/>
      <c r="I145" s="612"/>
      <c r="J145" s="1347" t="s">
        <v>1187</v>
      </c>
      <c r="K145" s="1348" t="s">
        <v>1367</v>
      </c>
    </row>
    <row r="146" spans="2:11" ht="30">
      <c r="B146" s="608">
        <v>2821004</v>
      </c>
      <c r="C146" s="608" t="s">
        <v>1368</v>
      </c>
      <c r="D146" s="540">
        <v>2288228.67</v>
      </c>
      <c r="E146" s="540"/>
      <c r="F146" s="540"/>
      <c r="G146" s="612">
        <f t="shared" si="5"/>
        <v>2288228.67</v>
      </c>
      <c r="H146" s="612"/>
      <c r="I146" s="612"/>
      <c r="J146" s="1347" t="s">
        <v>1187</v>
      </c>
      <c r="K146" s="1348" t="s">
        <v>1369</v>
      </c>
    </row>
    <row r="147" spans="2:11" ht="30">
      <c r="B147" s="608">
        <v>2821005</v>
      </c>
      <c r="C147" s="1348" t="s">
        <v>1370</v>
      </c>
      <c r="D147" s="540">
        <v>3491479.03</v>
      </c>
      <c r="E147" s="540"/>
      <c r="F147" s="540"/>
      <c r="G147" s="612">
        <f t="shared" si="5"/>
        <v>3491479.03</v>
      </c>
      <c r="H147" s="612"/>
      <c r="I147" s="612"/>
      <c r="J147" s="1347" t="s">
        <v>1187</v>
      </c>
      <c r="K147" s="1348" t="s">
        <v>1371</v>
      </c>
    </row>
    <row r="148" spans="2:11" s="1163" customFormat="1" ht="15">
      <c r="B148" s="608">
        <v>2821006</v>
      </c>
      <c r="C148" s="608" t="s">
        <v>1372</v>
      </c>
      <c r="D148" s="540">
        <v>357748.96</v>
      </c>
      <c r="E148" s="540"/>
      <c r="F148" s="540"/>
      <c r="G148" s="612">
        <f t="shared" si="5"/>
        <v>0</v>
      </c>
      <c r="H148" s="612">
        <f>D148</f>
        <v>357748.96</v>
      </c>
      <c r="I148" s="612"/>
      <c r="J148" s="1347" t="s">
        <v>1187</v>
      </c>
      <c r="K148" s="1348" t="s">
        <v>1373</v>
      </c>
    </row>
    <row r="149" spans="2:11" ht="30">
      <c r="B149" s="608">
        <v>2821007</v>
      </c>
      <c r="C149" s="608" t="s">
        <v>1374</v>
      </c>
      <c r="D149" s="540">
        <v>3872029.62</v>
      </c>
      <c r="E149" s="540"/>
      <c r="F149" s="540"/>
      <c r="G149" s="612">
        <f t="shared" si="5"/>
        <v>3872029.62</v>
      </c>
      <c r="H149" s="612"/>
      <c r="I149" s="612"/>
      <c r="J149" s="1347" t="s">
        <v>1187</v>
      </c>
      <c r="K149" s="1348" t="s">
        <v>1375</v>
      </c>
    </row>
    <row r="150" spans="1:11" ht="15">
      <c r="A150" s="1164"/>
      <c r="B150" s="608">
        <v>2821010</v>
      </c>
      <c r="C150" s="608" t="s">
        <v>1376</v>
      </c>
      <c r="D150" s="540">
        <v>6789965.57</v>
      </c>
      <c r="E150" s="540">
        <f>D150</f>
        <v>6789965.57</v>
      </c>
      <c r="F150" s="540"/>
      <c r="G150" s="612"/>
      <c r="H150" s="612"/>
      <c r="I150" s="612"/>
      <c r="J150" s="1347" t="s">
        <v>1086</v>
      </c>
      <c r="K150" s="1348" t="s">
        <v>1377</v>
      </c>
    </row>
    <row r="151" spans="2:11" ht="30">
      <c r="B151" s="608">
        <v>2821024</v>
      </c>
      <c r="C151" s="608" t="s">
        <v>1378</v>
      </c>
      <c r="D151" s="540">
        <v>-1973024.2</v>
      </c>
      <c r="E151" s="540">
        <f>D151</f>
        <v>-1973024.2</v>
      </c>
      <c r="F151" s="540"/>
      <c r="G151" s="612"/>
      <c r="H151" s="612"/>
      <c r="I151" s="612"/>
      <c r="J151" s="1347" t="s">
        <v>1086</v>
      </c>
      <c r="K151" s="1348" t="s">
        <v>1379</v>
      </c>
    </row>
    <row r="152" spans="2:11" ht="30">
      <c r="B152" s="608">
        <v>2821025</v>
      </c>
      <c r="C152" s="608" t="s">
        <v>1380</v>
      </c>
      <c r="D152" s="540">
        <v>-15443251.2</v>
      </c>
      <c r="E152" s="540"/>
      <c r="F152" s="540"/>
      <c r="G152" s="612"/>
      <c r="H152" s="612"/>
      <c r="I152" s="612">
        <f>D152</f>
        <v>-15443251.2</v>
      </c>
      <c r="J152" s="1347" t="s">
        <v>1187</v>
      </c>
      <c r="K152" s="1348" t="s">
        <v>1381</v>
      </c>
    </row>
    <row r="153" spans="1:11" ht="15">
      <c r="A153" s="1164"/>
      <c r="B153" s="608">
        <v>2821062</v>
      </c>
      <c r="C153" s="608" t="s">
        <v>1382</v>
      </c>
      <c r="D153" s="540">
        <v>0</v>
      </c>
      <c r="E153" s="540">
        <f>+D153</f>
        <v>0</v>
      </c>
      <c r="F153" s="540"/>
      <c r="G153" s="612"/>
      <c r="H153" s="612"/>
      <c r="I153" s="612"/>
      <c r="J153" s="1347" t="s">
        <v>1086</v>
      </c>
      <c r="K153" s="1348" t="s">
        <v>1383</v>
      </c>
    </row>
    <row r="154" spans="2:11" ht="15">
      <c r="B154" s="611" t="s">
        <v>1100</v>
      </c>
      <c r="C154" s="608"/>
      <c r="D154" s="540"/>
      <c r="E154" s="540"/>
      <c r="F154" s="540"/>
      <c r="G154" s="540" t="s">
        <v>1100</v>
      </c>
      <c r="H154" s="612"/>
      <c r="I154" s="612"/>
      <c r="J154" s="1347"/>
      <c r="K154" s="608"/>
    </row>
    <row r="155" spans="2:11" ht="30">
      <c r="B155" s="608">
        <v>2822003</v>
      </c>
      <c r="C155" s="1348" t="s">
        <v>1384</v>
      </c>
      <c r="D155" s="540">
        <v>0</v>
      </c>
      <c r="E155" s="540">
        <f>D155</f>
        <v>0</v>
      </c>
      <c r="F155" s="540"/>
      <c r="G155" s="612"/>
      <c r="H155" s="612"/>
      <c r="I155" s="612"/>
      <c r="J155" s="1347" t="s">
        <v>1187</v>
      </c>
      <c r="K155" s="1348" t="s">
        <v>1385</v>
      </c>
    </row>
    <row r="156" spans="2:11" ht="15">
      <c r="B156" s="611"/>
      <c r="C156" s="610"/>
      <c r="D156" s="540"/>
      <c r="E156" s="540"/>
      <c r="F156" s="540"/>
      <c r="G156" s="540"/>
      <c r="H156" s="612"/>
      <c r="I156" s="612"/>
      <c r="J156" s="608"/>
      <c r="K156" s="608"/>
    </row>
    <row r="157" spans="2:11" ht="30">
      <c r="B157" s="611"/>
      <c r="C157" s="613" t="s">
        <v>1386</v>
      </c>
      <c r="D157" s="540"/>
      <c r="E157" s="540"/>
      <c r="F157" s="540"/>
      <c r="G157" s="540"/>
      <c r="H157" s="612"/>
      <c r="I157" s="612"/>
      <c r="J157" s="608"/>
      <c r="K157" s="608"/>
    </row>
    <row r="158" spans="2:11" ht="15">
      <c r="B158" s="608">
        <v>2825130</v>
      </c>
      <c r="C158" s="608" t="s">
        <v>1387</v>
      </c>
      <c r="D158" s="540">
        <v>14135458</v>
      </c>
      <c r="E158" s="540"/>
      <c r="F158" s="540"/>
      <c r="G158" s="612"/>
      <c r="H158" s="612"/>
      <c r="I158" s="612"/>
      <c r="J158" s="1347" t="s">
        <v>1086</v>
      </c>
      <c r="K158" s="608" t="s">
        <v>1332</v>
      </c>
    </row>
    <row r="159" spans="2:11" ht="15">
      <c r="B159" s="608">
        <v>2825230</v>
      </c>
      <c r="C159" s="608" t="s">
        <v>1388</v>
      </c>
      <c r="D159" s="540">
        <v>-11787409</v>
      </c>
      <c r="E159" s="540"/>
      <c r="F159" s="540"/>
      <c r="G159" s="612"/>
      <c r="H159" s="612"/>
      <c r="I159" s="612"/>
      <c r="J159" s="1347" t="s">
        <v>1086</v>
      </c>
      <c r="K159" s="608" t="s">
        <v>1332</v>
      </c>
    </row>
    <row r="160" spans="2:11" ht="15">
      <c r="B160" s="608">
        <v>2825330</v>
      </c>
      <c r="C160" s="608" t="s">
        <v>1389</v>
      </c>
      <c r="D160" s="540">
        <v>76017903</v>
      </c>
      <c r="E160" s="540"/>
      <c r="F160" s="540"/>
      <c r="G160" s="612"/>
      <c r="H160" s="612"/>
      <c r="I160" s="612"/>
      <c r="J160" s="1347" t="s">
        <v>1086</v>
      </c>
      <c r="K160" s="608" t="s">
        <v>1332</v>
      </c>
    </row>
    <row r="161" spans="2:11" ht="15">
      <c r="B161" s="608">
        <v>2825830</v>
      </c>
      <c r="C161" s="608" t="s">
        <v>1390</v>
      </c>
      <c r="D161" s="540">
        <v>-23235784</v>
      </c>
      <c r="E161" s="540"/>
      <c r="F161" s="540"/>
      <c r="G161" s="612"/>
      <c r="H161" s="612"/>
      <c r="I161" s="612"/>
      <c r="J161" s="1347" t="s">
        <v>1086</v>
      </c>
      <c r="K161" s="608" t="s">
        <v>1332</v>
      </c>
    </row>
    <row r="162" spans="2:11" ht="15">
      <c r="B162" s="166" t="s">
        <v>1100</v>
      </c>
      <c r="C162" s="528"/>
      <c r="D162" s="533"/>
      <c r="E162" s="533"/>
      <c r="F162" s="533"/>
      <c r="G162" s="539" t="s">
        <v>1100</v>
      </c>
      <c r="H162" s="531"/>
      <c r="I162" s="531"/>
      <c r="J162" s="528"/>
      <c r="K162" s="528"/>
    </row>
    <row r="163" spans="2:11" ht="15.75">
      <c r="B163" s="1173" t="s">
        <v>828</v>
      </c>
      <c r="D163" s="528"/>
      <c r="E163" s="533">
        <f>SUM(E143:E161)</f>
        <v>4816941.37</v>
      </c>
      <c r="F163" s="533">
        <f>SUM(F143:F161)</f>
        <v>0</v>
      </c>
      <c r="G163" s="531">
        <f>SUM(G143:G161)</f>
        <v>334353523.31</v>
      </c>
      <c r="H163" s="531">
        <f>SUM(H143:H161)</f>
        <v>357748.96</v>
      </c>
      <c r="I163" s="531">
        <f>SUM(I143:I161)</f>
        <v>-15443251.2</v>
      </c>
      <c r="J163" s="282">
        <f>SUM(E163:I163)</f>
        <v>324084962.44</v>
      </c>
      <c r="K163" s="528"/>
    </row>
    <row r="164" spans="2:11" ht="15.75">
      <c r="B164" s="1174" t="s">
        <v>967</v>
      </c>
      <c r="D164" s="533"/>
      <c r="E164" s="533"/>
      <c r="F164" s="533"/>
      <c r="G164" s="531"/>
      <c r="H164" s="531"/>
      <c r="I164" s="531"/>
      <c r="J164" s="1175"/>
      <c r="K164" s="528"/>
    </row>
    <row r="165" spans="2:11" ht="15.75">
      <c r="B165" s="1174" t="s">
        <v>968</v>
      </c>
      <c r="D165" s="533"/>
      <c r="E165" s="533"/>
      <c r="F165" s="533"/>
      <c r="G165" s="531"/>
      <c r="H165" s="531"/>
      <c r="I165" s="531"/>
      <c r="J165" s="1175"/>
      <c r="K165" s="528"/>
    </row>
    <row r="166" spans="2:11" ht="15.75">
      <c r="B166" s="1174" t="s">
        <v>1106</v>
      </c>
      <c r="D166" s="533"/>
      <c r="E166" s="531">
        <f>+E163-E164-E165</f>
        <v>4816941.37</v>
      </c>
      <c r="F166" s="531">
        <f>+F163-F164-F165</f>
        <v>0</v>
      </c>
      <c r="G166" s="531">
        <f>+G163-G164-G165</f>
        <v>334353523.31</v>
      </c>
      <c r="H166" s="531">
        <f>+H163-H164-H165</f>
        <v>357748.96</v>
      </c>
      <c r="I166" s="531">
        <f>+I163-I164-I165</f>
        <v>-15443251.2</v>
      </c>
      <c r="J166" s="536" t="s">
        <v>1100</v>
      </c>
      <c r="K166" s="528"/>
    </row>
    <row r="167" spans="1:11" ht="20.25">
      <c r="A167" s="283" t="str">
        <f>+A1</f>
        <v>Worksheet A-5 - WEN ADIT</v>
      </c>
      <c r="B167" s="283"/>
      <c r="C167" s="1171"/>
      <c r="D167" s="533"/>
      <c r="E167" s="533"/>
      <c r="F167" s="533"/>
      <c r="G167" s="535"/>
      <c r="H167" s="535"/>
      <c r="I167" s="535"/>
      <c r="J167" s="528"/>
      <c r="K167" s="104" t="s">
        <v>27</v>
      </c>
    </row>
    <row r="168" spans="2:11" ht="15.75">
      <c r="B168" s="534"/>
      <c r="C168" s="1171"/>
      <c r="D168" s="533"/>
      <c r="E168" s="533"/>
      <c r="F168" s="533"/>
      <c r="G168" s="535" t="s">
        <v>1100</v>
      </c>
      <c r="H168" s="535"/>
      <c r="I168" s="535"/>
      <c r="J168" s="528"/>
      <c r="K168" s="528"/>
    </row>
    <row r="169" spans="2:11" ht="24" customHeight="1">
      <c r="B169" s="1441" t="str">
        <f>B134</f>
        <v>Westar Energy, Inc.</v>
      </c>
      <c r="C169" s="1442"/>
      <c r="D169" s="1442"/>
      <c r="E169" s="1442"/>
      <c r="F169" s="1442"/>
      <c r="G169" s="1442"/>
      <c r="H169" s="1442"/>
      <c r="I169" s="1442"/>
      <c r="J169" s="1442"/>
      <c r="K169" s="1442"/>
    </row>
    <row r="170" spans="2:11" ht="15.75">
      <c r="B170" s="1441" t="str">
        <f>B135</f>
        <v>Allocation of ADIT</v>
      </c>
      <c r="C170" s="1442"/>
      <c r="D170" s="1442"/>
      <c r="E170" s="1442"/>
      <c r="F170" s="1442"/>
      <c r="G170" s="1442"/>
      <c r="H170" s="1442"/>
      <c r="I170" s="1442"/>
      <c r="J170" s="1442"/>
      <c r="K170" s="1442"/>
    </row>
    <row r="171" spans="2:11" ht="15.75">
      <c r="B171" s="534"/>
      <c r="C171" s="1176"/>
      <c r="D171" s="528"/>
      <c r="E171" s="528"/>
      <c r="F171" s="528"/>
      <c r="G171" s="537"/>
      <c r="H171" s="537"/>
      <c r="I171" s="537"/>
      <c r="J171" s="528"/>
      <c r="K171" s="528"/>
    </row>
    <row r="172" spans="2:11" ht="15">
      <c r="B172" s="534"/>
      <c r="C172" s="171" t="s">
        <v>1179</v>
      </c>
      <c r="D172" s="172" t="str">
        <f aca="true" t="shared" si="6" ref="D172:K172">D137</f>
        <v>(A)</v>
      </c>
      <c r="E172" s="172" t="str">
        <f t="shared" si="6"/>
        <v>(B)</v>
      </c>
      <c r="F172" s="172" t="str">
        <f t="shared" si="6"/>
        <v>(C)</v>
      </c>
      <c r="G172" s="172" t="str">
        <f t="shared" si="6"/>
        <v>(D)</v>
      </c>
      <c r="H172" s="172" t="str">
        <f t="shared" si="6"/>
        <v>(E)</v>
      </c>
      <c r="I172" s="172" t="str">
        <f t="shared" si="6"/>
        <v>(F)</v>
      </c>
      <c r="J172" s="172" t="str">
        <f t="shared" si="6"/>
        <v>(G)</v>
      </c>
      <c r="K172" s="172" t="str">
        <f t="shared" si="6"/>
        <v>(G)</v>
      </c>
    </row>
    <row r="173" spans="2:11" ht="15">
      <c r="B173" s="534"/>
      <c r="C173" s="528"/>
      <c r="D173" s="528"/>
      <c r="E173" s="173">
        <v>1</v>
      </c>
      <c r="F173" s="173">
        <v>1</v>
      </c>
      <c r="G173" s="172"/>
      <c r="H173" s="172"/>
      <c r="I173" s="172" t="str">
        <f aca="true" t="shared" si="7" ref="I173:K175">I138</f>
        <v>100% Retail</v>
      </c>
      <c r="J173" s="172" t="str">
        <f t="shared" si="7"/>
        <v>In</v>
      </c>
      <c r="K173" s="172" t="str">
        <f t="shared" si="7"/>
        <v> </v>
      </c>
    </row>
    <row r="174" spans="2:11" ht="15.75">
      <c r="B174" s="534"/>
      <c r="C174" s="528"/>
      <c r="D174" s="174">
        <f>+D26</f>
        <v>2008</v>
      </c>
      <c r="E174" s="172" t="s">
        <v>1173</v>
      </c>
      <c r="F174" s="172" t="s">
        <v>1151</v>
      </c>
      <c r="G174" s="172" t="str">
        <f>G139</f>
        <v>Plant </v>
      </c>
      <c r="H174" s="172" t="str">
        <f>H139</f>
        <v>Labor</v>
      </c>
      <c r="I174" s="172" t="str">
        <f t="shared" si="7"/>
        <v>[Allocate</v>
      </c>
      <c r="J174" s="172" t="str">
        <f t="shared" si="7"/>
        <v>Adjustment</v>
      </c>
      <c r="K174" s="172" t="str">
        <f t="shared" si="7"/>
        <v>Description</v>
      </c>
    </row>
    <row r="175" spans="2:11" ht="15">
      <c r="B175" s="534"/>
      <c r="C175" s="528"/>
      <c r="D175" s="172" t="str">
        <f>D140</f>
        <v>YE Balance</v>
      </c>
      <c r="E175" s="172" t="s">
        <v>1176</v>
      </c>
      <c r="F175" s="172" t="s">
        <v>1176</v>
      </c>
      <c r="G175" s="172" t="str">
        <f>G140</f>
        <v>Related</v>
      </c>
      <c r="H175" s="172" t="str">
        <f>H140</f>
        <v>Related</v>
      </c>
      <c r="I175" s="172" t="str">
        <f t="shared" si="7"/>
        <v>by Plant]</v>
      </c>
      <c r="J175" s="172" t="str">
        <f t="shared" si="7"/>
        <v>to Ratebase</v>
      </c>
      <c r="K175" s="172" t="str">
        <f t="shared" si="7"/>
        <v>and Justification</v>
      </c>
    </row>
    <row r="176" spans="2:11" ht="15">
      <c r="B176" s="534"/>
      <c r="C176" s="528"/>
      <c r="D176" s="172"/>
      <c r="E176" s="528"/>
      <c r="F176" s="528"/>
      <c r="G176" s="172"/>
      <c r="H176" s="172"/>
      <c r="I176" s="172"/>
      <c r="J176" s="172"/>
      <c r="K176" s="172"/>
    </row>
    <row r="177" spans="2:11" ht="15.75">
      <c r="B177" s="534"/>
      <c r="C177" s="177"/>
      <c r="D177" s="528"/>
      <c r="E177" s="528"/>
      <c r="F177" s="528"/>
      <c r="G177" s="526"/>
      <c r="H177" s="526"/>
      <c r="I177" s="526"/>
      <c r="J177" s="528"/>
      <c r="K177" s="178"/>
    </row>
    <row r="178" spans="2:11" ht="15">
      <c r="B178" s="534"/>
      <c r="C178" s="176" t="s">
        <v>1581</v>
      </c>
      <c r="D178" s="528"/>
      <c r="E178" s="528"/>
      <c r="F178" s="528"/>
      <c r="G178" s="526"/>
      <c r="H178" s="526"/>
      <c r="I178" s="526"/>
      <c r="J178" s="528"/>
      <c r="K178" s="178"/>
    </row>
    <row r="179" spans="2:11" s="1163" customFormat="1" ht="15">
      <c r="B179" s="610">
        <v>2830240</v>
      </c>
      <c r="C179" s="1361" t="s">
        <v>1391</v>
      </c>
      <c r="D179" s="1357">
        <v>16549251.45</v>
      </c>
      <c r="E179" s="615">
        <f>+D179</f>
        <v>16549251.45</v>
      </c>
      <c r="F179" s="615"/>
      <c r="G179" s="616">
        <f>+D179-E179-F179-H179</f>
        <v>0</v>
      </c>
      <c r="H179" s="616"/>
      <c r="I179" s="616"/>
      <c r="J179" s="1362" t="s">
        <v>1086</v>
      </c>
      <c r="K179" s="610" t="s">
        <v>1186</v>
      </c>
    </row>
    <row r="180" spans="1:11" s="1163" customFormat="1" ht="15">
      <c r="A180" s="1172"/>
      <c r="B180" s="610">
        <v>2831010</v>
      </c>
      <c r="C180" s="610" t="s">
        <v>1392</v>
      </c>
      <c r="D180" s="1357">
        <v>4460204.61</v>
      </c>
      <c r="E180" s="615">
        <f>D180</f>
        <v>4460204.61</v>
      </c>
      <c r="F180" s="615"/>
      <c r="G180" s="616">
        <f>+D180-E180-F180-H180</f>
        <v>0</v>
      </c>
      <c r="H180" s="616"/>
      <c r="I180" s="616"/>
      <c r="J180" s="1362" t="s">
        <v>1086</v>
      </c>
      <c r="K180" s="610" t="s">
        <v>1393</v>
      </c>
    </row>
    <row r="181" spans="2:11" ht="15">
      <c r="B181" s="610">
        <v>2831008</v>
      </c>
      <c r="C181" s="610" t="s">
        <v>1394</v>
      </c>
      <c r="D181" s="1357">
        <v>0</v>
      </c>
      <c r="E181" s="615"/>
      <c r="F181" s="615"/>
      <c r="G181" s="616">
        <f>+D181-H181</f>
        <v>0</v>
      </c>
      <c r="H181" s="616"/>
      <c r="I181" s="616"/>
      <c r="J181" s="1362" t="s">
        <v>1086</v>
      </c>
      <c r="K181" s="610" t="s">
        <v>1100</v>
      </c>
    </row>
    <row r="182" spans="2:11" ht="15">
      <c r="B182" s="610">
        <v>2831012</v>
      </c>
      <c r="C182" s="610" t="s">
        <v>1395</v>
      </c>
      <c r="D182" s="1357">
        <v>-238189.59</v>
      </c>
      <c r="E182" s="615">
        <f>+D182</f>
        <v>-238189.59</v>
      </c>
      <c r="F182" s="615"/>
      <c r="G182" s="616">
        <f>+D182-E182-F182-H182</f>
        <v>0</v>
      </c>
      <c r="H182" s="616"/>
      <c r="I182" s="616"/>
      <c r="J182" s="1362" t="s">
        <v>1187</v>
      </c>
      <c r="K182" s="610" t="s">
        <v>1396</v>
      </c>
    </row>
    <row r="183" spans="2:11" ht="15">
      <c r="B183" s="610">
        <v>2831018</v>
      </c>
      <c r="C183" s="610" t="s">
        <v>537</v>
      </c>
      <c r="D183" s="1357">
        <v>500011.42</v>
      </c>
      <c r="E183" s="615"/>
      <c r="F183" s="615"/>
      <c r="G183" s="616">
        <v>0</v>
      </c>
      <c r="H183" s="616"/>
      <c r="I183" s="616">
        <f>D183</f>
        <v>500011.42</v>
      </c>
      <c r="J183" s="1362" t="s">
        <v>1187</v>
      </c>
      <c r="K183" s="610" t="s">
        <v>311</v>
      </c>
    </row>
    <row r="184" spans="2:11" ht="30">
      <c r="B184" s="610">
        <v>2831028</v>
      </c>
      <c r="C184" s="610" t="s">
        <v>312</v>
      </c>
      <c r="D184" s="1357">
        <v>23437605.7</v>
      </c>
      <c r="E184" s="615"/>
      <c r="F184" s="615"/>
      <c r="G184" s="616">
        <f aca="true" t="shared" si="8" ref="G184:G190">+D184-H184</f>
        <v>23437605.7</v>
      </c>
      <c r="H184" s="616"/>
      <c r="I184" s="616"/>
      <c r="J184" s="1362" t="s">
        <v>1187</v>
      </c>
      <c r="K184" s="1361" t="s">
        <v>313</v>
      </c>
    </row>
    <row r="185" spans="1:11" ht="15">
      <c r="A185" s="1164"/>
      <c r="B185" s="610">
        <v>2831029</v>
      </c>
      <c r="C185" s="610" t="s">
        <v>314</v>
      </c>
      <c r="D185" s="1357">
        <v>2472603.43</v>
      </c>
      <c r="E185" s="615">
        <f>+D185</f>
        <v>2472603.43</v>
      </c>
      <c r="F185" s="615"/>
      <c r="G185" s="616"/>
      <c r="H185" s="616"/>
      <c r="I185" s="616"/>
      <c r="J185" s="1362" t="s">
        <v>1187</v>
      </c>
      <c r="K185" s="1361" t="s">
        <v>315</v>
      </c>
    </row>
    <row r="186" spans="2:11" ht="30">
      <c r="B186" s="610">
        <v>2831030</v>
      </c>
      <c r="C186" s="610" t="s">
        <v>316</v>
      </c>
      <c r="D186" s="1357">
        <v>0</v>
      </c>
      <c r="E186" s="615"/>
      <c r="F186" s="615"/>
      <c r="G186" s="616">
        <f t="shared" si="8"/>
        <v>0</v>
      </c>
      <c r="H186" s="616"/>
      <c r="I186" s="616"/>
      <c r="J186" s="1362" t="s">
        <v>1187</v>
      </c>
      <c r="K186" s="1361" t="s">
        <v>810</v>
      </c>
    </row>
    <row r="187" spans="2:11" ht="15">
      <c r="B187" s="610">
        <v>2831031</v>
      </c>
      <c r="C187" s="610" t="s">
        <v>811</v>
      </c>
      <c r="D187" s="1357">
        <v>-2075065.52</v>
      </c>
      <c r="E187" s="615">
        <f>D187</f>
        <v>-2075065.52</v>
      </c>
      <c r="F187" s="615"/>
      <c r="G187" s="616"/>
      <c r="H187" s="616"/>
      <c r="I187" s="616"/>
      <c r="J187" s="1362" t="s">
        <v>1086</v>
      </c>
      <c r="K187" s="610" t="s">
        <v>812</v>
      </c>
    </row>
    <row r="188" spans="2:11" ht="15">
      <c r="B188" s="610">
        <v>2831033</v>
      </c>
      <c r="C188" s="610" t="s">
        <v>920</v>
      </c>
      <c r="D188" s="1357">
        <v>215671.55</v>
      </c>
      <c r="E188" s="615"/>
      <c r="F188" s="615"/>
      <c r="G188" s="616">
        <f t="shared" si="8"/>
        <v>215671.55</v>
      </c>
      <c r="H188" s="616"/>
      <c r="I188" s="616"/>
      <c r="J188" s="1362" t="s">
        <v>1187</v>
      </c>
      <c r="K188" s="610" t="s">
        <v>921</v>
      </c>
    </row>
    <row r="189" spans="2:11" ht="15">
      <c r="B189" s="610">
        <v>2831039</v>
      </c>
      <c r="C189" s="610" t="s">
        <v>922</v>
      </c>
      <c r="D189" s="1357">
        <v>829194.6</v>
      </c>
      <c r="E189" s="615">
        <f>D189</f>
        <v>829194.6</v>
      </c>
      <c r="F189" s="615"/>
      <c r="G189" s="616"/>
      <c r="H189" s="616"/>
      <c r="I189" s="616"/>
      <c r="J189" s="1362" t="s">
        <v>1086</v>
      </c>
      <c r="K189" s="610" t="s">
        <v>923</v>
      </c>
    </row>
    <row r="190" spans="2:11" ht="15">
      <c r="B190" s="610">
        <v>2831041</v>
      </c>
      <c r="C190" s="610" t="s">
        <v>924</v>
      </c>
      <c r="D190" s="1357">
        <v>21070619.43</v>
      </c>
      <c r="E190" s="615"/>
      <c r="F190" s="615"/>
      <c r="G190" s="616">
        <f t="shared" si="8"/>
        <v>21070619.43</v>
      </c>
      <c r="H190" s="616"/>
      <c r="I190" s="616"/>
      <c r="J190" s="1362" t="s">
        <v>1187</v>
      </c>
      <c r="K190" s="610" t="s">
        <v>925</v>
      </c>
    </row>
    <row r="191" spans="2:11" ht="30">
      <c r="B191" s="610">
        <v>2831049</v>
      </c>
      <c r="C191" s="610" t="s">
        <v>926</v>
      </c>
      <c r="D191" s="1357">
        <v>7168219.56</v>
      </c>
      <c r="E191" s="1357">
        <f>D191</f>
        <v>7168219.56</v>
      </c>
      <c r="F191" s="1357"/>
      <c r="G191" s="1354"/>
      <c r="H191" s="1357"/>
      <c r="I191" s="1354"/>
      <c r="J191" s="1362" t="s">
        <v>1187</v>
      </c>
      <c r="K191" s="1361" t="s">
        <v>927</v>
      </c>
    </row>
    <row r="192" spans="2:11" ht="15" customHeight="1">
      <c r="B192" s="610">
        <v>2831054</v>
      </c>
      <c r="C192" s="610" t="s">
        <v>1439</v>
      </c>
      <c r="D192" s="1357">
        <v>132406418.9</v>
      </c>
      <c r="E192" s="615">
        <f>+D192</f>
        <v>132406418.9</v>
      </c>
      <c r="F192" s="1357"/>
      <c r="G192" s="1354"/>
      <c r="H192" s="616"/>
      <c r="I192" s="1354"/>
      <c r="J192" s="1362" t="s">
        <v>1086</v>
      </c>
      <c r="K192" s="1361" t="s">
        <v>1440</v>
      </c>
    </row>
    <row r="193" spans="2:11" ht="30">
      <c r="B193" s="610">
        <v>2831055</v>
      </c>
      <c r="C193" s="610" t="s">
        <v>1441</v>
      </c>
      <c r="D193" s="1357">
        <v>23420716.64</v>
      </c>
      <c r="E193" s="615">
        <f>+D193</f>
        <v>23420716.64</v>
      </c>
      <c r="F193" s="1357"/>
      <c r="G193" s="1354"/>
      <c r="H193" s="616"/>
      <c r="I193" s="1354"/>
      <c r="J193" s="1362" t="s">
        <v>1086</v>
      </c>
      <c r="K193" s="1361" t="s">
        <v>1442</v>
      </c>
    </row>
    <row r="194" spans="1:11" ht="30">
      <c r="A194" s="1164"/>
      <c r="B194" s="1363">
        <v>2831065</v>
      </c>
      <c r="C194" s="1364" t="s">
        <v>928</v>
      </c>
      <c r="D194" s="1357">
        <v>61110.22</v>
      </c>
      <c r="E194" s="1357">
        <f>+D194</f>
        <v>61110.22</v>
      </c>
      <c r="F194" s="1357"/>
      <c r="G194" s="1354"/>
      <c r="H194" s="616"/>
      <c r="I194" s="1354"/>
      <c r="J194" s="1362" t="s">
        <v>1086</v>
      </c>
      <c r="K194" s="1361" t="s">
        <v>929</v>
      </c>
    </row>
    <row r="195" spans="2:11" ht="15">
      <c r="B195" s="610">
        <v>2831089</v>
      </c>
      <c r="C195" s="610" t="s">
        <v>930</v>
      </c>
      <c r="D195" s="1357">
        <v>172919</v>
      </c>
      <c r="E195" s="1357">
        <f>D195</f>
        <v>172919</v>
      </c>
      <c r="F195" s="1357"/>
      <c r="G195" s="1354"/>
      <c r="H195" s="1357"/>
      <c r="I195" s="1354"/>
      <c r="J195" s="1362" t="s">
        <v>1187</v>
      </c>
      <c r="K195" s="610" t="s">
        <v>931</v>
      </c>
    </row>
    <row r="196" spans="2:11" ht="15">
      <c r="B196" s="610">
        <v>2831095</v>
      </c>
      <c r="C196" s="1365" t="s">
        <v>932</v>
      </c>
      <c r="D196" s="1357">
        <v>2552.24</v>
      </c>
      <c r="E196" s="615">
        <f>+D196</f>
        <v>2552.24</v>
      </c>
      <c r="F196" s="615"/>
      <c r="G196" s="616"/>
      <c r="H196" s="616"/>
      <c r="I196" s="616"/>
      <c r="J196" s="1362" t="s">
        <v>1187</v>
      </c>
      <c r="K196" s="610" t="s">
        <v>933</v>
      </c>
    </row>
    <row r="197" spans="2:11" ht="15">
      <c r="B197" s="610">
        <v>2831096</v>
      </c>
      <c r="C197" s="1365" t="s">
        <v>934</v>
      </c>
      <c r="D197" s="1357">
        <v>11942.13</v>
      </c>
      <c r="E197" s="615">
        <f>+D197</f>
        <v>11942.13</v>
      </c>
      <c r="F197" s="615"/>
      <c r="G197" s="616"/>
      <c r="H197" s="616"/>
      <c r="I197" s="616"/>
      <c r="J197" s="1362" t="s">
        <v>1187</v>
      </c>
      <c r="K197" s="610" t="s">
        <v>935</v>
      </c>
    </row>
    <row r="198" spans="2:11" ht="15">
      <c r="B198" s="609" t="s">
        <v>1100</v>
      </c>
      <c r="C198" s="610"/>
      <c r="D198" s="615"/>
      <c r="E198" s="615"/>
      <c r="F198" s="615"/>
      <c r="G198" s="615" t="s">
        <v>1100</v>
      </c>
      <c r="H198" s="616"/>
      <c r="I198" s="616"/>
      <c r="J198" s="610"/>
      <c r="K198" s="610"/>
    </row>
    <row r="199" spans="2:11" ht="15">
      <c r="B199" s="609"/>
      <c r="C199" s="614" t="s">
        <v>936</v>
      </c>
      <c r="D199" s="615"/>
      <c r="E199" s="615"/>
      <c r="F199" s="615"/>
      <c r="G199" s="615"/>
      <c r="H199" s="616"/>
      <c r="I199" s="616"/>
      <c r="J199" s="610"/>
      <c r="K199" s="610"/>
    </row>
    <row r="200" spans="2:11" ht="15">
      <c r="B200" s="610">
        <v>2832067</v>
      </c>
      <c r="C200" s="610" t="s">
        <v>937</v>
      </c>
      <c r="D200" s="1357">
        <v>385497.96</v>
      </c>
      <c r="E200" s="615"/>
      <c r="F200" s="615"/>
      <c r="G200" s="616"/>
      <c r="H200" s="616"/>
      <c r="I200" s="616"/>
      <c r="J200" s="1362" t="s">
        <v>1086</v>
      </c>
      <c r="K200" s="610" t="s">
        <v>727</v>
      </c>
    </row>
    <row r="201" spans="2:11" ht="15">
      <c r="B201" s="610">
        <v>2832060</v>
      </c>
      <c r="C201" s="610" t="s">
        <v>938</v>
      </c>
      <c r="D201" s="1357">
        <v>0</v>
      </c>
      <c r="E201" s="615"/>
      <c r="F201" s="615"/>
      <c r="G201" s="616"/>
      <c r="H201" s="616"/>
      <c r="I201" s="616"/>
      <c r="J201" s="1362" t="s">
        <v>1086</v>
      </c>
      <c r="K201" s="610" t="s">
        <v>727</v>
      </c>
    </row>
    <row r="202" spans="2:11" ht="15">
      <c r="B202" s="610">
        <v>2832081</v>
      </c>
      <c r="C202" s="610" t="s">
        <v>939</v>
      </c>
      <c r="D202" s="1357">
        <v>0</v>
      </c>
      <c r="E202" s="615"/>
      <c r="F202" s="615"/>
      <c r="G202" s="616"/>
      <c r="H202" s="616"/>
      <c r="I202" s="616"/>
      <c r="J202" s="1362" t="s">
        <v>1086</v>
      </c>
      <c r="K202" s="610" t="s">
        <v>727</v>
      </c>
    </row>
    <row r="203" spans="2:11" ht="30">
      <c r="B203" s="610">
        <v>2832082</v>
      </c>
      <c r="C203" s="1361" t="s">
        <v>940</v>
      </c>
      <c r="D203" s="1357">
        <v>0</v>
      </c>
      <c r="E203" s="615"/>
      <c r="F203" s="615"/>
      <c r="G203" s="616"/>
      <c r="H203" s="616"/>
      <c r="I203" s="616"/>
      <c r="J203" s="1362" t="s">
        <v>1086</v>
      </c>
      <c r="K203" s="610" t="s">
        <v>727</v>
      </c>
    </row>
    <row r="204" spans="2:11" ht="30">
      <c r="B204" s="610">
        <v>2832093</v>
      </c>
      <c r="C204" s="1361" t="s">
        <v>941</v>
      </c>
      <c r="D204" s="1357">
        <v>-807282.07</v>
      </c>
      <c r="E204" s="615"/>
      <c r="F204" s="615"/>
      <c r="G204" s="616"/>
      <c r="H204" s="616"/>
      <c r="I204" s="616"/>
      <c r="J204" s="1362" t="s">
        <v>1086</v>
      </c>
      <c r="K204" s="610" t="s">
        <v>727</v>
      </c>
    </row>
    <row r="205" spans="2:11" ht="15">
      <c r="B205" s="609" t="s">
        <v>1100</v>
      </c>
      <c r="C205" s="610"/>
      <c r="D205" s="615"/>
      <c r="E205" s="615"/>
      <c r="F205" s="615"/>
      <c r="G205" s="615" t="s">
        <v>1100</v>
      </c>
      <c r="H205" s="616"/>
      <c r="I205" s="616"/>
      <c r="J205" s="610"/>
      <c r="K205" s="610"/>
    </row>
    <row r="206" spans="2:11" ht="15">
      <c r="B206" s="609"/>
      <c r="C206" s="614" t="s">
        <v>942</v>
      </c>
      <c r="D206" s="615"/>
      <c r="E206" s="615"/>
      <c r="F206" s="615"/>
      <c r="G206" s="615"/>
      <c r="H206" s="616"/>
      <c r="I206" s="616"/>
      <c r="J206" s="610"/>
      <c r="K206" s="610"/>
    </row>
    <row r="207" spans="2:11" ht="30">
      <c r="B207" s="610">
        <v>2837091</v>
      </c>
      <c r="C207" s="1361" t="s">
        <v>943</v>
      </c>
      <c r="D207" s="1366">
        <v>0</v>
      </c>
      <c r="E207" s="1367"/>
      <c r="F207" s="1367"/>
      <c r="G207" s="616"/>
      <c r="H207" s="616"/>
      <c r="I207" s="616"/>
      <c r="J207" s="1362" t="s">
        <v>1086</v>
      </c>
      <c r="K207" s="610" t="s">
        <v>727</v>
      </c>
    </row>
    <row r="208" spans="2:11" ht="30">
      <c r="B208" s="610">
        <v>2837092</v>
      </c>
      <c r="C208" s="1361" t="s">
        <v>944</v>
      </c>
      <c r="D208" s="1366">
        <v>0</v>
      </c>
      <c r="E208" s="1367"/>
      <c r="F208" s="1367"/>
      <c r="G208" s="616"/>
      <c r="H208" s="616"/>
      <c r="I208" s="616"/>
      <c r="J208" s="1362" t="s">
        <v>1086</v>
      </c>
      <c r="K208" s="610" t="s">
        <v>727</v>
      </c>
    </row>
    <row r="209" spans="2:11" ht="30">
      <c r="B209" s="610">
        <v>2837093</v>
      </c>
      <c r="C209" s="1361" t="s">
        <v>945</v>
      </c>
      <c r="D209" s="1366">
        <v>0</v>
      </c>
      <c r="E209" s="615"/>
      <c r="F209" s="615"/>
      <c r="G209" s="616"/>
      <c r="H209" s="616"/>
      <c r="I209" s="616"/>
      <c r="J209" s="1362" t="s">
        <v>1086</v>
      </c>
      <c r="K209" s="610" t="s">
        <v>727</v>
      </c>
    </row>
    <row r="210" spans="2:11" ht="30">
      <c r="B210" s="610">
        <v>2837095</v>
      </c>
      <c r="C210" s="1361" t="s">
        <v>946</v>
      </c>
      <c r="D210" s="1357">
        <v>0</v>
      </c>
      <c r="E210" s="615"/>
      <c r="F210" s="615"/>
      <c r="G210" s="616"/>
      <c r="H210" s="616"/>
      <c r="I210" s="616"/>
      <c r="J210" s="1362" t="s">
        <v>1086</v>
      </c>
      <c r="K210" s="610" t="s">
        <v>727</v>
      </c>
    </row>
    <row r="211" spans="2:11" ht="30">
      <c r="B211" s="610">
        <v>2837096</v>
      </c>
      <c r="C211" s="1361" t="s">
        <v>947</v>
      </c>
      <c r="D211" s="1366">
        <v>0</v>
      </c>
      <c r="E211" s="1367"/>
      <c r="F211" s="1367"/>
      <c r="G211" s="616"/>
      <c r="H211" s="616"/>
      <c r="I211" s="616"/>
      <c r="J211" s="1362" t="s">
        <v>1086</v>
      </c>
      <c r="K211" s="610" t="s">
        <v>727</v>
      </c>
    </row>
    <row r="212" spans="2:11" ht="15">
      <c r="B212" s="610">
        <v>2837098</v>
      </c>
      <c r="C212" s="610" t="s">
        <v>948</v>
      </c>
      <c r="D212" s="1366">
        <v>0</v>
      </c>
      <c r="E212" s="1367"/>
      <c r="F212" s="1367"/>
      <c r="G212" s="616"/>
      <c r="H212" s="616"/>
      <c r="I212" s="616"/>
      <c r="J212" s="1362" t="s">
        <v>1086</v>
      </c>
      <c r="K212" s="610" t="s">
        <v>727</v>
      </c>
    </row>
    <row r="213" spans="2:11" ht="30">
      <c r="B213" s="610">
        <v>2837099</v>
      </c>
      <c r="C213" s="1361" t="s">
        <v>949</v>
      </c>
      <c r="D213" s="1357">
        <v>0</v>
      </c>
      <c r="E213" s="615"/>
      <c r="F213" s="615"/>
      <c r="G213" s="616"/>
      <c r="H213" s="616"/>
      <c r="I213" s="616"/>
      <c r="J213" s="1362" t="s">
        <v>1086</v>
      </c>
      <c r="K213" s="610" t="s">
        <v>727</v>
      </c>
    </row>
    <row r="214" spans="2:11" ht="15">
      <c r="B214" s="1368" t="s">
        <v>1100</v>
      </c>
      <c r="C214" s="1352"/>
      <c r="D214" s="1369" t="s">
        <v>1100</v>
      </c>
      <c r="E214" s="1369"/>
      <c r="F214" s="1369"/>
      <c r="G214" s="1369" t="s">
        <v>1100</v>
      </c>
      <c r="H214" s="1370"/>
      <c r="I214" s="1370"/>
      <c r="J214" s="1352"/>
      <c r="K214" s="1352"/>
    </row>
    <row r="215" spans="2:11" ht="15">
      <c r="B215" s="1371" t="s">
        <v>1100</v>
      </c>
      <c r="C215" s="1371" t="s">
        <v>1100</v>
      </c>
      <c r="D215" s="1369" t="s">
        <v>1100</v>
      </c>
      <c r="E215" s="1369"/>
      <c r="F215" s="1369"/>
      <c r="G215" s="1369" t="s">
        <v>1100</v>
      </c>
      <c r="H215" s="1370"/>
      <c r="I215" s="1370"/>
      <c r="J215" s="1352"/>
      <c r="K215" s="1352"/>
    </row>
    <row r="216" spans="2:11" s="1163" customFormat="1" ht="15">
      <c r="B216" s="1372" t="s">
        <v>1100</v>
      </c>
      <c r="C216" s="1372" t="s">
        <v>950</v>
      </c>
      <c r="D216" s="1369">
        <f>-D179</f>
        <v>-16549251.45</v>
      </c>
      <c r="E216" s="1369">
        <f>-E179</f>
        <v>-16549251.45</v>
      </c>
      <c r="F216" s="1369"/>
      <c r="G216" s="1370">
        <f>+D216-E216-F216-H216</f>
        <v>0</v>
      </c>
      <c r="H216" s="1370"/>
      <c r="I216" s="1370"/>
      <c r="J216" s="1352"/>
      <c r="K216" s="1352"/>
    </row>
    <row r="217" spans="2:11" ht="15">
      <c r="B217" s="1352"/>
      <c r="C217" s="1352"/>
      <c r="D217" s="1370"/>
      <c r="E217" s="1370"/>
      <c r="F217" s="1370"/>
      <c r="G217" s="1369"/>
      <c r="H217" s="1370"/>
      <c r="I217" s="1370"/>
      <c r="J217" s="1352"/>
      <c r="K217" s="1352"/>
    </row>
    <row r="218" spans="2:11" ht="15.75">
      <c r="B218" s="1177" t="s">
        <v>1756</v>
      </c>
      <c r="D218" s="541"/>
      <c r="E218" s="541">
        <f>SUM(E179:E216)</f>
        <v>168692626.22</v>
      </c>
      <c r="F218" s="541">
        <f>SUM(F179:F216)</f>
        <v>0</v>
      </c>
      <c r="G218" s="542">
        <f>SUM(G179:G216)</f>
        <v>44723896.68</v>
      </c>
      <c r="H218" s="542">
        <f>SUM(H179:H216)</f>
        <v>0</v>
      </c>
      <c r="I218" s="542">
        <f>SUM(I179:I216)</f>
        <v>500011.42</v>
      </c>
      <c r="J218" s="282">
        <f>SUM(E218:I218)</f>
        <v>213916534.32</v>
      </c>
      <c r="K218" s="518"/>
    </row>
    <row r="219" spans="2:11" ht="15.75">
      <c r="B219" s="1178" t="s">
        <v>967</v>
      </c>
      <c r="D219" s="541"/>
      <c r="E219" s="541"/>
      <c r="F219" s="541"/>
      <c r="G219" s="542"/>
      <c r="H219" s="542"/>
      <c r="I219" s="542"/>
      <c r="J219" s="190"/>
      <c r="K219" s="518"/>
    </row>
    <row r="220" spans="2:11" ht="15.75">
      <c r="B220" s="1178" t="s">
        <v>968</v>
      </c>
      <c r="D220" s="541"/>
      <c r="E220" s="541"/>
      <c r="F220" s="541"/>
      <c r="G220" s="542"/>
      <c r="H220" s="542"/>
      <c r="I220" s="542"/>
      <c r="J220" s="190"/>
      <c r="K220" s="518"/>
    </row>
    <row r="221" spans="2:11" ht="15.75">
      <c r="B221" s="1178" t="s">
        <v>1106</v>
      </c>
      <c r="D221" s="541"/>
      <c r="E221" s="542">
        <f>+E218-E219-E220</f>
        <v>168692626.22</v>
      </c>
      <c r="F221" s="542">
        <f>+F218-F219-F220</f>
        <v>0</v>
      </c>
      <c r="G221" s="542">
        <f>+G218-G219-G220</f>
        <v>44723896.68</v>
      </c>
      <c r="H221" s="542">
        <f>+H218-H219-H220</f>
        <v>0</v>
      </c>
      <c r="I221" s="542">
        <f>+I218-I219-I220</f>
        <v>500011.42</v>
      </c>
      <c r="J221" s="518"/>
      <c r="K221" s="518"/>
    </row>
    <row r="222" spans="3:9" ht="12.75">
      <c r="C222" s="1179"/>
      <c r="G222" s="1180"/>
      <c r="H222" s="1180"/>
      <c r="I222" s="1180"/>
    </row>
    <row r="223" spans="3:9" ht="12.75">
      <c r="C223" s="1179"/>
      <c r="E223" s="44"/>
      <c r="G223" s="1148"/>
      <c r="H223" s="1148"/>
      <c r="I223" s="1148"/>
    </row>
    <row r="224" spans="3:9" ht="25.5" customHeight="1">
      <c r="C224" s="1400"/>
      <c r="D224" s="1401"/>
      <c r="E224" s="1401"/>
      <c r="F224" s="1401"/>
      <c r="G224" s="1401"/>
      <c r="H224" s="1401"/>
      <c r="I224" s="1083"/>
    </row>
    <row r="225" spans="3:9" ht="12.75">
      <c r="C225" s="1181"/>
      <c r="G225" s="1148"/>
      <c r="H225" s="1148"/>
      <c r="I225" s="1148"/>
    </row>
    <row r="226" spans="3:9" ht="12.75">
      <c r="C226" s="1181"/>
      <c r="G226" s="1148"/>
      <c r="H226" s="1148"/>
      <c r="I226" s="1148"/>
    </row>
    <row r="227" ht="12.75">
      <c r="C227" s="1181"/>
    </row>
    <row r="228" spans="3:9" ht="12.75">
      <c r="C228" s="1438"/>
      <c r="D228" s="1439"/>
      <c r="E228" s="1439"/>
      <c r="F228" s="1439"/>
      <c r="G228" s="1439"/>
      <c r="H228" s="1439"/>
      <c r="I228" s="1084"/>
    </row>
    <row r="229" spans="3:9" ht="12.75">
      <c r="C229" s="1439"/>
      <c r="D229" s="1439"/>
      <c r="E229" s="1439"/>
      <c r="F229" s="1439"/>
      <c r="G229" s="1439"/>
      <c r="H229" s="1439"/>
      <c r="I229" s="1084"/>
    </row>
    <row r="230" ht="12.75">
      <c r="C230" s="1181"/>
    </row>
  </sheetData>
  <sheetProtection/>
  <mergeCells count="10">
    <mergeCell ref="C224:H224"/>
    <mergeCell ref="C228:H229"/>
    <mergeCell ref="B4:J4"/>
    <mergeCell ref="B5:J5"/>
    <mergeCell ref="B21:K21"/>
    <mergeCell ref="B22:K22"/>
    <mergeCell ref="B134:K134"/>
    <mergeCell ref="B135:K135"/>
    <mergeCell ref="B169:K169"/>
    <mergeCell ref="B170:K170"/>
  </mergeCells>
  <printOptions horizontalCentered="1"/>
  <pageMargins left="0.32" right="0.3" top="0.25" bottom="0" header="0.5" footer="0.24"/>
  <pageSetup fitToHeight="5" horizontalDpi="600" verticalDpi="600" orientation="landscape" scale="40" r:id="rId1"/>
  <headerFooter alignWithMargins="0">
    <oddFooter>&amp;L&amp;D&amp;R&amp;F</oddFooter>
  </headerFooter>
  <rowBreaks count="4" manualBreakCount="4">
    <brk id="18" max="10" man="1"/>
    <brk id="84" max="10" man="1"/>
    <brk id="131" max="10" man="1"/>
    <brk id="166" max="10" man="1"/>
  </rowBreaks>
</worksheet>
</file>

<file path=xl/worksheets/sheet9.xml><?xml version="1.0" encoding="utf-8"?>
<worksheet xmlns="http://schemas.openxmlformats.org/spreadsheetml/2006/main" xmlns:r="http://schemas.openxmlformats.org/officeDocument/2006/relationships">
  <sheetPr>
    <tabColor indexed="22"/>
    <pageSetUpPr fitToPage="1"/>
  </sheetPr>
  <dimension ref="A1:L37"/>
  <sheetViews>
    <sheetView zoomScale="50" zoomScaleNormal="50" zoomScalePageLayoutView="0" workbookViewId="0" topLeftCell="A1">
      <selection activeCell="A1" sqref="A1:L14"/>
    </sheetView>
  </sheetViews>
  <sheetFormatPr defaultColWidth="8.88671875" defaultRowHeight="15"/>
  <cols>
    <col min="1" max="1" width="6.88671875" style="10" customWidth="1"/>
    <col min="2" max="2" width="3.88671875" style="10" customWidth="1"/>
    <col min="3" max="3" width="31.88671875" style="10" customWidth="1"/>
    <col min="4" max="4" width="19.4453125" style="10" customWidth="1"/>
    <col min="5" max="5" width="13.88671875" style="10" customWidth="1"/>
    <col min="6" max="6" width="14.88671875" style="10" customWidth="1"/>
    <col min="7" max="7" width="5.5546875" style="10" customWidth="1"/>
    <col min="8" max="8" width="37.77734375" style="10" customWidth="1"/>
    <col min="9" max="9" width="3.88671875" style="10" customWidth="1"/>
    <col min="10" max="10" width="17.5546875" style="10" bestFit="1" customWidth="1"/>
    <col min="11" max="11" width="3.6640625" style="10" customWidth="1"/>
    <col min="12" max="12" width="6.88671875" style="10" customWidth="1"/>
    <col min="13" max="16384" width="8.88671875" style="10" customWidth="1"/>
  </cols>
  <sheetData>
    <row r="1" spans="1:12" ht="20.25">
      <c r="A1" s="224" t="s">
        <v>1637</v>
      </c>
      <c r="L1" s="79" t="s">
        <v>18</v>
      </c>
    </row>
    <row r="2" ht="15">
      <c r="A2" s="248"/>
    </row>
    <row r="3" ht="26.25">
      <c r="A3" s="209"/>
    </row>
    <row r="4" spans="1:12" s="100" customFormat="1" ht="27" customHeight="1">
      <c r="A4" s="1409" t="s">
        <v>1603</v>
      </c>
      <c r="B4" s="1443"/>
      <c r="C4" s="1443"/>
      <c r="D4" s="1423"/>
      <c r="E4" s="1423"/>
      <c r="F4" s="1423"/>
      <c r="G4" s="1423"/>
      <c r="H4" s="1423"/>
      <c r="I4" s="1423"/>
      <c r="J4" s="1423"/>
      <c r="K4" s="1423"/>
      <c r="L4" s="1423"/>
    </row>
    <row r="5" spans="1:12" s="100" customFormat="1" ht="27" customHeight="1">
      <c r="A5" s="1409" t="s">
        <v>957</v>
      </c>
      <c r="B5" s="1423"/>
      <c r="C5" s="1423"/>
      <c r="D5" s="1423"/>
      <c r="E5" s="1423"/>
      <c r="F5" s="1423"/>
      <c r="G5" s="1423"/>
      <c r="H5" s="1423"/>
      <c r="I5" s="1423"/>
      <c r="J5" s="1423"/>
      <c r="K5" s="1423"/>
      <c r="L5" s="1423"/>
    </row>
    <row r="6" spans="1:12" ht="27" customHeight="1">
      <c r="A6" s="284"/>
      <c r="B6" s="39"/>
      <c r="C6" s="39"/>
      <c r="D6" s="39"/>
      <c r="E6" s="39"/>
      <c r="F6" s="384" t="str">
        <f>+'Actual Net Rev Req'!$C$4</f>
        <v>For the 12 months ended - December 31, 2008</v>
      </c>
      <c r="G6" s="39"/>
      <c r="H6" s="39"/>
      <c r="I6" s="39"/>
      <c r="J6" s="39"/>
      <c r="K6" s="39"/>
      <c r="L6" s="39"/>
    </row>
    <row r="7" spans="1:12" ht="72.75" customHeight="1">
      <c r="A7" s="286" t="s">
        <v>805</v>
      </c>
      <c r="C7" s="29"/>
      <c r="D7" s="12"/>
      <c r="E7" s="12"/>
      <c r="F7" s="12"/>
      <c r="L7" s="76"/>
    </row>
    <row r="8" spans="1:11" ht="20.25" customHeight="1">
      <c r="A8" s="287" t="s">
        <v>617</v>
      </c>
      <c r="C8" s="11" t="s">
        <v>1291</v>
      </c>
      <c r="D8" s="21" t="s">
        <v>1100</v>
      </c>
      <c r="E8" s="4"/>
      <c r="F8" s="74"/>
      <c r="G8" s="74"/>
      <c r="H8" s="74"/>
      <c r="I8" s="29"/>
      <c r="J8" s="29"/>
      <c r="K8" s="1"/>
    </row>
    <row r="9" spans="3:11" ht="20.25" customHeight="1">
      <c r="C9" s="2" t="s">
        <v>33</v>
      </c>
      <c r="D9" s="4" t="s">
        <v>1100</v>
      </c>
      <c r="F9" s="74"/>
      <c r="G9" s="74"/>
      <c r="I9" s="29"/>
      <c r="J9" s="824">
        <v>51772844</v>
      </c>
      <c r="K9" s="28"/>
    </row>
    <row r="10" spans="3:11" ht="20.25" customHeight="1">
      <c r="C10" s="165" t="s">
        <v>808</v>
      </c>
      <c r="D10" s="4"/>
      <c r="F10" s="74"/>
      <c r="G10" s="74"/>
      <c r="I10" s="29"/>
      <c r="J10" s="225"/>
      <c r="K10" s="1"/>
    </row>
    <row r="11" spans="3:11" ht="20.25" customHeight="1">
      <c r="C11" s="29" t="s">
        <v>1777</v>
      </c>
      <c r="D11" s="17"/>
      <c r="E11" s="29"/>
      <c r="F11" s="154"/>
      <c r="G11" s="154"/>
      <c r="H11" s="29"/>
      <c r="I11" s="29"/>
      <c r="J11" s="824">
        <v>38935337</v>
      </c>
      <c r="K11" s="1"/>
    </row>
    <row r="12" spans="1:12" ht="20.25" customHeight="1" thickBot="1">
      <c r="A12" s="100"/>
      <c r="B12" s="100"/>
      <c r="C12" s="154" t="s">
        <v>1559</v>
      </c>
      <c r="D12" s="154"/>
      <c r="E12" s="154"/>
      <c r="F12" s="154"/>
      <c r="G12" s="154"/>
      <c r="H12" s="29"/>
      <c r="I12" s="154"/>
      <c r="J12" s="289">
        <f>+J9-J11</f>
        <v>12837507</v>
      </c>
      <c r="K12" s="100"/>
      <c r="L12" s="100"/>
    </row>
    <row r="13" ht="15.75" thickTop="1"/>
    <row r="14" ht="15">
      <c r="A14" s="164"/>
    </row>
    <row r="15" ht="15">
      <c r="A15" s="164"/>
    </row>
    <row r="16" spans="3:5" ht="15">
      <c r="C16" s="4"/>
      <c r="E16" s="74"/>
    </row>
    <row r="17" spans="3:5" ht="15">
      <c r="C17" s="4"/>
      <c r="E17" s="74"/>
    </row>
    <row r="18" ht="15">
      <c r="C18" s="4"/>
    </row>
    <row r="19" ht="15">
      <c r="B19" s="4"/>
    </row>
    <row r="20" ht="15">
      <c r="B20" s="4"/>
    </row>
    <row r="21" ht="15">
      <c r="B21" s="4"/>
    </row>
    <row r="22" ht="15">
      <c r="B22" s="4"/>
    </row>
    <row r="23" ht="15">
      <c r="B23" s="4"/>
    </row>
    <row r="24" ht="15">
      <c r="B24" s="4"/>
    </row>
    <row r="25" ht="15">
      <c r="B25" s="4"/>
    </row>
    <row r="26" ht="15">
      <c r="B26" s="4"/>
    </row>
    <row r="27" ht="15">
      <c r="B27" s="4"/>
    </row>
    <row r="28" ht="15">
      <c r="B28" s="4"/>
    </row>
    <row r="29" ht="15">
      <c r="B29" s="4"/>
    </row>
    <row r="30" ht="15">
      <c r="B30" s="4"/>
    </row>
    <row r="31" ht="15">
      <c r="B31" s="4"/>
    </row>
    <row r="32" ht="15">
      <c r="B32" s="4"/>
    </row>
    <row r="33" ht="15">
      <c r="B33" s="4"/>
    </row>
    <row r="34" ht="15">
      <c r="B34" s="4"/>
    </row>
    <row r="35" ht="15">
      <c r="B35" s="4"/>
    </row>
    <row r="36" ht="15">
      <c r="B36" s="4"/>
    </row>
    <row r="37" ht="15">
      <c r="B37" s="4"/>
    </row>
  </sheetData>
  <sheetProtection/>
  <mergeCells count="2">
    <mergeCell ref="A5:L5"/>
    <mergeCell ref="A4:L4"/>
  </mergeCells>
  <printOptions/>
  <pageMargins left="0.57" right="0.3" top="0.77" bottom="0.75" header="0.5" footer="0.5"/>
  <pageSetup fitToHeight="1" fitToWidth="1" horizontalDpi="600" verticalDpi="600" orientation="landscape" scale="65" r:id="rId1"/>
  <headerFooter alignWithMargins="0">
    <oddFooter>&amp;L&amp;D&amp;R&amp;F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 Formula Rate Template</dc:title>
  <dc:subject>Customer Copy with Change Tracking</dc:subject>
  <dc:creator>Sheila Gropp</dc:creator>
  <cp:keywords/>
  <dc:description/>
  <cp:lastModifiedBy>SA09175</cp:lastModifiedBy>
  <cp:lastPrinted>2009-07-09T18:14:03Z</cp:lastPrinted>
  <dcterms:created xsi:type="dcterms:W3CDTF">1997-04-03T19:40:56Z</dcterms:created>
  <dcterms:modified xsi:type="dcterms:W3CDTF">2009-10-22T03:42:55Z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