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9555" yWindow="105" windowWidth="10905" windowHeight="8040" tabRatio="887"/>
  </bookViews>
  <sheets>
    <sheet name="Coversheet" sheetId="2" r:id="rId1"/>
    <sheet name="Nonlevelized-EIA 412" sheetId="25" r:id="rId2"/>
    <sheet name="Weighted True-Up" sheetId="27" r:id="rId3"/>
    <sheet name="Quick Bal" sheetId="26" r:id="rId4"/>
    <sheet name="Divisor" sheetId="8" r:id="rId5"/>
    <sheet name="Plant" sheetId="9" r:id="rId6"/>
    <sheet name="Depr Rates" sheetId="10" r:id="rId7"/>
    <sheet name="Adj to Rate Base" sheetId="11" r:id="rId8"/>
    <sheet name="Land Held for future use" sheetId="12" r:id="rId9"/>
    <sheet name="Materials &amp; PrePay" sheetId="13" r:id="rId10"/>
    <sheet name="Capital Structure" sheetId="14" r:id="rId11"/>
    <sheet name="Transmission O&amp;M" sheetId="15" r:id="rId12"/>
    <sheet name="Admin &amp; General" sheetId="16" r:id="rId13"/>
    <sheet name="FERC Fees" sheetId="17" r:id="rId14"/>
    <sheet name="EPRI Reg Comm Non Safety" sheetId="18" r:id="rId15"/>
    <sheet name="Taxes other than Inc Taxes" sheetId="19" r:id="rId16"/>
    <sheet name="Wages &amp; Salaries" sheetId="20" r:id="rId17"/>
    <sheet name="Acct 454" sheetId="21" r:id="rId18"/>
    <sheet name="Acct 456.1" sheetId="22" r:id="rId19"/>
    <sheet name="LT Interest" sheetId="23" r:id="rId20"/>
  </sheets>
  <externalReferences>
    <externalReference r:id="rId21"/>
  </externalReferences>
  <definedNames>
    <definedName name="_xlnm.Print_Area" localSheetId="12">'Admin &amp; General'!$A$1:$C$46</definedName>
    <definedName name="_xlnm.Print_Area" localSheetId="1">'Nonlevelized-EIA 412'!$A$1:$L$330</definedName>
  </definedNames>
  <calcPr calcId="145621"/>
</workbook>
</file>

<file path=xl/calcChain.xml><?xml version="1.0" encoding="utf-8"?>
<calcChain xmlns="http://schemas.openxmlformats.org/spreadsheetml/2006/main">
  <c r="C26" i="15" l="1"/>
  <c r="C41" i="15" s="1"/>
  <c r="F40" i="9" l="1"/>
  <c r="F39" i="9"/>
  <c r="F38" i="9"/>
  <c r="F37" i="9"/>
  <c r="F36" i="9"/>
  <c r="F35" i="9"/>
  <c r="F34" i="9"/>
  <c r="F33" i="9"/>
  <c r="F32" i="9"/>
  <c r="F31" i="9"/>
  <c r="F30" i="9"/>
  <c r="F29" i="9"/>
  <c r="F28" i="9"/>
  <c r="F21" i="9"/>
  <c r="F20" i="9"/>
  <c r="F19" i="9"/>
  <c r="F18" i="9"/>
  <c r="F17" i="9"/>
  <c r="F16" i="9"/>
  <c r="F15" i="9"/>
  <c r="F14" i="9"/>
  <c r="F13" i="9"/>
  <c r="F12" i="9"/>
  <c r="F11" i="9"/>
  <c r="F10" i="9"/>
  <c r="F9" i="9"/>
  <c r="D40" i="26" l="1"/>
  <c r="I27" i="25"/>
  <c r="I25" i="25"/>
  <c r="I24" i="25"/>
  <c r="A4" i="27"/>
  <c r="A4" i="17"/>
  <c r="A4" i="15"/>
  <c r="A4" i="14"/>
  <c r="D250" i="25"/>
  <c r="D177" i="25"/>
  <c r="D178" i="25"/>
  <c r="D179" i="25"/>
  <c r="D176" i="25"/>
  <c r="D174" i="25"/>
  <c r="D173" i="25"/>
  <c r="D156" i="25"/>
  <c r="G29" i="9" l="1"/>
  <c r="G30" i="9" s="1"/>
  <c r="G31" i="9" s="1"/>
  <c r="G32" i="9" s="1"/>
  <c r="G33" i="9" s="1"/>
  <c r="G34" i="9" s="1"/>
  <c r="G35" i="9" s="1"/>
  <c r="G36" i="9" s="1"/>
  <c r="G37" i="9" s="1"/>
  <c r="G38" i="9" s="1"/>
  <c r="G39" i="9" s="1"/>
  <c r="G40" i="9" s="1"/>
  <c r="G28" i="9"/>
  <c r="F45" i="9"/>
  <c r="D166" i="25" s="1"/>
  <c r="E28" i="9"/>
  <c r="E29" i="9" s="1"/>
  <c r="E30" i="9" s="1"/>
  <c r="E31" i="9" s="1"/>
  <c r="E32" i="9" s="1"/>
  <c r="E33" i="9" s="1"/>
  <c r="E34" i="9" s="1"/>
  <c r="E35" i="9" s="1"/>
  <c r="E36" i="9" s="1"/>
  <c r="E37" i="9" s="1"/>
  <c r="E38" i="9" s="1"/>
  <c r="E39" i="9" s="1"/>
  <c r="E40" i="9" s="1"/>
  <c r="H28" i="9"/>
  <c r="H29" i="9" s="1"/>
  <c r="H30" i="9" s="1"/>
  <c r="H31" i="9" s="1"/>
  <c r="H32" i="9" s="1"/>
  <c r="H33" i="9" s="1"/>
  <c r="H34" i="9" s="1"/>
  <c r="H35" i="9" s="1"/>
  <c r="H36" i="9" s="1"/>
  <c r="H37" i="9" s="1"/>
  <c r="H38" i="9" s="1"/>
  <c r="H39" i="9" s="1"/>
  <c r="H40" i="9" s="1"/>
  <c r="H21" i="9"/>
  <c r="G21" i="9" l="1"/>
  <c r="H20" i="9" l="1"/>
  <c r="H19" i="9"/>
  <c r="H18" i="9"/>
  <c r="H17" i="9"/>
  <c r="H16" i="9"/>
  <c r="H15" i="9"/>
  <c r="H14" i="9"/>
  <c r="H13" i="9"/>
  <c r="H12" i="9"/>
  <c r="H11" i="9"/>
  <c r="H10" i="9"/>
  <c r="H9" i="9"/>
  <c r="E21" i="9"/>
  <c r="E20" i="9"/>
  <c r="E19" i="9"/>
  <c r="E18" i="9"/>
  <c r="E17" i="9"/>
  <c r="E16" i="9"/>
  <c r="E15" i="9"/>
  <c r="E14" i="9"/>
  <c r="E13" i="9"/>
  <c r="E12" i="9"/>
  <c r="E11" i="9"/>
  <c r="E10" i="9"/>
  <c r="E9" i="9"/>
  <c r="G20" i="9" l="1"/>
  <c r="G19" i="9"/>
  <c r="G18" i="9"/>
  <c r="G17" i="9"/>
  <c r="G16" i="9"/>
  <c r="G15" i="9"/>
  <c r="G14" i="9"/>
  <c r="G13" i="9"/>
  <c r="G12" i="9"/>
  <c r="G11" i="9"/>
  <c r="G10" i="9"/>
  <c r="G9" i="9"/>
  <c r="F9" i="14" l="1"/>
  <c r="F10" i="14" l="1"/>
  <c r="F11" i="14" s="1"/>
  <c r="F12" i="14" s="1"/>
  <c r="F13" i="14" s="1"/>
  <c r="F14" i="14" s="1"/>
  <c r="F15" i="14" s="1"/>
  <c r="F16" i="14" s="1"/>
  <c r="F17" i="14" s="1"/>
  <c r="F18" i="14" s="1"/>
  <c r="F19" i="14" s="1"/>
  <c r="F20" i="14" s="1"/>
  <c r="F21" i="14" s="1"/>
  <c r="D16" i="14" l="1"/>
  <c r="C10" i="20"/>
  <c r="D240" i="25" s="1"/>
  <c r="C9" i="20" l="1"/>
  <c r="D239" i="25" s="1"/>
  <c r="C8" i="20" l="1"/>
  <c r="D238" i="25" s="1"/>
  <c r="C7" i="20" l="1"/>
  <c r="D237" i="25" s="1"/>
  <c r="C14" i="16" l="1"/>
  <c r="C13" i="16" l="1"/>
  <c r="C12" i="16"/>
  <c r="C11" i="16"/>
  <c r="C10" i="16"/>
  <c r="D11" i="16" s="1"/>
  <c r="F9" i="13" l="1"/>
  <c r="F10" i="13" s="1"/>
  <c r="F11" i="13" s="1"/>
  <c r="F12" i="13" s="1"/>
  <c r="F13" i="13" s="1"/>
  <c r="F14" i="13" s="1"/>
  <c r="F15" i="13" s="1"/>
  <c r="F16" i="13" s="1"/>
  <c r="F17" i="13" s="1"/>
  <c r="F18" i="13" s="1"/>
  <c r="F19" i="13" s="1"/>
  <c r="F20" i="13" s="1"/>
  <c r="F21" i="13" s="1"/>
  <c r="E39" i="8" l="1"/>
  <c r="I37" i="25" s="1"/>
  <c r="D281" i="25" l="1"/>
  <c r="D280" i="25"/>
  <c r="K279" i="25"/>
  <c r="C279" i="25"/>
  <c r="B279" i="25"/>
  <c r="I264" i="25"/>
  <c r="G254" i="25"/>
  <c r="D241" i="25"/>
  <c r="G240" i="25"/>
  <c r="G239" i="25"/>
  <c r="G237" i="25"/>
  <c r="D216" i="25"/>
  <c r="D214" i="25"/>
  <c r="K213" i="25"/>
  <c r="D213" i="25"/>
  <c r="B213" i="25"/>
  <c r="D183" i="25"/>
  <c r="D187" i="25" s="1"/>
  <c r="D191" i="25" s="1"/>
  <c r="D180" i="25"/>
  <c r="F178" i="25"/>
  <c r="F174" i="25"/>
  <c r="B168" i="25"/>
  <c r="B166" i="25"/>
  <c r="I162" i="25"/>
  <c r="F160" i="25"/>
  <c r="F158" i="25"/>
  <c r="F159" i="25" s="1"/>
  <c r="I155" i="25"/>
  <c r="D149" i="25"/>
  <c r="D147" i="25"/>
  <c r="K146" i="25"/>
  <c r="D146" i="25"/>
  <c r="B146" i="25"/>
  <c r="D117" i="25"/>
  <c r="F115" i="25"/>
  <c r="F100" i="25"/>
  <c r="B100" i="25"/>
  <c r="B108" i="25" s="1"/>
  <c r="F99" i="25"/>
  <c r="B99" i="25"/>
  <c r="B107" i="25" s="1"/>
  <c r="G98" i="25"/>
  <c r="F98" i="25"/>
  <c r="B98" i="25"/>
  <c r="B106" i="25" s="1"/>
  <c r="F97" i="25"/>
  <c r="F119" i="25" s="1"/>
  <c r="B97" i="25"/>
  <c r="B105" i="25" s="1"/>
  <c r="G96" i="25"/>
  <c r="F96" i="25"/>
  <c r="B96" i="25"/>
  <c r="B104" i="25" s="1"/>
  <c r="D83" i="25"/>
  <c r="D81" i="25"/>
  <c r="K80" i="25"/>
  <c r="D80" i="25"/>
  <c r="B80" i="25"/>
  <c r="I51" i="25"/>
  <c r="I50" i="25"/>
  <c r="I26" i="25"/>
  <c r="I22" i="25"/>
  <c r="F15" i="25"/>
  <c r="D14" i="25"/>
  <c r="A4" i="23"/>
  <c r="E45" i="9" l="1"/>
  <c r="G45" i="9"/>
  <c r="C21" i="22" l="1"/>
  <c r="I270" i="25" s="1"/>
  <c r="J45" i="9" l="1"/>
  <c r="D168" i="25" s="1"/>
  <c r="I45" i="9"/>
  <c r="H45" i="9" l="1"/>
  <c r="D167" i="25" s="1"/>
  <c r="D169" i="25" s="1"/>
  <c r="H23" i="9"/>
  <c r="I23" i="9"/>
  <c r="I25" i="9" s="1"/>
  <c r="J23" i="9"/>
  <c r="J25" i="9" l="1"/>
  <c r="D92" i="25"/>
  <c r="D91" i="25"/>
  <c r="K45" i="9"/>
  <c r="H25" i="9"/>
  <c r="C46" i="16" l="1"/>
  <c r="D157" i="25" s="1"/>
  <c r="D14" i="16" l="1"/>
  <c r="E22" i="8" l="1"/>
  <c r="E41" i="8" l="1"/>
  <c r="I32" i="25"/>
  <c r="I39" i="25" s="1"/>
  <c r="D6" i="14"/>
  <c r="B4" i="22"/>
  <c r="B4" i="21"/>
  <c r="B4" i="20"/>
  <c r="B4" i="19"/>
  <c r="A4" i="18"/>
  <c r="A4" i="16"/>
  <c r="E6" i="13"/>
  <c r="B4" i="13"/>
  <c r="B4" i="12"/>
  <c r="E6" i="12"/>
  <c r="D21" i="12" s="1"/>
  <c r="C6" i="11"/>
  <c r="A4" i="11"/>
  <c r="A4" i="10"/>
  <c r="D9" i="9"/>
  <c r="E6" i="8"/>
  <c r="D9" i="8" s="1"/>
  <c r="D10" i="8" s="1"/>
  <c r="D11" i="8" s="1"/>
  <c r="D12" i="8" s="1"/>
  <c r="D13" i="8" s="1"/>
  <c r="D14" i="8" s="1"/>
  <c r="D15" i="8" s="1"/>
  <c r="D16" i="8" s="1"/>
  <c r="D17" i="8" s="1"/>
  <c r="D18" i="8" s="1"/>
  <c r="D19" i="8" s="1"/>
  <c r="D20" i="8" s="1"/>
  <c r="A4" i="8"/>
  <c r="C23" i="22"/>
  <c r="I272" i="25" s="1"/>
  <c r="C22" i="22"/>
  <c r="I271" i="25" s="1"/>
  <c r="C17" i="22"/>
  <c r="C20" i="22" s="1"/>
  <c r="I269" i="25" s="1"/>
  <c r="I273" i="25" s="1"/>
  <c r="D15" i="25" s="1"/>
  <c r="C15" i="21"/>
  <c r="C11" i="20"/>
  <c r="B16" i="18"/>
  <c r="B20" i="18"/>
  <c r="B22" i="18" s="1"/>
  <c r="C14" i="17"/>
  <c r="D158" i="25" s="1"/>
  <c r="C15" i="16"/>
  <c r="C22" i="16"/>
  <c r="C29" i="16"/>
  <c r="C38" i="15"/>
  <c r="F23" i="14"/>
  <c r="D254" i="25" s="1"/>
  <c r="E23" i="14"/>
  <c r="C15" i="11"/>
  <c r="F22" i="10"/>
  <c r="F21" i="10"/>
  <c r="F20" i="10"/>
  <c r="F19" i="10"/>
  <c r="F18" i="10"/>
  <c r="F17" i="10"/>
  <c r="F16" i="10"/>
  <c r="F14" i="10"/>
  <c r="F13" i="10"/>
  <c r="F12" i="10"/>
  <c r="F11" i="10"/>
  <c r="F10" i="10"/>
  <c r="J60" i="9"/>
  <c r="I60" i="9"/>
  <c r="J59" i="9"/>
  <c r="I59" i="9"/>
  <c r="H59" i="9"/>
  <c r="F59" i="9"/>
  <c r="J58" i="9"/>
  <c r="I58" i="9"/>
  <c r="F58" i="9"/>
  <c r="J57" i="9"/>
  <c r="I57" i="9"/>
  <c r="G57" i="9"/>
  <c r="J56" i="9"/>
  <c r="I56" i="9"/>
  <c r="G56" i="9"/>
  <c r="J55" i="9"/>
  <c r="I55" i="9"/>
  <c r="H55" i="9"/>
  <c r="G55" i="9"/>
  <c r="J54" i="9"/>
  <c r="I54" i="9"/>
  <c r="H54" i="9"/>
  <c r="J53" i="9"/>
  <c r="I53" i="9"/>
  <c r="H53" i="9"/>
  <c r="J52" i="9"/>
  <c r="I52" i="9"/>
  <c r="G52" i="9"/>
  <c r="E52" i="9"/>
  <c r="J51" i="9"/>
  <c r="I51" i="9"/>
  <c r="E51" i="9"/>
  <c r="J50" i="9"/>
  <c r="I50" i="9"/>
  <c r="G50" i="9"/>
  <c r="E50" i="9"/>
  <c r="J49" i="9"/>
  <c r="I49" i="9"/>
  <c r="E49" i="9"/>
  <c r="J48" i="9"/>
  <c r="I48" i="9"/>
  <c r="H48" i="9"/>
  <c r="G48" i="9"/>
  <c r="F48" i="9"/>
  <c r="E48" i="9"/>
  <c r="J42" i="9"/>
  <c r="D100" i="25" s="1"/>
  <c r="D108" i="25" s="1"/>
  <c r="I42" i="9"/>
  <c r="H42" i="9"/>
  <c r="D99" i="25" s="1"/>
  <c r="D107" i="25" s="1"/>
  <c r="G42" i="9"/>
  <c r="D98" i="25" s="1"/>
  <c r="F42" i="9"/>
  <c r="D97" i="25" s="1"/>
  <c r="E42" i="9"/>
  <c r="D96" i="25" s="1"/>
  <c r="K40" i="9"/>
  <c r="K39" i="9"/>
  <c r="K38" i="9"/>
  <c r="K37" i="9"/>
  <c r="K36" i="9"/>
  <c r="K35" i="9"/>
  <c r="K34" i="9"/>
  <c r="K33" i="9"/>
  <c r="K32" i="9"/>
  <c r="K31" i="9"/>
  <c r="K30" i="9"/>
  <c r="K29" i="9"/>
  <c r="K28" i="9"/>
  <c r="I27" i="9"/>
  <c r="I47" i="9" s="1"/>
  <c r="H27" i="9"/>
  <c r="H47" i="9" s="1"/>
  <c r="H60" i="9"/>
  <c r="F60" i="9"/>
  <c r="G59" i="9"/>
  <c r="G58" i="9"/>
  <c r="G54" i="9"/>
  <c r="E54" i="9"/>
  <c r="G53" i="9"/>
  <c r="E53" i="9"/>
  <c r="G51" i="9"/>
  <c r="H49" i="9"/>
  <c r="F49" i="9"/>
  <c r="K9" i="9"/>
  <c r="F23" i="13"/>
  <c r="D124" i="25" s="1"/>
  <c r="E23" i="13"/>
  <c r="D123" i="25" s="1"/>
  <c r="E23" i="12"/>
  <c r="D119" i="25" s="1"/>
  <c r="C14" i="19"/>
  <c r="D101" i="25" l="1"/>
  <c r="D159" i="25"/>
  <c r="D160" i="25"/>
  <c r="K48" i="9"/>
  <c r="D15" i="12"/>
  <c r="C24" i="22"/>
  <c r="I62" i="9"/>
  <c r="D21" i="13"/>
  <c r="D20" i="12"/>
  <c r="D9" i="12"/>
  <c r="D11" i="12"/>
  <c r="D19" i="12"/>
  <c r="J62" i="9"/>
  <c r="D59" i="9"/>
  <c r="D57" i="9"/>
  <c r="D55" i="9"/>
  <c r="D53" i="9"/>
  <c r="D51" i="9"/>
  <c r="D49" i="9"/>
  <c r="D40" i="9"/>
  <c r="D38" i="9"/>
  <c r="D36" i="9"/>
  <c r="D34" i="9"/>
  <c r="D32" i="9"/>
  <c r="D30" i="9"/>
  <c r="D28" i="9"/>
  <c r="D12" i="9"/>
  <c r="D14" i="9"/>
  <c r="D16" i="9"/>
  <c r="D18" i="9"/>
  <c r="D20" i="9"/>
  <c r="D10" i="9"/>
  <c r="D60" i="9"/>
  <c r="D58" i="9"/>
  <c r="D56" i="9"/>
  <c r="D54" i="9"/>
  <c r="D52" i="9"/>
  <c r="D50" i="9"/>
  <c r="D48" i="9"/>
  <c r="D39" i="9"/>
  <c r="D37" i="9"/>
  <c r="D35" i="9"/>
  <c r="D33" i="9"/>
  <c r="D31" i="9"/>
  <c r="D29" i="9"/>
  <c r="D11" i="9"/>
  <c r="D13" i="9"/>
  <c r="D15" i="9"/>
  <c r="D17" i="9"/>
  <c r="D19" i="9"/>
  <c r="D21" i="9"/>
  <c r="C9" i="14"/>
  <c r="C21" i="14"/>
  <c r="D13" i="12"/>
  <c r="D17" i="12"/>
  <c r="D154" i="25"/>
  <c r="D23" i="14"/>
  <c r="D253" i="25" s="1"/>
  <c r="C10" i="14"/>
  <c r="C11" i="14"/>
  <c r="C12" i="14"/>
  <c r="C13" i="14"/>
  <c r="C14" i="14"/>
  <c r="C15" i="14"/>
  <c r="C16" i="14"/>
  <c r="C17" i="14"/>
  <c r="C18" i="14"/>
  <c r="C19" i="14"/>
  <c r="C20" i="14"/>
  <c r="K42" i="9"/>
  <c r="G49" i="9"/>
  <c r="K10" i="9"/>
  <c r="H57" i="9"/>
  <c r="H58" i="9"/>
  <c r="H56" i="9"/>
  <c r="G60" i="9"/>
  <c r="D10" i="13"/>
  <c r="D12" i="13"/>
  <c r="D14" i="13"/>
  <c r="D16" i="13"/>
  <c r="D18" i="13"/>
  <c r="D20" i="13"/>
  <c r="D9" i="13"/>
  <c r="D11" i="13"/>
  <c r="D13" i="13"/>
  <c r="D15" i="13"/>
  <c r="D17" i="13"/>
  <c r="D19" i="13"/>
  <c r="D10" i="12"/>
  <c r="D12" i="12"/>
  <c r="D14" i="12"/>
  <c r="D16" i="12"/>
  <c r="D18" i="12"/>
  <c r="D255" i="25" l="1"/>
  <c r="G253" i="25"/>
  <c r="I228" i="25"/>
  <c r="D163" i="25"/>
  <c r="D122" i="25" s="1"/>
  <c r="D125" i="25" s="1"/>
  <c r="F50" i="9"/>
  <c r="H50" i="9"/>
  <c r="K11" i="9"/>
  <c r="K50" i="9" s="1"/>
  <c r="G23" i="9"/>
  <c r="D90" i="25" s="1"/>
  <c r="D106" i="25" s="1"/>
  <c r="E55" i="9"/>
  <c r="K49" i="9"/>
  <c r="G62" i="9"/>
  <c r="E254" i="25" l="1"/>
  <c r="E253" i="25"/>
  <c r="I253" i="25" s="1"/>
  <c r="D21" i="26" s="1"/>
  <c r="I230" i="25"/>
  <c r="I232" i="25" s="1"/>
  <c r="G25" i="9"/>
  <c r="F51" i="9"/>
  <c r="H51" i="9"/>
  <c r="K12" i="9"/>
  <c r="E56" i="9"/>
  <c r="E255" i="25" l="1"/>
  <c r="D18" i="26"/>
  <c r="D20" i="26" s="1"/>
  <c r="D19" i="26"/>
  <c r="I254" i="25"/>
  <c r="F52" i="9"/>
  <c r="K51" i="9"/>
  <c r="E57" i="9"/>
  <c r="H52" i="9"/>
  <c r="H62" i="9" s="1"/>
  <c r="K13" i="9"/>
  <c r="I255" i="25" l="1"/>
  <c r="D22" i="26"/>
  <c r="K52" i="9"/>
  <c r="K14" i="9"/>
  <c r="K53" i="9" s="1"/>
  <c r="F53" i="9"/>
  <c r="E58" i="9"/>
  <c r="K19" i="9"/>
  <c r="K58" i="9" s="1"/>
  <c r="I258" i="25" l="1"/>
  <c r="D23" i="26"/>
  <c r="D184" i="25"/>
  <c r="F54" i="9"/>
  <c r="K15" i="9"/>
  <c r="K54" i="9" s="1"/>
  <c r="E59" i="9"/>
  <c r="K20" i="9"/>
  <c r="K59" i="9" s="1"/>
  <c r="E23" i="9"/>
  <c r="D88" i="25" s="1"/>
  <c r="D104" i="25" l="1"/>
  <c r="E25" i="9"/>
  <c r="F55" i="9"/>
  <c r="K16" i="9"/>
  <c r="K55" i="9" s="1"/>
  <c r="E60" i="9"/>
  <c r="E62" i="9" s="1"/>
  <c r="K21" i="9"/>
  <c r="K60" i="9" l="1"/>
  <c r="F56" i="9"/>
  <c r="K17" i="9"/>
  <c r="K56" i="9" l="1"/>
  <c r="F23" i="9"/>
  <c r="D89" i="25" s="1"/>
  <c r="K18" i="9"/>
  <c r="K57" i="9" s="1"/>
  <c r="F57" i="9"/>
  <c r="F62" i="9" s="1"/>
  <c r="D105" i="25" l="1"/>
  <c r="D109" i="25" s="1"/>
  <c r="D127" i="25" s="1"/>
  <c r="D194" i="25" s="1"/>
  <c r="D190" i="25" s="1"/>
  <c r="D192" i="25" s="1"/>
  <c r="D197" i="25" s="1"/>
  <c r="D206" i="25" s="1"/>
  <c r="I220" i="25"/>
  <c r="I223" i="25" s="1"/>
  <c r="I225" i="25" s="1"/>
  <c r="D93" i="25"/>
  <c r="D244" i="25" s="1"/>
  <c r="D247" i="25" s="1"/>
  <c r="G245" i="25" s="1"/>
  <c r="F25" i="9"/>
  <c r="K25" i="9" s="1"/>
  <c r="K23" i="9"/>
  <c r="K62" i="9"/>
  <c r="I233" i="25" l="1"/>
  <c r="I234" i="25" s="1"/>
  <c r="G14" i="25"/>
  <c r="G89" i="25"/>
  <c r="E238" i="25"/>
  <c r="G238" i="25" s="1"/>
  <c r="G241" i="25" s="1"/>
  <c r="I241" i="25" s="1"/>
  <c r="G158" i="25" l="1"/>
  <c r="I158" i="25" s="1"/>
  <c r="G159" i="25"/>
  <c r="I159" i="25" s="1"/>
  <c r="I245" i="25"/>
  <c r="K245" i="25" s="1"/>
  <c r="G91" i="25"/>
  <c r="G157" i="25"/>
  <c r="G97" i="25"/>
  <c r="I89" i="25"/>
  <c r="G16" i="25"/>
  <c r="I16" i="25" s="1"/>
  <c r="G15" i="25"/>
  <c r="I15" i="25" s="1"/>
  <c r="G17" i="25"/>
  <c r="I17" i="25" s="1"/>
  <c r="I14" i="25"/>
  <c r="G154" i="25"/>
  <c r="G123" i="25"/>
  <c r="I123" i="25" s="1"/>
  <c r="I18" i="25" l="1"/>
  <c r="D39" i="26" s="1"/>
  <c r="G161" i="25"/>
  <c r="G92" i="25"/>
  <c r="I154" i="25"/>
  <c r="G156" i="25"/>
  <c r="I156" i="25" s="1"/>
  <c r="G160" i="25"/>
  <c r="I160" i="25" s="1"/>
  <c r="I91" i="25"/>
  <c r="G99" i="25"/>
  <c r="I99" i="25" s="1"/>
  <c r="G119" i="25"/>
  <c r="I97" i="25"/>
  <c r="I105" i="25" s="1"/>
  <c r="G167" i="25"/>
  <c r="I157" i="25"/>
  <c r="G166" i="25" l="1"/>
  <c r="I166" i="25" s="1"/>
  <c r="I119" i="25"/>
  <c r="D13" i="26" s="1"/>
  <c r="I107" i="25"/>
  <c r="G100" i="25"/>
  <c r="I100" i="25" s="1"/>
  <c r="I101" i="25" s="1"/>
  <c r="D9" i="26" s="1"/>
  <c r="I92" i="25"/>
  <c r="I167" i="25"/>
  <c r="G173" i="25"/>
  <c r="I161" i="25"/>
  <c r="I163" i="25" s="1"/>
  <c r="G168" i="25"/>
  <c r="I168" i="25" s="1"/>
  <c r="G174" i="25" l="1"/>
  <c r="I174" i="25" s="1"/>
  <c r="I173" i="25"/>
  <c r="D26" i="26"/>
  <c r="D29" i="26" s="1"/>
  <c r="I122" i="25"/>
  <c r="I93" i="25"/>
  <c r="I108" i="25"/>
  <c r="I109" i="25" s="1"/>
  <c r="I169" i="25"/>
  <c r="D30" i="26" s="1"/>
  <c r="G109" i="25" l="1"/>
  <c r="D10" i="26"/>
  <c r="G93" i="25"/>
  <c r="D8" i="26"/>
  <c r="G191" i="25" l="1"/>
  <c r="I191" i="25" s="1"/>
  <c r="G113" i="25"/>
  <c r="G176" i="25"/>
  <c r="G124" i="25"/>
  <c r="I124" i="25" s="1"/>
  <c r="I125" i="25" s="1"/>
  <c r="D14" i="26" l="1"/>
  <c r="I113" i="25"/>
  <c r="G114" i="25"/>
  <c r="G178" i="25"/>
  <c r="I176" i="25"/>
  <c r="I114" i="25" l="1"/>
  <c r="G116" i="25"/>
  <c r="I116" i="25" s="1"/>
  <c r="G115" i="25"/>
  <c r="I115" i="25" s="1"/>
  <c r="I178" i="25"/>
  <c r="G179" i="25"/>
  <c r="I179" i="25" s="1"/>
  <c r="I180" i="25" l="1"/>
  <c r="D31" i="26" s="1"/>
  <c r="I117" i="25"/>
  <c r="D11" i="26" s="1"/>
  <c r="D16" i="26" s="1"/>
  <c r="I127" i="25" l="1"/>
  <c r="D15" i="26" s="1"/>
  <c r="D17" i="26" s="1"/>
  <c r="D24" i="26" l="1"/>
  <c r="I194" i="25"/>
  <c r="D33" i="26" s="1"/>
  <c r="I190" i="25" l="1"/>
  <c r="I192" i="25" s="1"/>
  <c r="D32" i="26" s="1"/>
  <c r="D35" i="26" s="1"/>
  <c r="D25" i="26"/>
  <c r="I197" i="25" l="1"/>
  <c r="I206" i="25" s="1"/>
  <c r="I11" i="25" s="1"/>
  <c r="D34" i="26" s="1"/>
  <c r="D38" i="26" l="1"/>
  <c r="D42" i="26" s="1"/>
  <c r="I29" i="25"/>
  <c r="D41" i="26" s="1"/>
  <c r="D41" i="25"/>
  <c r="D43" i="26" l="1"/>
  <c r="I45" i="25"/>
  <c r="I47" i="25"/>
  <c r="D47" i="25"/>
  <c r="I46" i="25"/>
  <c r="D42" i="25"/>
  <c r="D45" i="25"/>
  <c r="D46" i="25"/>
</calcChain>
</file>

<file path=xl/sharedStrings.xml><?xml version="1.0" encoding="utf-8"?>
<sst xmlns="http://schemas.openxmlformats.org/spreadsheetml/2006/main" count="1035" uniqueCount="691">
  <si>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</si>
  <si>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</si>
  <si>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</si>
  <si>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</si>
  <si>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</si>
  <si>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</si>
  <si>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</si>
  <si>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</si>
  <si>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</si>
  <si>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</si>
  <si>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</si>
  <si>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</si>
  <si>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</si>
  <si>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</si>
  <si>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</si>
  <si>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</si>
  <si>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</si>
  <si>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</si>
  <si>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</si>
  <si>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</si>
  <si>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</si>
  <si>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</si>
  <si>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</si>
  <si>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</si>
  <si>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</si>
  <si>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</si>
  <si>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</si>
  <si>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</si>
  <si>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</si>
  <si>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</si>
  <si>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</si>
  <si>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</si>
  <si>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</si>
  <si>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</si>
  <si>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</si>
  <si>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</si>
  <si>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</si>
  <si>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</si>
  <si>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</si>
  <si>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</si>
  <si>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</si>
  <si>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</si>
  <si>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</si>
  <si>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</si>
  <si>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</si>
  <si>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</si>
  <si>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</si>
  <si>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</si>
  <si>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</si>
  <si>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</si>
  <si>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 xml:space="preserve">  Production</t>
  </si>
  <si>
    <t>NA</t>
  </si>
  <si>
    <t xml:space="preserve">  Transmission</t>
  </si>
  <si>
    <t xml:space="preserve">  Distribution</t>
  </si>
  <si>
    <t xml:space="preserve">  General &amp; Intangible</t>
  </si>
  <si>
    <t>W/S</t>
  </si>
  <si>
    <t xml:space="preserve">  Common</t>
  </si>
  <si>
    <t>CE</t>
  </si>
  <si>
    <t>GP=</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</si>
  <si>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</si>
  <si>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</si>
  <si>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</si>
  <si>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</si>
  <si>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</si>
  <si>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</si>
  <si>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</si>
  <si>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</si>
  <si>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</si>
  <si>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</si>
  <si>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</si>
  <si>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</si>
  <si>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</si>
  <si>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</si>
  <si>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</si>
  <si>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</si>
  <si>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</si>
  <si>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</si>
  <si>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</si>
  <si>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</si>
  <si>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</si>
  <si>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</si>
  <si>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</si>
  <si>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</si>
  <si>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</si>
  <si>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</si>
  <si>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</si>
  <si>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</si>
  <si>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</si>
  <si>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</si>
  <si>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</si>
  <si>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</si>
  <si>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</si>
  <si>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</si>
  <si>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</si>
  <si>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</si>
  <si>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</si>
  <si>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</si>
  <si>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</si>
  <si>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</si>
  <si>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</si>
  <si>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</si>
  <si>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</si>
  <si>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</si>
  <si>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</si>
  <si>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</si>
  <si>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</si>
  <si>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</si>
  <si>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</si>
  <si>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</si>
  <si>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</si>
  <si>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</si>
  <si>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</si>
  <si>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</si>
  <si>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</si>
  <si>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</si>
  <si>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</si>
  <si>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</si>
  <si>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</si>
  <si>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</si>
  <si>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</si>
  <si>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</si>
  <si>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</si>
  <si>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</si>
  <si>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</si>
  <si>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</si>
  <si>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</si>
  <si>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</si>
  <si>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=WCLTD</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</si>
  <si>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</si>
  <si>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</si>
  <si>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</si>
  <si>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</si>
  <si>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</si>
  <si>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</si>
  <si>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</si>
  <si>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</si>
  <si>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</si>
  <si>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</si>
  <si>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</si>
  <si>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</si>
  <si>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</si>
  <si>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</si>
  <si>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</si>
  <si>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</si>
  <si>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</si>
  <si>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</si>
  <si>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</si>
  <si>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</si>
  <si>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</si>
  <si>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</si>
  <si>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</si>
  <si>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</si>
  <si>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</si>
  <si>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</si>
  <si>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</si>
  <si>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</si>
  <si>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</si>
  <si>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</si>
  <si>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</si>
  <si>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</si>
  <si>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</si>
  <si>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</si>
  <si>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</si>
  <si>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</si>
  <si>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</si>
  <si>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</si>
  <si>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</si>
  <si>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</si>
  <si>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</si>
  <si>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</si>
  <si>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</si>
  <si>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</si>
  <si>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</si>
  <si>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</si>
  <si>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</si>
  <si>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</si>
  <si>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</si>
  <si>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</si>
  <si>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</si>
  <si>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</si>
  <si>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</si>
  <si>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</si>
  <si>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</si>
  <si>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</si>
  <si>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</si>
  <si>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</si>
  <si>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</si>
  <si>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</si>
  <si>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</si>
  <si>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</si>
  <si>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</si>
  <si>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</si>
  <si>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</si>
  <si>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</si>
  <si>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</si>
  <si>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</si>
  <si>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</si>
  <si>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</si>
  <si>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</si>
  <si>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</si>
  <si>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</si>
  <si>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</si>
  <si>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</si>
  <si>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</si>
  <si>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</si>
  <si>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</si>
  <si>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</si>
  <si>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</si>
  <si>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</si>
  <si>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</si>
  <si>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</si>
  <si>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</si>
  <si>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</si>
  <si>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</si>
  <si>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</si>
  <si>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</si>
  <si>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</si>
  <si>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</si>
  <si>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</si>
  <si>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</si>
  <si>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</si>
  <si>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</si>
  <si>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</si>
  <si>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</si>
  <si>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</si>
  <si>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</si>
  <si>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</si>
  <si>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</si>
  <si>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</si>
  <si>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</si>
  <si>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</si>
  <si>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</si>
  <si>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</si>
  <si>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</si>
  <si>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</si>
  <si>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</si>
  <si>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</si>
  <si>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</si>
  <si>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</si>
  <si>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</si>
  <si>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</si>
  <si>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</si>
  <si>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</si>
  <si>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</si>
  <si>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</si>
  <si>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</si>
  <si>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</si>
  <si>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</si>
  <si>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</si>
  <si>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</si>
  <si>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</si>
  <si>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</si>
  <si>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</si>
  <si>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</si>
  <si>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</si>
  <si>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</si>
  <si>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</si>
  <si>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</si>
  <si>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</si>
  <si>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</si>
  <si>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</si>
  <si>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</si>
  <si>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</si>
  <si>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</si>
  <si>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</si>
  <si>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</si>
  <si>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</si>
  <si>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</si>
  <si>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</si>
  <si>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</si>
  <si>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</si>
  <si>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</si>
  <si>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IV.9.e &amp; IV.1.e</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</si>
  <si>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</si>
  <si>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</si>
  <si>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</si>
  <si>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</si>
  <si>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</si>
  <si>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</si>
  <si>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</si>
  <si>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</si>
  <si>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</si>
  <si>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</si>
  <si>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</si>
  <si>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</si>
  <si>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Network &amp; P-to-P Rate ($/kW/Mo)  (line 11 / 12)</t>
  </si>
  <si>
    <t>6a</t>
  </si>
  <si>
    <t>6b</t>
  </si>
  <si>
    <t>6c</t>
  </si>
  <si>
    <t>6d</t>
  </si>
  <si>
    <t>6e</t>
  </si>
  <si>
    <t>6f</t>
  </si>
  <si>
    <t>6g</t>
  </si>
  <si>
    <t>Interest on Historic Year True-Up</t>
  </si>
  <si>
    <t>Willmar Municipal Utilites (WMU)</t>
  </si>
  <si>
    <t>CC</t>
  </si>
  <si>
    <t>DD</t>
  </si>
  <si>
    <t>EE</t>
  </si>
  <si>
    <t>Calculate using 13 month average balances.</t>
  </si>
  <si>
    <t>Adjustments to Net Revenue Requirement (Note CC)</t>
  </si>
  <si>
    <t>Interest on Adjustments (Note DD)</t>
  </si>
  <si>
    <t>Adjustments required pursuant to Section V (Changes to Annual Updates) of Attachment O. Refunds shall be entered as a negative number to reduce the net revenue requirement. Surcharges shall be entered as a positive number to increase the net revenue requirement.</t>
  </si>
  <si>
    <t>Interest required pursuant to Section V (Changes to Annual Updates) of Attachment O. Interest on any refunds shall be entered as a negative number to reduce the net revenue requirement. Interest on surcharge shall be entered as a positive number to increase the net revenue requirement.</t>
  </si>
  <si>
    <t>Attachment O-WMU</t>
  </si>
  <si>
    <t>Total adjustments (line 6a + line 6b)</t>
  </si>
  <si>
    <t>Historic Year True-Up (line 6d less line 6e)</t>
  </si>
  <si>
    <t>RATE BASE:</t>
  </si>
  <si>
    <t>Historic Year Actual ATRR (Note FF)</t>
  </si>
  <si>
    <t>Historic Year Actual Revenue (Note GG)</t>
  </si>
  <si>
    <t xml:space="preserve">  Prepayments </t>
  </si>
  <si>
    <t>FF</t>
  </si>
  <si>
    <t>GG</t>
  </si>
  <si>
    <t>Line 6d represents the actual ATRR for the True-Up Year, utilizing Attachment O - WMU populated with true-up year actual operating results.</t>
  </si>
  <si>
    <t>Line 6e will represent the actual revenue WMU received during the True-Up year, related to the Transmission Facilities recovered under the Attachment O - WMU and will</t>
  </si>
  <si>
    <t>equal the amount reported on Page 4 of 5, Line 32.</t>
  </si>
  <si>
    <t>(line 1 minus line 6 plus line 6c plus line 6f plus line 6g)</t>
  </si>
  <si>
    <t>GROSS PLANT IN SERVICE (Note AA, Note EE)</t>
  </si>
  <si>
    <t>ACCUMULATED DEPRECIATION (Note AA, Note EE)</t>
  </si>
  <si>
    <t>NET PLANT IN SERVICE (Note EE)</t>
  </si>
  <si>
    <t>ADJUSTMENTS TO RATE BASE  (Note F, Note EE)</t>
  </si>
  <si>
    <t>IV.12.e  (Note G, Note EE)</t>
  </si>
  <si>
    <t>(Note G, Note EE)</t>
  </si>
  <si>
    <t>II.20.b (Note EE)</t>
  </si>
  <si>
    <t xml:space="preserve">  Long Term Debt (Note EE)</t>
  </si>
  <si>
    <t xml:space="preserve">  Proprietary Capital (Note EE)</t>
  </si>
  <si>
    <t xml:space="preserve">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Willmar may add a 50 basis point adder for RTO participation to the ROE or Proprietary Capital Cost up to the upper end
of the zone of reasonableness established by FERC. By use of this template, Willmar affirms that it: 1) commits to providing refunds (with interest at
the FERC refund interest rates) to the extent that the ROE or zone of reasonableness established in Docket No. EL14-12 (when applied to the refund
effective date established in Willmar’s forward-looking test year filing)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 The ROE associated with facilities for which a Transmission Customer receives credits
under Section 30.9 of the Tariff shall not be increased by the RTO Adder.
</t>
  </si>
  <si>
    <t>Pursuant to Attachment GG of the MISO Tariff, removes dollar amount of revenue requirements calculated pursuant to Attachment GG.</t>
  </si>
  <si>
    <t>Removes from revenue credits revenues that are distributed pursuant to Schedules associated with Attachment GG of the MISO Tariff, since the Transmission Owner's Attachment O revenue requirements have already been reduced by the Attachment GG revenue requirements.</t>
  </si>
  <si>
    <t>Pursuant to Attachment MM of the MISO Tariff, removes dollar amount of revenue requirements calculated pursuant to Attachment MM.</t>
  </si>
  <si>
    <t>Removes from revenue credits revenues that are distributed pursuant to Schedules associated with Attachment MM of the MISO Tariff, since the Transmission Owner's Attachment O revenue requirements have already been reduced by the Attachment MM revenue requirements.</t>
  </si>
  <si>
    <t>Willmar Municipal Utilities</t>
  </si>
  <si>
    <t>Forecasted 12 Months Ended December 31,</t>
  </si>
  <si>
    <t>EIA-412</t>
  </si>
  <si>
    <t>Additions</t>
  </si>
  <si>
    <t>Payment In Lieu of Taxes (Transfer)</t>
  </si>
  <si>
    <t>Payroll</t>
  </si>
  <si>
    <t>Attachment O, page 3, line 13</t>
  </si>
  <si>
    <t>Highway &amp; Vehicle</t>
  </si>
  <si>
    <t>Attachment O, page 3, line 14</t>
  </si>
  <si>
    <t>Property</t>
  </si>
  <si>
    <t>Attachment O, page 3, line 16</t>
  </si>
  <si>
    <t>Gross</t>
  </si>
  <si>
    <t>Attachment O, page 3, line 17</t>
  </si>
  <si>
    <t>Other</t>
  </si>
  <si>
    <t>Attachment O, page 3, line 18</t>
  </si>
  <si>
    <t>Attachment O, page 3, line 19</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</si>
  <si>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</si>
  <si>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</si>
  <si>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</si>
  <si>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</si>
  <si>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</si>
  <si>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</si>
  <si>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Line No.</t>
  </si>
  <si>
    <t xml:space="preserve">Month </t>
  </si>
  <si>
    <t>Year</t>
  </si>
  <si>
    <t>Transmission Related Land Held for Future Use</t>
  </si>
  <si>
    <t>December</t>
  </si>
  <si>
    <t>January</t>
  </si>
  <si>
    <t>February</t>
  </si>
  <si>
    <t>March</t>
  </si>
  <si>
    <t>April</t>
  </si>
  <si>
    <t>May</t>
  </si>
  <si>
    <t>June</t>
  </si>
  <si>
    <t>July</t>
  </si>
  <si>
    <t>August</t>
  </si>
  <si>
    <t>September</t>
  </si>
  <si>
    <t>October</t>
  </si>
  <si>
    <t>November</t>
  </si>
  <si>
    <t>13 Month Average</t>
  </si>
  <si>
    <t>Operation</t>
  </si>
  <si>
    <t>Maintenance</t>
  </si>
  <si>
    <t>Transmission Materials and Supplies</t>
  </si>
  <si>
    <t>Total Prepayments - Account 165</t>
  </si>
  <si>
    <t>Attachment O, Page 2</t>
  </si>
  <si>
    <t>Line 27</t>
  </si>
  <si>
    <t>Line 28</t>
  </si>
  <si>
    <t>GFA # 461</t>
  </si>
  <si>
    <t>12 CP Load</t>
  </si>
  <si>
    <t>GFA Load</t>
  </si>
  <si>
    <t>12 Month Average</t>
  </si>
  <si>
    <t>GFA Trans Rev - No revenues received</t>
  </si>
  <si>
    <t>Attach O, page 1, line 8</t>
  </si>
  <si>
    <t>Gross Plant in Service</t>
  </si>
  <si>
    <t>Production</t>
  </si>
  <si>
    <t>Distribution</t>
  </si>
  <si>
    <t xml:space="preserve">General </t>
  </si>
  <si>
    <t>Intangible</t>
  </si>
  <si>
    <t>Common</t>
  </si>
  <si>
    <t>Total Gross Plant in Service</t>
  </si>
  <si>
    <t>Line 1</t>
  </si>
  <si>
    <t>Line 2</t>
  </si>
  <si>
    <t>Line 3</t>
  </si>
  <si>
    <t>Line 4</t>
  </si>
  <si>
    <t>Line 5</t>
  </si>
  <si>
    <t>Accumulated Depreciation</t>
  </si>
  <si>
    <t>Total Accumulated Depreciation</t>
  </si>
  <si>
    <t>Line 7</t>
  </si>
  <si>
    <t>Line 8</t>
  </si>
  <si>
    <t>Line 9</t>
  </si>
  <si>
    <t>Line 10</t>
  </si>
  <si>
    <t>Line 11</t>
  </si>
  <si>
    <t>Net Plant</t>
  </si>
  <si>
    <t>Total Net Plant in Service</t>
  </si>
  <si>
    <t>FERC Account</t>
  </si>
  <si>
    <t>Transmission Plant</t>
  </si>
  <si>
    <t>Average Service Life In Years</t>
  </si>
  <si>
    <t>Calculated Annual Depreciation Rate</t>
  </si>
  <si>
    <t>Land and Land Rights*</t>
  </si>
  <si>
    <t>N/A</t>
  </si>
  <si>
    <t>Structures &amp; Improvements</t>
  </si>
  <si>
    <t>Station Equipment</t>
  </si>
  <si>
    <t>Poles &amp; Fixtures</t>
  </si>
  <si>
    <t>Overhead Conductors and Devices</t>
  </si>
  <si>
    <t>Underground Conductors and Devices</t>
  </si>
  <si>
    <t>General Plant</t>
  </si>
  <si>
    <t>Office Furniture and Equipment</t>
  </si>
  <si>
    <t>Transportation Equipment</t>
  </si>
  <si>
    <t>Tools, Shop and Garage Equipment</t>
  </si>
  <si>
    <t>Laboratory Equipment</t>
  </si>
  <si>
    <t>Power Operated Equipment</t>
  </si>
  <si>
    <t>Communication Equipment</t>
  </si>
  <si>
    <t>* Land is not depreciable.</t>
  </si>
  <si>
    <t>Note:  These depreciation rates will not be changed absent a FERC order.</t>
  </si>
  <si>
    <t>Adjustments to Rate Base</t>
  </si>
  <si>
    <t>Account 281 (enter as negative)</t>
  </si>
  <si>
    <t>Account 282  (enter as negative)</t>
  </si>
  <si>
    <t>Account 283  (enter as negative)</t>
  </si>
  <si>
    <t>Account 190</t>
  </si>
  <si>
    <t>Account 255  (enter as negative)</t>
  </si>
  <si>
    <t>Total Adjustments to Rate Base</t>
  </si>
  <si>
    <t>Outstanding Long-term Debt</t>
  </si>
  <si>
    <t>Unamortized Discount on Long-term Debt</t>
  </si>
  <si>
    <t xml:space="preserve"> Proprietary Capital (Retained Earnings)</t>
  </si>
  <si>
    <t>EIA Form 412</t>
  </si>
  <si>
    <t>Schedule 2, Line  33</t>
  </si>
  <si>
    <t>Schedule 2, Line  36</t>
  </si>
  <si>
    <t>Schedule 2, Line  32</t>
  </si>
  <si>
    <t>Transmission O&amp;M Expenses</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</si>
  <si>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</si>
  <si>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</si>
  <si>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</si>
  <si>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</si>
  <si>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</si>
  <si>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</si>
  <si>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</si>
  <si>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</si>
  <si>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</si>
  <si>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</si>
  <si>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</si>
  <si>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</si>
  <si>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</si>
  <si>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</si>
  <si>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</si>
  <si>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</si>
  <si>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</si>
  <si>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</si>
  <si>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</si>
  <si>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Total Operation Expense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</si>
  <si>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</si>
  <si>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</si>
  <si>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</si>
  <si>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</si>
  <si>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</si>
  <si>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</si>
  <si>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</si>
  <si>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</si>
  <si>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</si>
  <si>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</si>
  <si>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Maintenance Expense</t>
  </si>
  <si>
    <t>Total Transmission O&amp;M Expense</t>
  </si>
  <si>
    <t>Attachment O, page 3, line 1 and EIA 412, Schd 7, line 8</t>
  </si>
  <si>
    <t>Please provide the following information (these questions to be answered for the actual data):</t>
  </si>
  <si>
    <t xml:space="preserve">What line of the audited financial statements includes the Transmission O&amp;M Expense?  </t>
  </si>
  <si>
    <t xml:space="preserve">Provide a brief but descriptive list of the items and associated amounts reflected in that line of the financial statements   </t>
  </si>
  <si>
    <t>Customer Accts &amp; Admin and General Expenses</t>
  </si>
  <si>
    <t>Customer Accounts Expenses</t>
  </si>
  <si>
    <t>901 – Supervision</t>
  </si>
  <si>
    <t>902 – Meter Reading Expenses</t>
  </si>
  <si>
    <t>903 – Customer Records and Collection Expenses</t>
  </si>
  <si>
    <t>904 – Uncollectible Accounts</t>
  </si>
  <si>
    <t>905 – Miscellaneous Customer Accounts Expenses</t>
  </si>
  <si>
    <t>Total Customer Accounts Expense</t>
  </si>
  <si>
    <t>EIA 412, Sch 7, line 10</t>
  </si>
  <si>
    <t>Customer Service and Informational Expenses</t>
  </si>
  <si>
    <t>907 – Supervision</t>
  </si>
  <si>
    <t>908 – Customer Assistance Expenses</t>
  </si>
  <si>
    <t>909 – Informational and Instructional Expenses</t>
  </si>
  <si>
    <t>910 – Miscellaneous Customer Service and Informational Expenses</t>
  </si>
  <si>
    <t>Total Customer Service and Informational Expenses</t>
  </si>
  <si>
    <t>Sales Expenses</t>
  </si>
  <si>
    <t>911 – Supervision</t>
  </si>
  <si>
    <t>912 – Demonstrating and Selling Expenses</t>
  </si>
  <si>
    <t>913 – Advertising Expenses</t>
  </si>
  <si>
    <t>916 – Miscellaneous Sales Expenses</t>
  </si>
  <si>
    <t>EIA 412, Sch 7, line 12</t>
  </si>
  <si>
    <t>Administrative and General Expenses</t>
  </si>
  <si>
    <t xml:space="preserve">      920 – Administrative and General Salaries</t>
  </si>
  <si>
    <t>921 – Office Supplies and Expenses</t>
  </si>
  <si>
    <t>922 – Administrative Expenses Transferred Credit</t>
  </si>
  <si>
    <t>923 – Outside Services Employed</t>
  </si>
  <si>
    <t>924 – Property Insurance</t>
  </si>
  <si>
    <t>925 – Injuries and Damages</t>
  </si>
  <si>
    <t>926 – Employee Pension and Benefits</t>
  </si>
  <si>
    <t>927 – Franchise Requirements</t>
  </si>
  <si>
    <t>928 – Regulatory Commission Expenses</t>
  </si>
  <si>
    <t>929 – Duplicate Charges Credit</t>
  </si>
  <si>
    <t>930.1 – General Advertising Expenses</t>
  </si>
  <si>
    <t>930.2 – Miscellaneous General Expenses</t>
  </si>
  <si>
    <t>931 – Rents</t>
  </si>
  <si>
    <t>935 – Maintenance of General Plant</t>
  </si>
  <si>
    <t>Attach O, page 3, line 3 and EAI 412, Sch 7, line 13</t>
  </si>
  <si>
    <t>Please provide the following information(these questions to be answered for the actual data):</t>
  </si>
  <si>
    <t xml:space="preserve">What line of the audited financial statements includes the A&amp;G Expense?   </t>
  </si>
  <si>
    <t xml:space="preserve">Provide a brief but descriptive list of the items and associated amounts reflected in that line of the financial statements  </t>
  </si>
  <si>
    <t>Attachment O, page 3, line 4</t>
  </si>
  <si>
    <t>Account</t>
  </si>
  <si>
    <t>FERC fees recorded to expense during the year</t>
  </si>
  <si>
    <t>Charged</t>
  </si>
  <si>
    <t>FERC fees payable to FERC</t>
  </si>
  <si>
    <t>FERC fees paid to MISO via Schedule 10-FERC</t>
  </si>
  <si>
    <t>Other FERC fees paid</t>
  </si>
  <si>
    <t>EPRI Costs</t>
  </si>
  <si>
    <t>recorded in USofA account ________, reflected in I/S in _______ exp</t>
  </si>
  <si>
    <t>Commission Expense</t>
  </si>
  <si>
    <t>Fuel adjustment clause docket XX</t>
  </si>
  <si>
    <t>recorded in USofA account ________, reflected in I/S in _________ exp</t>
  </si>
  <si>
    <t>Non Safety Advertising (provide a brief but descriptive list of charges</t>
  </si>
  <si>
    <t>Advertising costs for required public notices in local newspapers.</t>
  </si>
  <si>
    <t>recorded in USofA account  930 reflected in I/S in ________ exp</t>
  </si>
  <si>
    <t>Xxxxxxxx</t>
  </si>
  <si>
    <t>recorded in USofA account ________, reflected in I/S in ________ exp</t>
  </si>
  <si>
    <t>Report on Attachment O, page 4, line 12</t>
  </si>
  <si>
    <t>Report on Attachment O, page 4, line 13</t>
  </si>
  <si>
    <t>Report on Attachment O, page 4, line 14</t>
  </si>
  <si>
    <t>Other _1/</t>
  </si>
  <si>
    <t>Report on Attachment O, page 4, line 15</t>
  </si>
  <si>
    <t>Does this tie to a line item on the audited f/s?</t>
  </si>
  <si>
    <t xml:space="preserve">If not, please provide an explanation and a  work paper </t>
  </si>
  <si>
    <t>reconciling to the audited financial statements</t>
  </si>
  <si>
    <t>Confirm that the above does not contain any capitalized wages.</t>
  </si>
  <si>
    <t>Confirm that the above does not contain any  A&amp;G related wages</t>
  </si>
  <si>
    <t>_1/  Other is to include salaries charged to administer customer accounts 901 - 916 as defined by the</t>
  </si>
  <si>
    <t>USofA</t>
  </si>
  <si>
    <t>Account 454 (Rent from Electric Property)</t>
  </si>
  <si>
    <t>Attachment O, page 4, line 30</t>
  </si>
  <si>
    <t>Property Description</t>
  </si>
  <si>
    <t>XXXXX</t>
  </si>
  <si>
    <t>Total Rent Income</t>
  </si>
  <si>
    <t>Includes income related only to transmission facilities,</t>
  </si>
  <si>
    <t>such as pole attachments, rentals and special use.</t>
  </si>
  <si>
    <t xml:space="preserve">
</t>
  </si>
  <si>
    <t>Should tie to a financial statement line item - if not please</t>
  </si>
  <si>
    <t>indicate what line of the audited financials reflects Pre Payments</t>
  </si>
  <si>
    <t xml:space="preserve">and indicate what other items are included in that financial statement line item </t>
  </si>
  <si>
    <t>by providing a brief but descriptive explanation</t>
  </si>
  <si>
    <t>Account 456.1 (Other Electric Revenues)</t>
  </si>
  <si>
    <t>MISO Schedule 7 &amp; 8</t>
  </si>
  <si>
    <t>MISO Schedule 9</t>
  </si>
  <si>
    <t>MISO Schedule 1</t>
  </si>
  <si>
    <t>MISO Schedule 2</t>
  </si>
  <si>
    <t>MISO Schedule 24</t>
  </si>
  <si>
    <t>MISO Schedule 26 (NUC)</t>
  </si>
  <si>
    <t>MISO Schedule 26-A (MVP)</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</si>
  <si>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</si>
  <si>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</si>
  <si>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</si>
  <si>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</si>
  <si>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</si>
  <si>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</si>
  <si>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</si>
  <si>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</si>
  <si>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</si>
  <si>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December 31,</t>
  </si>
  <si>
    <t>Projected Capital Structure</t>
  </si>
  <si>
    <t>Projected Materials, Supplies and Prepayments</t>
  </si>
  <si>
    <t>Projected Transmission-Related Land Held for Future Use</t>
  </si>
  <si>
    <t>Projected Adjustment to Rate Base</t>
  </si>
  <si>
    <t>Projected Depreciation Rates</t>
  </si>
  <si>
    <t>Projected Plant Balances</t>
  </si>
  <si>
    <t>Projected Divisor</t>
  </si>
  <si>
    <t>Projected Transmission O&amp;M</t>
  </si>
  <si>
    <t>Projected Admin &amp; General</t>
  </si>
  <si>
    <t>Projected FERC Fees</t>
  </si>
  <si>
    <t>Projected EPRI Reg Comm Non Safety</t>
  </si>
  <si>
    <t xml:space="preserve"> Indicate by yellow highlight if Transmission Related</t>
  </si>
  <si>
    <t xml:space="preserve">Regulatory Commission Expense (provide a brief but descriptive list of charges) </t>
  </si>
  <si>
    <t>Projected Taxes other than Income Taxes</t>
  </si>
  <si>
    <t>Projected Wages and Salaries</t>
  </si>
  <si>
    <t>Projected Account 454</t>
  </si>
  <si>
    <t>Projected Account 456.1</t>
  </si>
  <si>
    <t>Revenues</t>
  </si>
  <si>
    <t>recorded in USofA account 928, reflected in I/S in Administrative and General exp</t>
  </si>
  <si>
    <t>Attachment O - Pg 2 Line 25</t>
  </si>
  <si>
    <t>"Customer Accounts" and "Administrative and General"</t>
  </si>
  <si>
    <t>Wages and all benefits and payroll deductions and pensions, supplies and expenses, third-party consultants, attorneys, consultants, all insurance for property/casualty and workers compensation, vehicle operations and maintenance and maintenance of the offices.</t>
  </si>
  <si>
    <t xml:space="preserve">"Customer Accounts"  </t>
  </si>
  <si>
    <t>Wages and all benefits and payroll deductions and pensions, supplies and expenses, third-party consultants, all meter reading operations and including bad debts</t>
  </si>
  <si>
    <t>Electric Only</t>
  </si>
  <si>
    <t>Transmission expenses are separately reported on the income statement of the auditied financial statements.</t>
  </si>
  <si>
    <t>All operations and maintenance expenditures related to the transmission facilities/assets of the utility, including wages, outside services, materials, supplies and compliance. Also includes the cost of transmission of electricity by others.</t>
  </si>
  <si>
    <t>If you report zero for accounts 561.4 &amp; 561.8 - please provide a brief written statement indicating that you do not have any of these expenses.</t>
  </si>
  <si>
    <t>WMU has no scheduling, system control or dispatch services.</t>
  </si>
  <si>
    <t>If you report zero for account 565 - please provide a brief written statement indicating that you do not have any of these expenses.</t>
  </si>
  <si>
    <t>If you have account 565 expenses - provide brief but descriptive detail of the 565 expenses</t>
  </si>
  <si>
    <t>Depreciation Expense</t>
  </si>
  <si>
    <t>yes</t>
  </si>
  <si>
    <t>Transmission expenses are billed by Great River Energy and MISO.</t>
  </si>
  <si>
    <t>FERC fees are paid to MISO via Schedule 10 FERC and is booked to Account 565.03</t>
  </si>
  <si>
    <t>Total Electric Gross Plant</t>
  </si>
  <si>
    <t>Projected Long Term Interest on Accts 428, 429 and 430</t>
  </si>
  <si>
    <t>Long Term Interest</t>
  </si>
  <si>
    <t>Income deductions from Interest</t>
  </si>
  <si>
    <r>
      <t xml:space="preserve">Provide a brief but descriptive list of the items and associated amounts reflected in that line of the financial statements    </t>
    </r>
    <r>
      <rPr>
        <sz val="11"/>
        <color theme="9" tint="-0.499984740745262"/>
        <rFont val="Calibri"/>
        <family val="2"/>
      </rPr>
      <t xml:space="preserve"> </t>
    </r>
  </si>
  <si>
    <r>
      <t xml:space="preserve">What line of the audited financial statements includes the Customer Account, Customer Service, and Sales Expense?  </t>
    </r>
    <r>
      <rPr>
        <sz val="11"/>
        <color theme="9" tint="-0.499984740745262"/>
        <rFont val="Calibri"/>
        <family val="2"/>
      </rPr>
      <t xml:space="preserve">  </t>
    </r>
  </si>
  <si>
    <t>Projected 12 Months Ended December 31,</t>
  </si>
  <si>
    <t>Divisor Sum (14-28)</t>
  </si>
  <si>
    <t>Attach O, page 1, line 13</t>
  </si>
  <si>
    <t>Attach O, page 1, line 15</t>
  </si>
  <si>
    <t>Projected 12 Months Ended December 31, 2018</t>
  </si>
  <si>
    <t>This does not include wages for water and district heating.</t>
  </si>
  <si>
    <t>Estimate based on previous year</t>
  </si>
  <si>
    <t>Points to 13 mo avg</t>
  </si>
  <si>
    <t xml:space="preserve">Attachment O Workpapers - </t>
  </si>
  <si>
    <t>Electric Division - Transmission only</t>
  </si>
  <si>
    <t>Rate Base</t>
  </si>
  <si>
    <t>Accumulate Depreciation</t>
  </si>
  <si>
    <t>Net Plant in Service</t>
  </si>
  <si>
    <t>CWIP for CON Projects</t>
  </si>
  <si>
    <t>Land Held for Future use</t>
  </si>
  <si>
    <t>Working Capital</t>
  </si>
  <si>
    <t>Operating Expenses</t>
  </si>
  <si>
    <t>Long Term Debt</t>
  </si>
  <si>
    <t>Proprietary Capital</t>
  </si>
  <si>
    <t>Weighted Cost of Long Term Debt</t>
  </si>
  <si>
    <t>Weighted Cost of Proprietary Capital</t>
  </si>
  <si>
    <t>Rate of Return</t>
  </si>
  <si>
    <t>Allowed Return</t>
  </si>
  <si>
    <t>Revenue Requirement</t>
  </si>
  <si>
    <t>O&amp;M</t>
  </si>
  <si>
    <t>Taxes Other than Income Taxes</t>
  </si>
  <si>
    <t>Income Taxes</t>
  </si>
  <si>
    <t>Return</t>
  </si>
  <si>
    <t>Gross Revenue Requirement</t>
  </si>
  <si>
    <t>Net Revenue Requirement</t>
  </si>
  <si>
    <t>Revenue Credits</t>
  </si>
  <si>
    <t>2016 Rev Req at</t>
  </si>
  <si>
    <t>Calculation of 2016 Weighted Attachment O Rev Req</t>
  </si>
  <si>
    <t>Percent of Actual Revenue Requirement at ROE</t>
  </si>
  <si>
    <t>Weighted Net Actual 2016 Rev Requirement</t>
  </si>
  <si>
    <t>Net Actual Revenue Received 2016</t>
  </si>
  <si>
    <t>Percent of Revenue Received at ROE</t>
  </si>
  <si>
    <t>Weighted Net Projected 2016 Rev Requirement</t>
  </si>
  <si>
    <t>Total Under/(Over) Recovery</t>
  </si>
  <si>
    <t>Monthly Interest Rate (Over collection = FERC rate, Under collection = FERC rate)</t>
  </si>
  <si>
    <t>Interest For 24 Months</t>
  </si>
  <si>
    <t>Total 2016 Attachment O True-up Under/(Over) Recovery</t>
  </si>
  <si>
    <t xml:space="preserve">2018 Projected </t>
  </si>
  <si>
    <t>Projected - 12 Months Ended December 31, 2018</t>
  </si>
  <si>
    <t>For the 12 months ended 12/31/18</t>
  </si>
  <si>
    <t>ROE</t>
  </si>
  <si>
    <t>2016 True-Up</t>
  </si>
  <si>
    <t>Attachment O 2016 True-up calculation  (Schedule 9)</t>
  </si>
  <si>
    <t xml:space="preserve">2016 Weighted </t>
  </si>
  <si>
    <t>Rev Req</t>
  </si>
  <si>
    <r>
      <t>Net</t>
    </r>
    <r>
      <rPr>
        <i/>
        <sz val="10"/>
        <rFont val="Arial"/>
        <family val="2"/>
      </rPr>
      <t xml:space="preserve"> Actual 2016 </t>
    </r>
    <r>
      <rPr>
        <sz val="10"/>
        <rFont val="Arial"/>
        <family val="2"/>
      </rPr>
      <t>Rev Req (Actual Attach O, Pg 1, Line 7)</t>
    </r>
  </si>
  <si>
    <t>Attachment GG 2016 True-up ( Schedule 26)</t>
  </si>
  <si>
    <t>If you have no Attachment GG projects you do not need to fill this section out</t>
  </si>
  <si>
    <t>2016 Weighted Actual</t>
  </si>
  <si>
    <t>Calculation of Weighted Rev Req for 2016 True-up</t>
  </si>
  <si>
    <t>Actual Attachment GG Rev Req for True-Up Year (Actual Attach GG, pg 2, col 10) 1</t>
  </si>
  <si>
    <t>Weighted Actual Attachment GG Rev Req for 2016 True-Up</t>
  </si>
  <si>
    <r>
      <t>Actual Attachment GG Revenues Received for 2016</t>
    </r>
    <r>
      <rPr>
        <vertAlign val="superscript"/>
        <sz val="10"/>
        <rFont val="Arial"/>
        <family val="2"/>
      </rPr>
      <t>1</t>
    </r>
  </si>
  <si>
    <t>Under/(Over) Recovery of 2016 GG Rev Req</t>
  </si>
  <si>
    <t>Total 2016 Attachment GG True-up Under/(Over) Recovery</t>
  </si>
  <si>
    <r>
      <rPr>
        <vertAlign val="superscript"/>
        <sz val="11"/>
        <color theme="1"/>
        <rFont val="Calibri"/>
        <family val="2"/>
        <scheme val="minor"/>
      </rPr>
      <t>1</t>
    </r>
    <r>
      <rPr>
        <sz val="12"/>
        <rFont val="Arial MT"/>
      </rPr>
      <t xml:space="preserve"> Amount excludes True-Up Adjustment, as reported in True-Up Year projected Attachment GG, page 2, column 11. </t>
    </r>
  </si>
  <si>
    <t xml:space="preserve">Some TOs incl the True-up Adjustment - that is ok, but assure you are consistent for actual rev req, projected rev req and </t>
  </si>
  <si>
    <t>actual revenue collected</t>
  </si>
  <si>
    <t>Attachment MM 2016 True-up  (Schedule 26-A)</t>
  </si>
  <si>
    <t>If you have no Attachment MM projects you do not need to fill this section out</t>
  </si>
  <si>
    <t xml:space="preserve">2016 Weighted Actual Rev Req </t>
  </si>
  <si>
    <t>Calculation of Weighted Rev Req for Revised 2016 True-up</t>
  </si>
  <si>
    <t>Actual Attachment MM Rev Req for True-Up Year (Actual Attach GG, pg 2, col 14)</t>
  </si>
  <si>
    <t>Weighted Actual Attachment MM Rev Req for 2016 True-Up</t>
  </si>
  <si>
    <r>
      <t>Actual Attachment MM Revenues for 2016</t>
    </r>
    <r>
      <rPr>
        <vertAlign val="superscript"/>
        <sz val="10"/>
        <rFont val="Arial"/>
        <family val="2"/>
      </rPr>
      <t>1</t>
    </r>
  </si>
  <si>
    <t>Under/(Over) Recovery of 2016 MM Rev Req</t>
  </si>
  <si>
    <t>Total 2016 Attachment MM True-up Under/(Over) Recovery</t>
  </si>
  <si>
    <r>
      <rPr>
        <vertAlign val="superscript"/>
        <sz val="11"/>
        <color theme="1"/>
        <rFont val="Calibri"/>
        <family val="2"/>
        <scheme val="minor"/>
      </rPr>
      <t>1</t>
    </r>
    <r>
      <rPr>
        <sz val="12"/>
        <rFont val="Arial MT"/>
      </rPr>
      <t xml:space="preserve"> Amount excludes True-Up Adjustment, as reported in True-Up Year projected Attachment MM, page 2, column 15.</t>
    </r>
  </si>
  <si>
    <t>Actual 2016 Attachment O True-Up Calculation for 2018 Rates</t>
  </si>
  <si>
    <t>Based on ROE 10.82%</t>
  </si>
  <si>
    <t xml:space="preserve">Projected 12 Months Ended </t>
  </si>
  <si>
    <t xml:space="preserve">Attachment O and Workpapers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</si>
</sst>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quot;$&quot;* #,##0_);_(&quot;$&quot;* \(#,##0\);_(&quot;$&quot;* &quot;-&quot;??_);_(@_)"/>
    <numFmt numFmtId="174" formatCode="_(* #,##0_);_(* \(#,##0\);_(* &quot;-&quot;??_);_(@_)"/>
    <numFmt numFmtId="175" formatCode="#,##0.0"/>
    <numFmt numFmtId="176" formatCode="0.00_)"/>
    <numFmt numFmtId="177" formatCode="0.0000%"/>
  </numFmts>
  <fonts count="129">
    <font>
      <sz val="12"/>
      <name val="Arial MT"/>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name val="Arial MT"/>
    </font>
    <font>
      <b/>
      <sz val="11"/>
      <color theme="1"/>
      <name val="Calibri"/>
      <family val="2"/>
      <scheme val="minor"/>
    </font>
    <font>
      <sz val="10"/>
      <name val="Arial"/>
      <family val="2"/>
    </font>
    <font>
      <b/>
      <sz val="12"/>
      <name val="Arial"/>
      <family val="2"/>
    </font>
    <font>
      <sz val="12"/>
      <name val="Arial"/>
      <family val="2"/>
    </font>
    <font>
      <b/>
      <sz val="11"/>
      <name val="Arial"/>
      <family val="2"/>
    </font>
    <font>
      <b/>
      <sz val="10"/>
      <name val="Arial"/>
      <family val="2"/>
    </font>
    <font>
      <sz val="11"/>
      <color indexed="8"/>
      <name val="Calibri"/>
      <family val="2"/>
    </font>
    <font>
      <sz val="8"/>
      <name val="Arial"/>
      <family val="2"/>
    </font>
    <font>
      <b/>
      <sz val="14"/>
      <name val="Arial"/>
      <family val="2"/>
    </font>
    <font>
      <b/>
      <i/>
      <sz val="14"/>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b/>
      <i/>
      <sz val="16"/>
      <name val="Helv"/>
    </font>
    <font>
      <sz val="10"/>
      <name val="Helv"/>
    </font>
    <font>
      <sz val="10"/>
      <color theme="1"/>
      <name val="Arial"/>
      <family val="2"/>
    </font>
    <font>
      <sz val="10"/>
      <color indexed="8"/>
      <name val="Arial"/>
      <family val="2"/>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b/>
      <sz val="10"/>
      <color indexed="8"/>
      <name val="Arial"/>
      <family val="2"/>
    </font>
    <font>
      <b/>
      <i/>
      <sz val="10"/>
      <color indexed="8"/>
      <name val="Arial"/>
      <family val="2"/>
    </font>
    <font>
      <sz val="12"/>
      <name val="Calibri"/>
      <family val="2"/>
      <scheme val="minor"/>
    </font>
    <font>
      <sz val="10"/>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u val="singleAccounting"/>
      <sz val="11"/>
      <color theme="1"/>
      <name val="Calibri"/>
      <family val="2"/>
      <scheme val="minor"/>
    </font>
    <font>
      <b/>
      <u val="doubleAccounting"/>
      <sz val="11"/>
      <color theme="1"/>
      <name val="Calibri"/>
      <family val="2"/>
      <scheme val="minor"/>
    </font>
    <font>
      <sz val="10"/>
      <color theme="1"/>
      <name val="Calibri"/>
      <family val="2"/>
      <scheme val="minor"/>
    </font>
    <font>
      <b/>
      <u/>
      <sz val="12"/>
      <color theme="1"/>
      <name val="Calibri"/>
      <family val="2"/>
      <scheme val="minor"/>
    </font>
    <font>
      <b/>
      <u/>
      <sz val="11"/>
      <color theme="1"/>
      <name val="Calibri"/>
      <family val="2"/>
      <scheme val="minor"/>
    </font>
    <font>
      <sz val="12"/>
      <color theme="1"/>
      <name val="Times New Roman"/>
      <family val="1"/>
    </font>
    <font>
      <b/>
      <sz val="12"/>
      <color theme="1"/>
      <name val="Times New Roman"/>
      <family val="1"/>
    </font>
    <font>
      <b/>
      <sz val="18"/>
      <color theme="1"/>
      <name val="Calibri"/>
      <family val="2"/>
      <scheme val="minor"/>
    </font>
    <font>
      <b/>
      <sz val="12"/>
      <name val="Arial MT"/>
    </font>
    <font>
      <u val="singleAccounting"/>
      <sz val="12"/>
      <color theme="1"/>
      <name val="Arial"/>
      <family val="2"/>
    </font>
    <font>
      <b/>
      <sz val="10"/>
      <color theme="1"/>
      <name val="Calibri"/>
      <family val="2"/>
      <scheme val="minor"/>
    </font>
    <font>
      <b/>
      <sz val="14"/>
      <color theme="1"/>
      <name val="Arial"/>
      <family val="2"/>
    </font>
    <font>
      <sz val="11"/>
      <color theme="1"/>
      <name val="Arial"/>
      <family val="2"/>
    </font>
    <font>
      <sz val="12"/>
      <color theme="1"/>
      <name val="Arial"/>
      <family val="2"/>
    </font>
    <font>
      <strike/>
      <sz val="11"/>
      <color rgb="FFFF00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doubleAccounting"/>
      <sz val="12"/>
      <color theme="1"/>
      <name val="Calibri"/>
      <family val="2"/>
      <scheme val="minor"/>
    </font>
    <font>
      <b/>
      <sz val="14"/>
      <name val="Calibri"/>
      <family val="2"/>
      <scheme val="minor"/>
    </font>
    <font>
      <sz val="14"/>
      <name val="Calibri"/>
      <family val="2"/>
      <scheme val="minor"/>
    </font>
    <font>
      <b/>
      <u val="doubleAccounting"/>
      <sz val="9"/>
      <color theme="1"/>
      <name val="Calibri"/>
      <family val="2"/>
      <scheme val="minor"/>
    </font>
    <font>
      <b/>
      <sz val="11"/>
      <color rgb="FFFF0000"/>
      <name val="Calibri"/>
      <family val="2"/>
      <scheme val="minor"/>
    </font>
    <font>
      <b/>
      <strike/>
      <sz val="11"/>
      <color rgb="FFFF0000"/>
      <name val="Calibri"/>
      <family val="2"/>
      <scheme val="minor"/>
    </font>
    <font>
      <b/>
      <sz val="11"/>
      <color rgb="FFFF0000"/>
      <name val="Calibri"/>
      <family val="2"/>
    </font>
    <font>
      <b/>
      <sz val="12"/>
      <color rgb="FFFF0000"/>
      <name val="Arial MT"/>
    </font>
    <font>
      <b/>
      <u val="doubleAccounting"/>
      <sz val="16"/>
      <color theme="1"/>
      <name val="Calibri"/>
      <family val="2"/>
      <scheme val="minor"/>
    </font>
    <font>
      <b/>
      <sz val="10"/>
      <name val="Arial MT"/>
    </font>
    <font>
      <sz val="12"/>
      <color theme="1"/>
      <name val="Calibri"/>
      <family val="2"/>
    </font>
    <font>
      <b/>
      <sz val="12"/>
      <color theme="1"/>
      <name val="Calibri"/>
      <family val="2"/>
    </font>
    <font>
      <sz val="11"/>
      <color theme="1"/>
      <name val="Calibri"/>
      <family val="2"/>
    </font>
    <font>
      <b/>
      <sz val="11"/>
      <color theme="1"/>
      <name val="Calibri"/>
      <family val="2"/>
    </font>
    <font>
      <sz val="11"/>
      <color theme="9" tint="-0.499984740745262"/>
      <name val="Calibri"/>
      <family val="2"/>
    </font>
    <font>
      <b/>
      <u val="singleAccounting"/>
      <sz val="11"/>
      <color theme="1"/>
      <name val="Calibri"/>
      <family val="2"/>
      <scheme val="minor"/>
    </font>
    <font>
      <u val="singleAccounting"/>
      <sz val="12"/>
      <color theme="1"/>
      <name val="Calibri"/>
      <family val="2"/>
      <scheme val="minor"/>
    </font>
    <font>
      <b/>
      <sz val="12"/>
      <color rgb="FFFF0000"/>
      <name val="Calibri"/>
      <family val="2"/>
      <scheme val="minor"/>
    </font>
    <font>
      <strike/>
      <sz val="12"/>
      <color rgb="FFFF0000"/>
      <name val="Calibri"/>
      <family val="2"/>
      <scheme val="minor"/>
    </font>
    <font>
      <sz val="12"/>
      <color rgb="FFFF0000"/>
      <name val="Calibri"/>
      <family val="2"/>
      <scheme val="minor"/>
    </font>
    <font>
      <b/>
      <sz val="16"/>
      <color theme="1"/>
      <name val="Calibri"/>
      <family val="2"/>
      <scheme val="minor"/>
    </font>
    <font>
      <sz val="11"/>
      <name val="Calibri"/>
      <family val="2"/>
      <scheme val="minor"/>
    </font>
    <font>
      <b/>
      <sz val="11"/>
      <name val="Calibri"/>
      <family val="2"/>
      <scheme val="minor"/>
    </font>
    <font>
      <b/>
      <sz val="12"/>
      <name val="Calibri"/>
      <family val="2"/>
      <scheme val="minor"/>
    </font>
    <font>
      <vertAlign val="superscript"/>
      <sz val="11"/>
      <color theme="1"/>
      <name val="Calibri"/>
      <family val="2"/>
      <scheme val="minor"/>
    </font>
    <font>
      <b/>
      <sz val="10"/>
      <color rgb="FF0000FF"/>
      <name val="Arial"/>
      <family val="2"/>
    </font>
    <font>
      <vertAlign val="superscript"/>
      <sz val="10"/>
      <name val="Arial"/>
      <family val="2"/>
    </font>
    <font>
      <b/>
      <sz val="10"/>
      <color rgb="FFFF0000"/>
      <name val="Arial"/>
      <family val="2"/>
    </font>
    <font>
      <b/>
      <sz val="10"/>
      <color rgb="FF0070C0"/>
      <name val="Arial"/>
      <family val="2"/>
    </font>
    <font>
      <sz val="12"/>
      <color theme="0" tint="-0.34998626667073579"/>
      <name val="Times New Roman"/>
      <family val="1"/>
    </font>
    <font>
      <sz val="9"/>
      <color theme="0" tint="-0.14999847407452621"/>
      <name val="Arial MT"/>
    </font>
    <font>
      <sz val="9"/>
      <name val="Calibri"/>
      <family val="2"/>
      <scheme val="minor"/>
    </font>
    <font>
      <b/>
      <sz val="8"/>
      <name val="Arial"/>
      <family val="2"/>
    </font>
    <font>
      <b/>
      <sz val="9"/>
      <name val="Calibri"/>
      <family val="2"/>
      <scheme val="minor"/>
    </font>
    <font>
      <sz val="12"/>
      <color theme="0" tint="-0.14999847407452621"/>
      <name val="Calibri"/>
      <family val="2"/>
      <scheme val="minor"/>
    </font>
  </fonts>
  <fills count="36">
    <fill>
      <patternFill patternType="none"/>
    </fill>
    <fill>
      <patternFill patternType="gray125"/>
    </fill>
    <fill>
      <patternFill patternType="solid">
        <fgColor indexed="43"/>
        <bgColor indexed="64"/>
      </patternFill>
    </fill>
    <fill>
      <patternFill patternType="solid">
        <fgColor rgb="FFFFFFCC"/>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2" tint="-9.9978637043366805E-2"/>
        <bgColor indexed="64"/>
      </patternFill>
    </fill>
  </fills>
  <borders count="32">
    <border>
      <left/>
      <right/>
      <top/>
      <bottom/>
      <diagonal/>
    </border>
    <border>
      <left/>
      <right/>
      <top/>
      <bottom style="medium">
        <color indexed="64"/>
      </bottom>
      <diagonal/>
    </border>
    <border>
      <left/>
      <right/>
      <top/>
      <bottom style="double">
        <color indexed="64"/>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s>
  <cellStyleXfs count="2504">
    <xf numFmtId="172" fontId="0" fillId="0" borderId="0" applyProtection="0"/>
    <xf numFmtId="43" fontId="20" fillId="0" borderId="0" applyFont="0" applyFill="0" applyBorder="0" applyAlignment="0" applyProtection="0"/>
    <xf numFmtId="44" fontId="20"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0" fontId="10" fillId="0" borderId="0"/>
    <xf numFmtId="172" fontId="20" fillId="0" borderId="0" applyProtection="0"/>
    <xf numFmtId="172" fontId="28" fillId="0" borderId="0" applyFill="0"/>
    <xf numFmtId="172" fontId="28" fillId="0" borderId="0">
      <alignment horizontal="center"/>
    </xf>
    <xf numFmtId="0" fontId="28" fillId="0" borderId="0" applyFill="0">
      <alignment horizontal="center"/>
    </xf>
    <xf numFmtId="172" fontId="29" fillId="0" borderId="10" applyFill="0"/>
    <xf numFmtId="0" fontId="22" fillId="0" borderId="0" applyFont="0" applyAlignment="0"/>
    <xf numFmtId="0" fontId="30" fillId="0" borderId="0" applyFill="0">
      <alignment vertical="top"/>
    </xf>
    <xf numFmtId="0" fontId="29" fillId="0" borderId="0" applyFill="0">
      <alignment horizontal="left" vertical="top"/>
    </xf>
    <xf numFmtId="172" fontId="23" fillId="0" borderId="5" applyFill="0"/>
    <xf numFmtId="0" fontId="22" fillId="0" borderId="0" applyNumberFormat="0" applyFont="0" applyAlignment="0"/>
    <xf numFmtId="0" fontId="30" fillId="0" borderId="0" applyFill="0">
      <alignment wrapText="1"/>
    </xf>
    <xf numFmtId="0" fontId="29" fillId="0" borderId="0" applyFill="0">
      <alignment horizontal="left" vertical="top" wrapText="1"/>
    </xf>
    <xf numFmtId="172" fontId="25" fillId="0" borderId="0" applyFill="0"/>
    <xf numFmtId="0" fontId="31" fillId="0" borderId="0" applyNumberFormat="0" applyFont="0" applyAlignment="0">
      <alignment horizontal="center"/>
    </xf>
    <xf numFmtId="0" fontId="32" fillId="0" borderId="0" applyFill="0">
      <alignment vertical="top" wrapText="1"/>
    </xf>
    <xf numFmtId="0" fontId="23" fillId="0" borderId="0" applyFill="0">
      <alignment horizontal="left" vertical="top" wrapText="1"/>
    </xf>
    <xf numFmtId="172" fontId="22" fillId="0" borderId="0" applyFill="0"/>
    <xf numFmtId="0" fontId="31" fillId="0" borderId="0" applyNumberFormat="0" applyFont="0" applyAlignment="0">
      <alignment horizontal="center"/>
    </xf>
    <xf numFmtId="0" fontId="33" fillId="0" borderId="0" applyFill="0">
      <alignment vertical="center" wrapText="1"/>
    </xf>
    <xf numFmtId="0" fontId="24" fillId="0" borderId="0">
      <alignment horizontal="left" vertical="center" wrapText="1"/>
    </xf>
    <xf numFmtId="172" fontId="34" fillId="0" borderId="0" applyFill="0"/>
    <xf numFmtId="0" fontId="31" fillId="0" borderId="0" applyNumberFormat="0" applyFont="0" applyAlignment="0">
      <alignment horizontal="center"/>
    </xf>
    <xf numFmtId="0" fontId="35" fillId="0" borderId="0" applyFill="0">
      <alignment horizontal="center" vertical="center" wrapText="1"/>
    </xf>
    <xf numFmtId="0" fontId="22" fillId="0" borderId="0" applyFill="0">
      <alignment horizontal="center" vertical="center" wrapText="1"/>
    </xf>
    <xf numFmtId="172" fontId="36" fillId="0" borderId="0" applyFill="0"/>
    <xf numFmtId="0" fontId="31" fillId="0" borderId="0" applyNumberFormat="0" applyFont="0" applyAlignment="0">
      <alignment horizontal="center"/>
    </xf>
    <xf numFmtId="0" fontId="37" fillId="0" borderId="0" applyFill="0">
      <alignment horizontal="center" vertical="center" wrapText="1"/>
    </xf>
    <xf numFmtId="0" fontId="38" fillId="0" borderId="0" applyFill="0">
      <alignment horizontal="center" vertical="center" wrapText="1"/>
    </xf>
    <xf numFmtId="172" fontId="39" fillId="0" borderId="0" applyFill="0"/>
    <xf numFmtId="0" fontId="31" fillId="0" borderId="0" applyNumberFormat="0" applyFont="0" applyAlignment="0">
      <alignment horizontal="center"/>
    </xf>
    <xf numFmtId="0" fontId="40" fillId="0" borderId="0">
      <alignment horizontal="center" wrapText="1"/>
    </xf>
    <xf numFmtId="0" fontId="36" fillId="0" borderId="0" applyFill="0">
      <alignment horizontal="center" wrapText="1"/>
    </xf>
    <xf numFmtId="39"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5" fontId="22" fillId="0" borderId="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0" fontId="4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3" fontId="22" fillId="0" borderId="0" applyFont="0" applyFill="0" applyBorder="0" applyAlignment="0" applyProtection="0"/>
    <xf numFmtId="7"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5"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38" fontId="28" fillId="4" borderId="0" applyNumberFormat="0" applyBorder="0" applyAlignment="0" applyProtection="0"/>
    <xf numFmtId="0" fontId="42" fillId="0" borderId="1"/>
    <xf numFmtId="0" fontId="43" fillId="0" borderId="0"/>
    <xf numFmtId="10" fontId="28" fillId="5" borderId="7" applyNumberFormat="0" applyBorder="0" applyAlignment="0" applyProtection="0"/>
    <xf numFmtId="176" fontId="44" fillId="0" borderId="0"/>
    <xf numFmtId="0" fontId="27" fillId="0" borderId="0"/>
    <xf numFmtId="39" fontId="45" fillId="0" borderId="0"/>
    <xf numFmtId="0" fontId="27" fillId="0" borderId="0"/>
    <xf numFmtId="0" fontId="27" fillId="0" borderId="0"/>
    <xf numFmtId="0" fontId="22" fillId="0" borderId="0"/>
    <xf numFmtId="0" fontId="22" fillId="0" borderId="0"/>
    <xf numFmtId="0" fontId="46" fillId="0" borderId="0"/>
    <xf numFmtId="0" fontId="10" fillId="0" borderId="0"/>
    <xf numFmtId="0" fontId="10" fillId="0" borderId="0"/>
    <xf numFmtId="0" fontId="20" fillId="0" borderId="0"/>
    <xf numFmtId="1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7" fillId="0" borderId="0" applyFont="0" applyFill="0" applyBorder="0" applyAlignment="0" applyProtection="0"/>
    <xf numFmtId="9" fontId="27" fillId="0" borderId="0" applyFont="0" applyFill="0" applyBorder="0" applyAlignment="0" applyProtection="0"/>
    <xf numFmtId="9" fontId="20"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3" fontId="22" fillId="0" borderId="0">
      <alignment horizontal="left" vertical="top"/>
    </xf>
    <xf numFmtId="0" fontId="48" fillId="0" borderId="1">
      <alignment horizontal="center"/>
    </xf>
    <xf numFmtId="3" fontId="41" fillId="0" borderId="0" applyFont="0" applyFill="0" applyBorder="0" applyAlignment="0" applyProtection="0"/>
    <xf numFmtId="0" fontId="41" fillId="6" borderId="0" applyNumberFormat="0" applyFont="0" applyBorder="0" applyAlignment="0" applyProtection="0"/>
    <xf numFmtId="3" fontId="22" fillId="0" borderId="0">
      <alignment horizontal="right" vertical="top"/>
    </xf>
    <xf numFmtId="41" fontId="24" fillId="4" borderId="6" applyFill="0"/>
    <xf numFmtId="0" fontId="49" fillId="0" borderId="0">
      <alignment horizontal="left" indent="7"/>
    </xf>
    <xf numFmtId="41" fontId="24" fillId="0" borderId="6" applyFill="0">
      <alignment horizontal="left" indent="2"/>
    </xf>
    <xf numFmtId="172" fontId="50" fillId="0" borderId="4" applyFill="0">
      <alignment horizontal="right"/>
    </xf>
    <xf numFmtId="0" fontId="26" fillId="0" borderId="7" applyNumberFormat="0" applyFont="0" applyBorder="0">
      <alignment horizontal="right"/>
    </xf>
    <xf numFmtId="0" fontId="51" fillId="0" borderId="0" applyFill="0"/>
    <xf numFmtId="0" fontId="23" fillId="0" borderId="0" applyFill="0"/>
    <xf numFmtId="4" fontId="50" fillId="0" borderId="4" applyFill="0"/>
    <xf numFmtId="0" fontId="22" fillId="0" borderId="0" applyNumberFormat="0" applyFont="0" applyBorder="0" applyAlignment="0"/>
    <xf numFmtId="0" fontId="32" fillId="0" borderId="0" applyFill="0">
      <alignment horizontal="left" indent="1"/>
    </xf>
    <xf numFmtId="0" fontId="52" fillId="0" borderId="0" applyFill="0">
      <alignment horizontal="left" indent="1"/>
    </xf>
    <xf numFmtId="4" fontId="34" fillId="0" borderId="0" applyFill="0"/>
    <xf numFmtId="0" fontId="22" fillId="0" borderId="0" applyNumberFormat="0" applyFont="0" applyFill="0" applyBorder="0" applyAlignment="0"/>
    <xf numFmtId="0" fontId="32" fillId="0" borderId="0" applyFill="0">
      <alignment horizontal="left" indent="2"/>
    </xf>
    <xf numFmtId="0" fontId="23" fillId="0" borderId="0" applyFill="0">
      <alignment horizontal="left" indent="2"/>
    </xf>
    <xf numFmtId="4" fontId="34" fillId="0" borderId="0" applyFill="0"/>
    <xf numFmtId="0" fontId="22" fillId="0" borderId="0" applyNumberFormat="0" applyFont="0" applyBorder="0" applyAlignment="0"/>
    <xf numFmtId="0" fontId="53" fillId="0" borderId="0">
      <alignment horizontal="left" indent="3"/>
    </xf>
    <xf numFmtId="0" fontId="54" fillId="0" borderId="0" applyFill="0">
      <alignment horizontal="left" indent="3"/>
    </xf>
    <xf numFmtId="4" fontId="34" fillId="0" borderId="0" applyFill="0"/>
    <xf numFmtId="0" fontId="22" fillId="0" borderId="0" applyNumberFormat="0" applyFont="0" applyBorder="0" applyAlignment="0"/>
    <xf numFmtId="0" fontId="35" fillId="0" borderId="0">
      <alignment horizontal="left" indent="4"/>
    </xf>
    <xf numFmtId="0" fontId="22" fillId="0" borderId="0" applyFill="0">
      <alignment horizontal="left" indent="4"/>
    </xf>
    <xf numFmtId="4" fontId="36" fillId="0" borderId="0" applyFill="0"/>
    <xf numFmtId="0" fontId="22" fillId="0" borderId="0" applyNumberFormat="0" applyFont="0" applyBorder="0" applyAlignment="0"/>
    <xf numFmtId="0" fontId="37" fillId="0" borderId="0">
      <alignment horizontal="left" indent="5"/>
    </xf>
    <xf numFmtId="0" fontId="38" fillId="0" borderId="0" applyFill="0">
      <alignment horizontal="left" indent="5"/>
    </xf>
    <xf numFmtId="4" fontId="39" fillId="0" borderId="0" applyFill="0"/>
    <xf numFmtId="0" fontId="22" fillId="0" borderId="0" applyNumberFormat="0" applyFont="0" applyFill="0" applyBorder="0" applyAlignment="0"/>
    <xf numFmtId="0" fontId="40" fillId="0" borderId="0" applyFill="0">
      <alignment horizontal="left" indent="6"/>
    </xf>
    <xf numFmtId="0" fontId="36" fillId="0" borderId="0" applyFill="0">
      <alignment horizontal="left" indent="6"/>
    </xf>
    <xf numFmtId="0" fontId="47" fillId="0" borderId="0" applyNumberFormat="0" applyBorder="0" applyAlignment="0"/>
    <xf numFmtId="0" fontId="55" fillId="0" borderId="0" applyNumberFormat="0" applyBorder="0" applyAlignment="0"/>
    <xf numFmtId="0" fontId="56" fillId="0" borderId="0" applyNumberFormat="0" applyBorder="0" applyAlignment="0"/>
    <xf numFmtId="0" fontId="47" fillId="0" borderId="0" applyNumberFormat="0" applyBorder="0" applyAlignment="0"/>
    <xf numFmtId="0" fontId="10" fillId="0" borderId="0"/>
    <xf numFmtId="43" fontId="22" fillId="0" borderId="0" applyFont="0" applyFill="0" applyBorder="0" applyAlignment="0" applyProtection="0"/>
    <xf numFmtId="44" fontId="22" fillId="0" borderId="0" applyFont="0" applyFill="0" applyBorder="0" applyAlignment="0" applyProtection="0"/>
    <xf numFmtId="0" fontId="2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22" fillId="0" borderId="0" applyFont="0" applyFill="0" applyBorder="0" applyAlignment="0" applyProtection="0"/>
    <xf numFmtId="0" fontId="22" fillId="0" borderId="0"/>
    <xf numFmtId="44" fontId="10" fillId="0" borderId="0" applyFont="0" applyFill="0" applyBorder="0" applyAlignment="0" applyProtection="0"/>
    <xf numFmtId="43" fontId="10"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22" fillId="0" borderId="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24"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0"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79" fillId="9" borderId="0" applyNumberFormat="0" applyBorder="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0" fillId="26" borderId="20"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0" fontId="81" fillId="27" borderId="21" applyNumberFormat="0" applyAlignment="0" applyProtection="0"/>
    <xf numFmtId="43" fontId="22" fillId="0" borderId="0" applyFont="0" applyFill="0" applyBorder="0" applyAlignment="0" applyProtection="0"/>
    <xf numFmtId="43" fontId="46" fillId="0" borderId="0" applyFont="0" applyFill="0" applyBorder="0" applyAlignment="0" applyProtection="0"/>
    <xf numFmtId="43" fontId="22"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5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22" fillId="0" borderId="0" applyFon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6"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2" fillId="0" borderId="0" applyFont="0" applyFill="0" applyBorder="0" applyAlignment="0" applyProtection="0"/>
    <xf numFmtId="44" fontId="10"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4" fillId="0" borderId="22"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5" fillId="0" borderId="23"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24" applyNumberFormat="0" applyFill="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7" fillId="13" borderId="20" applyNumberFormat="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8" fillId="0" borderId="25" applyNumberFormat="0" applyFill="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89" fillId="28" borderId="0" applyNumberFormat="0" applyBorder="0" applyAlignment="0" applyProtection="0"/>
    <xf numFmtId="0" fontId="54" fillId="0" borderId="0"/>
    <xf numFmtId="0" fontId="22" fillId="0" borderId="0"/>
    <xf numFmtId="0" fontId="22" fillId="0" borderId="0"/>
    <xf numFmtId="0" fontId="10" fillId="0" borderId="0"/>
    <xf numFmtId="0" fontId="4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4" fillId="0" borderId="0"/>
    <xf numFmtId="0" fontId="22" fillId="0" borderId="0"/>
    <xf numFmtId="0" fontId="22" fillId="0" borderId="0"/>
    <xf numFmtId="0" fontId="22" fillId="0" borderId="0"/>
    <xf numFmtId="0" fontId="22" fillId="0" borderId="0"/>
    <xf numFmtId="0" fontId="54"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7" fillId="0" borderId="0"/>
    <xf numFmtId="0" fontId="22" fillId="0" borderId="0"/>
    <xf numFmtId="0" fontId="22" fillId="0" borderId="0"/>
    <xf numFmtId="0" fontId="22" fillId="0" borderId="0"/>
    <xf numFmtId="0" fontId="46" fillId="0" borderId="0"/>
    <xf numFmtId="0" fontId="54" fillId="0" borderId="0"/>
    <xf numFmtId="0" fontId="54" fillId="0" borderId="0"/>
    <xf numFmtId="0" fontId="54" fillId="0" borderId="0"/>
    <xf numFmtId="0" fontId="22" fillId="29" borderId="26" applyNumberFormat="0" applyFont="0" applyAlignment="0" applyProtection="0"/>
    <xf numFmtId="0" fontId="22" fillId="29" borderId="26" applyNumberFormat="0" applyFont="0" applyAlignment="0" applyProtection="0"/>
    <xf numFmtId="0" fontId="27" fillId="29" borderId="26" applyNumberFormat="0" applyFont="0" applyAlignment="0" applyProtection="0"/>
    <xf numFmtId="0" fontId="27" fillId="29" borderId="26" applyNumberFormat="0" applyFont="0" applyAlignment="0" applyProtection="0"/>
    <xf numFmtId="0" fontId="27" fillId="29" borderId="26" applyNumberFormat="0" applyFont="0" applyAlignment="0" applyProtection="0"/>
    <xf numFmtId="0" fontId="27" fillId="29" borderId="26" applyNumberFormat="0" applyFont="0" applyAlignment="0" applyProtection="0"/>
    <xf numFmtId="0" fontId="27" fillId="29" borderId="26" applyNumberFormat="0" applyFont="0" applyAlignment="0" applyProtection="0"/>
    <xf numFmtId="0" fontId="27" fillId="29" borderId="26" applyNumberFormat="0" applyFont="0" applyAlignment="0" applyProtection="0"/>
    <xf numFmtId="0" fontId="27" fillId="29" borderId="26" applyNumberFormat="0" applyFont="0" applyAlignment="0" applyProtection="0"/>
    <xf numFmtId="0" fontId="22" fillId="29" borderId="26" applyNumberFormat="0" applyFont="0" applyAlignment="0" applyProtection="0"/>
    <xf numFmtId="0" fontId="22" fillId="29" borderId="26" applyNumberFormat="0" applyFont="0" applyAlignment="0" applyProtection="0"/>
    <xf numFmtId="0" fontId="22" fillId="29" borderId="26" applyNumberFormat="0" applyFon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0" fontId="90" fillId="26" borderId="27" applyNumberFormat="0" applyAlignment="0" applyProtection="0"/>
    <xf numFmtId="9" fontId="22" fillId="0" borderId="0" applyFont="0" applyFill="0" applyBorder="0" applyAlignment="0" applyProtection="0"/>
    <xf numFmtId="9" fontId="46" fillId="0" borderId="0" applyFont="0" applyFill="0" applyBorder="0" applyAlignment="0" applyProtection="0"/>
    <xf numFmtId="43" fontId="1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0" fillId="0" borderId="0"/>
    <xf numFmtId="9" fontId="47" fillId="0" borderId="0" applyFont="0" applyFill="0" applyBorder="0" applyAlignment="0" applyProtection="0"/>
    <xf numFmtId="9" fontId="5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2" fillId="0" borderId="28"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22" fillId="0" borderId="0"/>
    <xf numFmtId="0" fontId="22" fillId="0" borderId="0"/>
    <xf numFmtId="0" fontId="22" fillId="0" borderId="0"/>
    <xf numFmtId="0" fontId="22" fillId="0" borderId="0"/>
    <xf numFmtId="9" fontId="10" fillId="0" borderId="0" applyFont="0" applyFill="0" applyBorder="0" applyAlignment="0" applyProtection="0"/>
    <xf numFmtId="0" fontId="10" fillId="3" borderId="3" applyNumberFormat="0" applyFont="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10" fillId="0" borderId="0" applyFont="0" applyFill="0" applyBorder="0" applyAlignment="0" applyProtection="0"/>
    <xf numFmtId="0" fontId="10" fillId="3" borderId="3" applyNumberFormat="0" applyFont="0" applyAlignment="0" applyProtection="0"/>
    <xf numFmtId="0" fontId="10" fillId="0" borderId="0"/>
    <xf numFmtId="0" fontId="22" fillId="0" borderId="0" applyFont="0" applyAlignment="0"/>
    <xf numFmtId="0" fontId="22" fillId="0" borderId="0" applyNumberFormat="0" applyFont="0" applyAlignment="0"/>
    <xf numFmtId="172" fontId="22" fillId="0" borderId="0" applyFill="0"/>
    <xf numFmtId="0" fontId="22" fillId="0" borderId="0" applyFill="0">
      <alignment horizontal="center" vertical="center" wrapText="1"/>
    </xf>
    <xf numFmtId="39" fontId="22" fillId="0" borderId="0" applyFont="0" applyFill="0" applyBorder="0" applyAlignment="0" applyProtection="0"/>
    <xf numFmtId="175" fontId="22" fillId="0" borderId="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7" fontId="22" fillId="0" borderId="0" applyFont="0" applyFill="0" applyBorder="0" applyAlignment="0" applyProtection="0"/>
    <xf numFmtId="44" fontId="22" fillId="0" borderId="0" applyFont="0" applyFill="0" applyBorder="0" applyAlignment="0" applyProtection="0"/>
    <xf numFmtId="5"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10" fillId="0" borderId="0"/>
    <xf numFmtId="0" fontId="10" fillId="0" borderId="0"/>
    <xf numFmtId="10" fontId="22" fillId="0" borderId="0" applyFont="0" applyFill="0" applyBorder="0" applyAlignment="0" applyProtection="0"/>
    <xf numFmtId="3" fontId="22" fillId="0" borderId="0">
      <alignment horizontal="left" vertical="top"/>
    </xf>
    <xf numFmtId="3" fontId="22" fillId="0" borderId="0">
      <alignment horizontal="right" vertical="top"/>
    </xf>
    <xf numFmtId="0" fontId="22" fillId="0" borderId="0" applyNumberFormat="0" applyFont="0" applyBorder="0" applyAlignment="0"/>
    <xf numFmtId="0" fontId="22" fillId="0" borderId="0" applyNumberFormat="0" applyFont="0" applyFill="0" applyBorder="0" applyAlignment="0"/>
    <xf numFmtId="0" fontId="22" fillId="0" borderId="0" applyNumberFormat="0" applyFont="0" applyBorder="0" applyAlignment="0"/>
    <xf numFmtId="0" fontId="22" fillId="0" borderId="0" applyNumberFormat="0" applyFont="0" applyBorder="0" applyAlignment="0"/>
    <xf numFmtId="0" fontId="22" fillId="0" borderId="0" applyFill="0">
      <alignment horizontal="left" indent="4"/>
    </xf>
    <xf numFmtId="0" fontId="22" fillId="0" borderId="0" applyNumberFormat="0" applyFont="0" applyBorder="0" applyAlignment="0"/>
    <xf numFmtId="0" fontId="22" fillId="0" borderId="0" applyNumberFormat="0" applyFont="0" applyFill="0" applyBorder="0" applyAlignment="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0" fontId="10" fillId="3" borderId="3" applyNumberFormat="0" applyFont="0" applyAlignment="0" applyProtection="0"/>
    <xf numFmtId="9" fontId="10" fillId="0" borderId="0" applyFont="0" applyFill="0" applyBorder="0" applyAlignment="0" applyProtection="0"/>
    <xf numFmtId="0" fontId="10" fillId="3" borderId="3" applyNumberFormat="0" applyFont="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4" fontId="9" fillId="0" borderId="0" applyFont="0" applyFill="0" applyBorder="0" applyAlignment="0" applyProtection="0"/>
    <xf numFmtId="43" fontId="9"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0" fontId="7" fillId="3" borderId="3" applyNumberFormat="0" applyFont="0" applyAlignment="0" applyProtection="0"/>
    <xf numFmtId="9" fontId="7" fillId="0" borderId="0" applyFont="0" applyFill="0" applyBorder="0" applyAlignment="0" applyProtection="0"/>
    <xf numFmtId="0" fontId="7" fillId="3" borderId="3" applyNumberFormat="0" applyFont="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3" borderId="3" applyNumberFormat="0" applyFont="0" applyAlignment="0" applyProtection="0"/>
    <xf numFmtId="9" fontId="6" fillId="0" borderId="0" applyFont="0" applyFill="0" applyBorder="0" applyAlignment="0" applyProtection="0"/>
    <xf numFmtId="0" fontId="6" fillId="3" borderId="3" applyNumberFormat="0" applyFont="0" applyAlignment="0" applyProtection="0"/>
    <xf numFmtId="44"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0" fontId="6" fillId="3" borderId="3" applyNumberFormat="0" applyFont="0" applyAlignment="0" applyProtection="0"/>
    <xf numFmtId="0" fontId="6" fillId="3" borderId="3" applyNumberFormat="0" applyFont="0" applyAlignment="0" applyProtection="0"/>
    <xf numFmtId="44" fontId="6" fillId="0" borderId="0" applyFont="0" applyFill="0" applyBorder="0" applyAlignment="0" applyProtection="0"/>
    <xf numFmtId="9" fontId="6" fillId="0" borderId="0" applyFont="0" applyFill="0" applyBorder="0" applyAlignment="0" applyProtection="0"/>
    <xf numFmtId="0" fontId="6" fillId="3" borderId="3" applyNumberFormat="0" applyFont="0" applyAlignment="0" applyProtection="0"/>
    <xf numFmtId="9" fontId="6" fillId="0" borderId="0" applyFont="0" applyFill="0" applyBorder="0" applyAlignment="0" applyProtection="0"/>
    <xf numFmtId="0" fontId="6" fillId="3" borderId="3" applyNumberFormat="0" applyFont="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43"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22" fillId="0" borderId="0" applyFont="0" applyAlignment="0"/>
    <xf numFmtId="0" fontId="22" fillId="0" borderId="0" applyNumberFormat="0" applyFont="0" applyAlignment="0"/>
    <xf numFmtId="172" fontId="22" fillId="0" borderId="0" applyFill="0"/>
    <xf numFmtId="0" fontId="22" fillId="0" borderId="0" applyFill="0">
      <alignment horizontal="center" vertical="center" wrapText="1"/>
    </xf>
    <xf numFmtId="39" fontId="22" fillId="0" borderId="0" applyFont="0" applyFill="0" applyBorder="0" applyAlignment="0" applyProtection="0"/>
    <xf numFmtId="175" fontId="22" fillId="0" borderId="0" applyFill="0" applyBorder="0" applyAlignment="0" applyProtection="0"/>
    <xf numFmtId="43" fontId="22" fillId="0" borderId="0" applyFont="0" applyFill="0" applyBorder="0" applyAlignment="0" applyProtection="0"/>
    <xf numFmtId="3" fontId="22" fillId="0" borderId="0" applyFont="0" applyFill="0" applyBorder="0" applyAlignment="0" applyProtection="0"/>
    <xf numFmtId="7" fontId="22" fillId="0" borderId="0" applyFont="0" applyFill="0" applyBorder="0" applyAlignment="0" applyProtection="0"/>
    <xf numFmtId="44" fontId="22" fillId="0" borderId="0" applyFont="0" applyFill="0" applyBorder="0" applyAlignment="0" applyProtection="0"/>
    <xf numFmtId="5" fontId="22" fillId="0" borderId="0" applyFont="0" applyFill="0" applyBorder="0" applyAlignment="0" applyProtection="0"/>
    <xf numFmtId="14" fontId="22" fillId="0" borderId="0" applyFont="0" applyFill="0" applyBorder="0" applyAlignment="0" applyProtection="0"/>
    <xf numFmtId="2" fontId="22" fillId="0" borderId="0" applyFont="0" applyFill="0" applyBorder="0" applyAlignment="0" applyProtection="0"/>
    <xf numFmtId="0" fontId="1" fillId="0" borderId="0"/>
    <xf numFmtId="0" fontId="1" fillId="0" borderId="0"/>
    <xf numFmtId="10" fontId="22" fillId="0" borderId="0" applyFont="0" applyFill="0" applyBorder="0" applyAlignment="0" applyProtection="0"/>
    <xf numFmtId="3" fontId="22" fillId="0" borderId="0">
      <alignment horizontal="left" vertical="top"/>
    </xf>
    <xf numFmtId="3" fontId="22" fillId="0" borderId="0">
      <alignment horizontal="right" vertical="top"/>
    </xf>
    <xf numFmtId="0" fontId="22" fillId="0" borderId="0" applyNumberFormat="0" applyFont="0" applyBorder="0" applyAlignment="0"/>
    <xf numFmtId="0" fontId="22" fillId="0" borderId="0" applyNumberFormat="0" applyFont="0" applyFill="0" applyBorder="0" applyAlignment="0"/>
    <xf numFmtId="0" fontId="22" fillId="0" borderId="0" applyNumberFormat="0" applyFont="0" applyBorder="0" applyAlignment="0"/>
    <xf numFmtId="0" fontId="22" fillId="0" borderId="0" applyNumberFormat="0" applyFont="0" applyBorder="0" applyAlignment="0"/>
    <xf numFmtId="0" fontId="22" fillId="0" borderId="0" applyFill="0">
      <alignment horizontal="left" indent="4"/>
    </xf>
    <xf numFmtId="0" fontId="22" fillId="0" borderId="0" applyNumberFormat="0" applyFont="0" applyBorder="0" applyAlignment="0"/>
    <xf numFmtId="0" fontId="22" fillId="0" borderId="0" applyNumberFormat="0" applyFont="0" applyFill="0" applyBorder="0" applyAlignment="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54" fillId="0" borderId="0"/>
    <xf numFmtId="43" fontId="54" fillId="0" borderId="0" applyFont="0" applyFill="0" applyBorder="0" applyAlignment="0" applyProtection="0"/>
    <xf numFmtId="9" fontId="54" fillId="0" borderId="0" applyFont="0" applyFill="0" applyBorder="0" applyAlignment="0" applyProtection="0"/>
    <xf numFmtId="0" fontId="1" fillId="0" borderId="0"/>
    <xf numFmtId="43" fontId="1" fillId="0" borderId="0" applyFont="0" applyFill="0" applyBorder="0" applyAlignment="0" applyProtection="0"/>
    <xf numFmtId="0" fontId="54" fillId="0" borderId="0"/>
    <xf numFmtId="43" fontId="54" fillId="0" borderId="0" applyFont="0" applyFill="0" applyBorder="0" applyAlignment="0" applyProtection="0"/>
    <xf numFmtId="0" fontId="54" fillId="0" borderId="0"/>
    <xf numFmtId="9" fontId="54" fillId="0" borderId="0" applyFont="0" applyFill="0" applyBorder="0" applyAlignment="0" applyProtection="0"/>
    <xf numFmtId="43" fontId="54" fillId="0" borderId="0" applyFont="0" applyFill="0" applyBorder="0" applyAlignment="0" applyProtection="0"/>
    <xf numFmtId="9" fontId="54" fillId="0" borderId="0" applyFont="0" applyFill="0" applyBorder="0" applyAlignment="0" applyProtection="0"/>
    <xf numFmtId="0" fontId="54" fillId="0" borderId="0"/>
    <xf numFmtId="43" fontId="54" fillId="0" borderId="0" applyFont="0" applyFill="0" applyBorder="0" applyAlignment="0" applyProtection="0"/>
    <xf numFmtId="9" fontId="5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54" fillId="0" borderId="0"/>
    <xf numFmtId="0" fontId="1" fillId="0" borderId="0"/>
    <xf numFmtId="43" fontId="1" fillId="0" borderId="0" applyFont="0" applyFill="0" applyBorder="0" applyAlignment="0" applyProtection="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54" fillId="0" borderId="0"/>
    <xf numFmtId="0" fontId="1" fillId="0" borderId="0"/>
    <xf numFmtId="43" fontId="1" fillId="0" borderId="0" applyFont="0" applyFill="0" applyBorder="0" applyAlignment="0" applyProtection="0"/>
    <xf numFmtId="0" fontId="54" fillId="0" borderId="0"/>
    <xf numFmtId="0" fontId="54" fillId="0" borderId="0"/>
    <xf numFmtId="0" fontId="54"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3" borderId="3" applyNumberFormat="0" applyFont="0" applyAlignment="0" applyProtection="0"/>
    <xf numFmtId="0" fontId="1" fillId="3" borderId="3" applyNumberFormat="0" applyFont="0" applyAlignment="0" applyProtection="0"/>
    <xf numFmtId="44" fontId="1" fillId="0" borderId="0" applyFont="0" applyFill="0" applyBorder="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0" fontId="1" fillId="3"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582">
    <xf numFmtId="172" fontId="0" fillId="0" borderId="0" xfId="0" applyAlignment="1"/>
    <xf numFmtId="0" fontId="11" fillId="0" borderId="0" xfId="0" applyNumberFormat="1" applyFont="1" applyAlignment="1" applyProtection="1">
      <alignment horizontal="center"/>
      <protection locked="0"/>
    </xf>
    <xf numFmtId="0" fontId="11" fillId="0" borderId="0" xfId="0" applyNumberFormat="1" applyFont="1" applyAlignment="1" applyProtection="1">
      <protection locked="0"/>
    </xf>
    <xf numFmtId="0" fontId="11" fillId="0" borderId="0" xfId="0" applyNumberFormat="1" applyFont="1" applyAlignment="1" applyProtection="1">
      <alignment horizontal="left"/>
      <protection locked="0"/>
    </xf>
    <xf numFmtId="0" fontId="11" fillId="0" borderId="0" xfId="0" applyNumberFormat="1" applyFont="1" applyProtection="1">
      <protection locked="0"/>
    </xf>
    <xf numFmtId="0" fontId="11" fillId="2" borderId="0" xfId="0" applyNumberFormat="1" applyFont="1" applyFill="1" applyAlignment="1" applyProtection="1">
      <alignment horizontal="right"/>
      <protection locked="0"/>
    </xf>
    <xf numFmtId="0" fontId="11" fillId="0" borderId="1" xfId="0" applyNumberFormat="1" applyFont="1" applyBorder="1" applyAlignment="1" applyProtection="1">
      <alignment horizontal="center"/>
      <protection locked="0"/>
    </xf>
    <xf numFmtId="0" fontId="11" fillId="0" borderId="1" xfId="0" applyNumberFormat="1" applyFont="1" applyBorder="1" applyAlignment="1" applyProtection="1">
      <alignment horizontal="centerContinuous"/>
      <protection locked="0"/>
    </xf>
    <xf numFmtId="171" fontId="11" fillId="2" borderId="0" xfId="0" applyNumberFormat="1" applyFont="1" applyFill="1" applyProtection="1">
      <protection locked="0"/>
    </xf>
    <xf numFmtId="171" fontId="11" fillId="0" borderId="0" xfId="0" applyNumberFormat="1" applyFont="1" applyProtection="1">
      <protection locked="0"/>
    </xf>
    <xf numFmtId="0" fontId="14" fillId="0" borderId="0" xfId="0" applyNumberFormat="1" applyFont="1" applyAlignment="1" applyProtection="1">
      <alignment horizontal="center"/>
      <protection locked="0"/>
    </xf>
    <xf numFmtId="0" fontId="11" fillId="0" borderId="0" xfId="0" applyNumberFormat="1" applyFont="1" applyFill="1" applyAlignment="1" applyProtection="1">
      <alignment horizontal="center"/>
      <protection locked="0"/>
    </xf>
    <xf numFmtId="164" fontId="11" fillId="0" borderId="0" xfId="0" applyNumberFormat="1" applyFont="1" applyAlignment="1" applyProtection="1">
      <alignment horizontal="left"/>
      <protection locked="0"/>
    </xf>
    <xf numFmtId="0" fontId="12" fillId="0" borderId="0" xfId="0" applyNumberFormat="1" applyFont="1" applyAlignment="1" applyProtection="1">
      <alignment horizontal="center"/>
      <protection locked="0"/>
    </xf>
    <xf numFmtId="0" fontId="11" fillId="0" borderId="1" xfId="0" applyNumberFormat="1" applyFont="1" applyBorder="1" applyProtection="1">
      <protection locked="0"/>
    </xf>
    <xf numFmtId="166" fontId="11" fillId="0" borderId="0" xfId="0" applyNumberFormat="1" applyFont="1" applyAlignment="1" applyProtection="1">
      <alignment horizontal="center"/>
      <protection locked="0"/>
    </xf>
    <xf numFmtId="0" fontId="12" fillId="0" borderId="0" xfId="0" applyNumberFormat="1" applyFont="1" applyProtection="1">
      <protection locked="0"/>
    </xf>
    <xf numFmtId="170" fontId="11" fillId="2" borderId="0" xfId="0" applyNumberFormat="1" applyFont="1" applyFill="1" applyBorder="1" applyAlignment="1" applyProtection="1">
      <protection locked="0"/>
    </xf>
    <xf numFmtId="0" fontId="11" fillId="0" borderId="0" xfId="0" applyNumberFormat="1" applyFont="1" applyBorder="1" applyAlignment="1" applyProtection="1">
      <protection locked="0"/>
    </xf>
    <xf numFmtId="0" fontId="11" fillId="0" borderId="0" xfId="0" applyNumberFormat="1" applyFont="1" applyBorder="1" applyProtection="1">
      <protection locked="0"/>
    </xf>
    <xf numFmtId="0" fontId="12" fillId="0" borderId="0" xfId="0" applyNumberFormat="1" applyFont="1" applyAlignment="1" applyProtection="1">
      <protection locked="0"/>
    </xf>
    <xf numFmtId="170" fontId="11" fillId="0" borderId="0" xfId="0" applyNumberFormat="1" applyFont="1" applyFill="1" applyBorder="1" applyAlignment="1" applyProtection="1"/>
    <xf numFmtId="172" fontId="11" fillId="0" borderId="0" xfId="0" applyNumberFormat="1" applyFont="1" applyAlignment="1" applyProtection="1">
      <protection locked="0"/>
    </xf>
    <xf numFmtId="3" fontId="11" fillId="0" borderId="0" xfId="0" applyNumberFormat="1" applyFont="1" applyProtection="1">
      <protection locked="0"/>
    </xf>
    <xf numFmtId="170" fontId="11" fillId="0" borderId="0" xfId="0" applyNumberFormat="1" applyFont="1" applyProtection="1">
      <protection locked="0"/>
    </xf>
    <xf numFmtId="3" fontId="11" fillId="0" borderId="0" xfId="0" applyNumberFormat="1" applyFont="1" applyFill="1" applyAlignment="1" applyProtection="1"/>
    <xf numFmtId="0" fontId="13" fillId="0" borderId="0" xfId="0" applyNumberFormat="1" applyFont="1" applyFill="1" applyAlignment="1" applyProtection="1">
      <alignment horizontal="left"/>
      <protection locked="0"/>
    </xf>
    <xf numFmtId="0" fontId="11" fillId="2" borderId="0" xfId="0" applyNumberFormat="1" applyFont="1" applyFill="1" applyProtection="1">
      <protection locked="0"/>
    </xf>
    <xf numFmtId="0" fontId="11" fillId="0" borderId="0" xfId="0" applyNumberFormat="1" applyFont="1" applyAlignment="1" applyProtection="1">
      <alignment horizontal="left" indent="8"/>
      <protection locked="0"/>
    </xf>
    <xf numFmtId="171" fontId="11" fillId="0" borderId="0" xfId="0" applyNumberFormat="1" applyFont="1" applyBorder="1" applyProtection="1">
      <protection locked="0"/>
    </xf>
    <xf numFmtId="0" fontId="11" fillId="0" borderId="0" xfId="0" applyNumberFormat="1" applyFont="1" applyAlignment="1" applyProtection="1">
      <alignment horizontal="center" vertical="top" wrapText="1"/>
      <protection locked="0"/>
    </xf>
    <xf numFmtId="10" fontId="11" fillId="2" borderId="0" xfId="0" applyNumberFormat="1" applyFont="1" applyFill="1" applyAlignment="1" applyProtection="1">
      <alignment vertical="top" wrapText="1"/>
      <protection locked="0"/>
    </xf>
    <xf numFmtId="0" fontId="12" fillId="0" borderId="0" xfId="0" applyNumberFormat="1" applyFont="1" applyAlignment="1" applyProtection="1">
      <alignment vertical="top" wrapText="1"/>
      <protection locked="0"/>
    </xf>
    <xf numFmtId="0" fontId="11" fillId="0" borderId="0" xfId="0" applyNumberFormat="1" applyFont="1" applyFill="1" applyAlignment="1" applyProtection="1">
      <alignment horizontal="left" vertical="top" wrapText="1" indent="8"/>
      <protection locked="0"/>
    </xf>
    <xf numFmtId="0" fontId="11" fillId="0" borderId="0" xfId="0" applyNumberFormat="1" applyFont="1" applyFill="1" applyBorder="1" applyAlignment="1" applyProtection="1">
      <protection locked="0"/>
    </xf>
    <xf numFmtId="0" fontId="11" fillId="0" borderId="0" xfId="0" applyNumberFormat="1" applyFont="1" applyFill="1" applyBorder="1" applyProtection="1">
      <protection locked="0"/>
    </xf>
    <xf numFmtId="0" fontId="11" fillId="0" borderId="1" xfId="0" applyNumberFormat="1" applyFont="1" applyFill="1" applyBorder="1" applyAlignment="1" applyProtection="1">
      <protection locked="0"/>
    </xf>
    <xf numFmtId="0" fontId="11" fillId="0" borderId="1" xfId="0" applyNumberFormat="1" applyFont="1" applyFill="1" applyBorder="1" applyProtection="1">
      <protection locked="0"/>
    </xf>
    <xf numFmtId="0" fontId="19" fillId="0" borderId="0" xfId="0" applyNumberFormat="1" applyFont="1" applyAlignment="1" applyProtection="1">
      <alignment horizontal="center"/>
      <protection locked="0"/>
    </xf>
    <xf numFmtId="0" fontId="59" fillId="0" borderId="0" xfId="203" applyFont="1"/>
    <xf numFmtId="0" fontId="60" fillId="0" borderId="0" xfId="203" applyFont="1" applyAlignment="1">
      <alignment horizontal="center" vertical="center" wrapText="1"/>
    </xf>
    <xf numFmtId="1" fontId="10" fillId="0" borderId="0" xfId="203" applyNumberFormat="1" applyAlignment="1">
      <alignment horizontal="center" vertical="center"/>
    </xf>
    <xf numFmtId="1" fontId="61" fillId="0" borderId="0" xfId="203" applyNumberFormat="1" applyFont="1" applyAlignment="1">
      <alignment horizontal="left" vertical="center"/>
    </xf>
    <xf numFmtId="14" fontId="96" fillId="0" borderId="0" xfId="0" applyNumberFormat="1" applyFont="1" applyFill="1" applyAlignment="1"/>
    <xf numFmtId="0" fontId="60" fillId="0" borderId="0" xfId="203" applyFont="1" applyAlignment="1">
      <alignment vertical="center"/>
    </xf>
    <xf numFmtId="1" fontId="62" fillId="0" borderId="0" xfId="203" applyNumberFormat="1" applyFont="1" applyBorder="1" applyAlignment="1">
      <alignment horizontal="center" vertical="center" wrapText="1"/>
    </xf>
    <xf numFmtId="1" fontId="10" fillId="0" borderId="0" xfId="203" applyNumberFormat="1" applyFont="1" applyBorder="1" applyAlignment="1">
      <alignment horizontal="center" vertical="center" wrapText="1"/>
    </xf>
    <xf numFmtId="14" fontId="71" fillId="0" borderId="0" xfId="0" applyNumberFormat="1" applyFont="1" applyAlignment="1"/>
    <xf numFmtId="1" fontId="59" fillId="0" borderId="0" xfId="203" applyNumberFormat="1" applyFont="1" applyAlignment="1">
      <alignment vertical="center"/>
    </xf>
    <xf numFmtId="172" fontId="0" fillId="0" borderId="0" xfId="0" applyFill="1" applyAlignment="1"/>
    <xf numFmtId="0" fontId="59" fillId="0" borderId="0" xfId="203" applyFont="1" applyAlignment="1">
      <alignment horizontal="right" vertical="center"/>
    </xf>
    <xf numFmtId="1" fontId="59" fillId="0" borderId="0" xfId="203" applyNumberFormat="1" applyFont="1" applyAlignment="1">
      <alignment horizontal="left" vertical="center"/>
    </xf>
    <xf numFmtId="173" fontId="94" fillId="0" borderId="0" xfId="205" applyNumberFormat="1" applyFont="1" applyFill="1" applyAlignment="1">
      <alignment vertical="center"/>
    </xf>
    <xf numFmtId="173" fontId="94" fillId="0" borderId="0" xfId="205" applyNumberFormat="1" applyFont="1" applyAlignment="1">
      <alignment vertical="center"/>
    </xf>
    <xf numFmtId="0" fontId="66" fillId="0" borderId="0" xfId="203" applyFont="1" applyAlignment="1">
      <alignment horizontal="center"/>
    </xf>
    <xf numFmtId="173" fontId="61" fillId="0" borderId="0" xfId="205" applyNumberFormat="1" applyFont="1" applyAlignment="1">
      <alignment vertical="center"/>
    </xf>
    <xf numFmtId="0" fontId="62" fillId="0" borderId="0" xfId="203" applyFont="1" applyAlignment="1">
      <alignment vertical="center"/>
    </xf>
    <xf numFmtId="173" fontId="62" fillId="0" borderId="0" xfId="205" applyNumberFormat="1" applyFont="1" applyBorder="1" applyAlignment="1">
      <alignment horizontal="center" vertical="center" wrapText="1"/>
    </xf>
    <xf numFmtId="0" fontId="62" fillId="0" borderId="0" xfId="203" applyFont="1" applyBorder="1" applyAlignment="1">
      <alignment horizontal="center" vertical="center" wrapText="1"/>
    </xf>
    <xf numFmtId="0" fontId="62" fillId="0" borderId="0" xfId="203" applyFont="1" applyAlignment="1">
      <alignment horizontal="center" vertical="center" wrapText="1"/>
    </xf>
    <xf numFmtId="0" fontId="61" fillId="0" borderId="4" xfId="203" applyFont="1" applyBorder="1" applyAlignment="1">
      <alignment horizontal="center" vertical="center" wrapText="1"/>
    </xf>
    <xf numFmtId="0" fontId="59" fillId="0" borderId="0" xfId="203" applyFont="1" applyAlignment="1">
      <alignment horizontal="left" vertical="center"/>
    </xf>
    <xf numFmtId="1" fontId="59" fillId="0" borderId="0" xfId="203" applyNumberFormat="1" applyFont="1" applyAlignment="1">
      <alignment horizontal="center" vertical="center"/>
    </xf>
    <xf numFmtId="0" fontId="59" fillId="0" borderId="0" xfId="203" applyFont="1" applyAlignment="1">
      <alignment vertical="center"/>
    </xf>
    <xf numFmtId="1" fontId="61" fillId="0" borderId="0" xfId="203" applyNumberFormat="1" applyFont="1" applyAlignment="1">
      <alignment horizontal="center" vertical="center"/>
    </xf>
    <xf numFmtId="0" fontId="10" fillId="0" borderId="0" xfId="203"/>
    <xf numFmtId="0" fontId="10" fillId="0" borderId="0" xfId="203" applyAlignment="1">
      <alignment vertical="center"/>
    </xf>
    <xf numFmtId="0" fontId="61" fillId="0" borderId="0" xfId="203" applyFont="1" applyAlignment="1">
      <alignment vertical="center"/>
    </xf>
    <xf numFmtId="0" fontId="61" fillId="0" borderId="0" xfId="203" applyFont="1" applyAlignment="1">
      <alignment horizontal="center" vertical="center"/>
    </xf>
    <xf numFmtId="0" fontId="10" fillId="0" borderId="0" xfId="203" applyAlignment="1">
      <alignment horizontal="center" vertical="center" wrapText="1"/>
    </xf>
    <xf numFmtId="0" fontId="62" fillId="0" borderId="0" xfId="203" applyFont="1" applyAlignment="1">
      <alignment horizontal="center" vertical="center"/>
    </xf>
    <xf numFmtId="0" fontId="61" fillId="0" borderId="0" xfId="203" applyFont="1" applyAlignment="1">
      <alignment horizontal="right"/>
    </xf>
    <xf numFmtId="0" fontId="96" fillId="0" borderId="0" xfId="0" applyNumberFormat="1" applyFont="1" applyAlignment="1"/>
    <xf numFmtId="0" fontId="10" fillId="0" borderId="0" xfId="203" applyAlignment="1">
      <alignment vertical="center"/>
    </xf>
    <xf numFmtId="0" fontId="61" fillId="0" borderId="0" xfId="203" applyFont="1" applyAlignment="1">
      <alignment vertical="center"/>
    </xf>
    <xf numFmtId="0" fontId="61" fillId="0" borderId="0" xfId="203" applyFont="1" applyAlignment="1">
      <alignment horizontal="center" vertical="center"/>
    </xf>
    <xf numFmtId="0" fontId="10" fillId="0" borderId="0" xfId="203" applyAlignment="1">
      <alignment horizontal="center" vertical="center" wrapText="1"/>
    </xf>
    <xf numFmtId="0" fontId="62" fillId="0" borderId="0" xfId="203" applyFont="1" applyAlignment="1">
      <alignment horizontal="center" vertical="center"/>
    </xf>
    <xf numFmtId="172" fontId="0" fillId="0" borderId="0" xfId="0" applyAlignment="1"/>
    <xf numFmtId="0" fontId="61" fillId="0" borderId="0" xfId="203" applyFont="1" applyAlignment="1">
      <alignment vertical="center"/>
    </xf>
    <xf numFmtId="0" fontId="21" fillId="0" borderId="4" xfId="203" applyFont="1" applyBorder="1" applyAlignment="1">
      <alignment horizontal="center" vertical="center" wrapText="1"/>
    </xf>
    <xf numFmtId="0" fontId="10" fillId="0" borderId="0" xfId="203" applyAlignment="1">
      <alignment horizontal="center" vertical="center" wrapText="1"/>
    </xf>
    <xf numFmtId="0" fontId="10" fillId="0" borderId="0" xfId="203" applyAlignment="1">
      <alignment horizontal="center" vertical="center"/>
    </xf>
    <xf numFmtId="174" fontId="64" fillId="0" borderId="0" xfId="203" applyNumberFormat="1" applyFont="1" applyAlignment="1">
      <alignment vertical="center"/>
    </xf>
    <xf numFmtId="0" fontId="34" fillId="0" borderId="0" xfId="203" applyNumberFormat="1" applyFont="1"/>
    <xf numFmtId="0" fontId="10" fillId="0" borderId="0" xfId="691"/>
    <xf numFmtId="172" fontId="0" fillId="0" borderId="0" xfId="0" applyAlignment="1"/>
    <xf numFmtId="0" fontId="22" fillId="0" borderId="0" xfId="3"/>
    <xf numFmtId="0" fontId="59" fillId="0" borderId="0" xfId="203" applyFont="1"/>
    <xf numFmtId="0" fontId="10" fillId="0" borderId="0" xfId="203"/>
    <xf numFmtId="0" fontId="10" fillId="0" borderId="0" xfId="203" applyAlignment="1">
      <alignment vertical="center"/>
    </xf>
    <xf numFmtId="0" fontId="61" fillId="0" borderId="0" xfId="203" applyFont="1" applyAlignment="1">
      <alignment vertical="center"/>
    </xf>
    <xf numFmtId="0" fontId="61" fillId="0" borderId="0" xfId="203" applyFont="1" applyAlignment="1">
      <alignment horizontal="center" vertical="center"/>
    </xf>
    <xf numFmtId="0" fontId="61" fillId="0" borderId="0" xfId="203" applyFont="1" applyAlignment="1">
      <alignment horizontal="left" vertical="center"/>
    </xf>
    <xf numFmtId="0" fontId="21" fillId="0" borderId="4" xfId="203" applyFont="1" applyBorder="1" applyAlignment="1">
      <alignment horizontal="center" vertical="center" wrapText="1"/>
    </xf>
    <xf numFmtId="0" fontId="10" fillId="0" borderId="0" xfId="203" applyAlignment="1">
      <alignment horizontal="center" vertical="center" wrapText="1"/>
    </xf>
    <xf numFmtId="0" fontId="10" fillId="0" borderId="0" xfId="203" applyAlignment="1">
      <alignment horizontal="center" vertical="center"/>
    </xf>
    <xf numFmtId="0" fontId="10" fillId="0" borderId="0" xfId="203" applyFont="1" applyAlignment="1">
      <alignment horizontal="center" vertical="center"/>
    </xf>
    <xf numFmtId="0" fontId="62" fillId="0" borderId="0" xfId="203" applyFont="1" applyAlignment="1">
      <alignment horizontal="center" vertical="center"/>
    </xf>
    <xf numFmtId="0" fontId="21" fillId="0" borderId="0" xfId="203" applyFont="1" applyAlignment="1">
      <alignment vertical="center"/>
    </xf>
    <xf numFmtId="0" fontId="10" fillId="0" borderId="0" xfId="203" applyFont="1" applyBorder="1" applyAlignment="1">
      <alignment horizontal="center" vertical="center" wrapText="1"/>
    </xf>
    <xf numFmtId="173" fontId="0" fillId="0" borderId="0" xfId="205" applyNumberFormat="1" applyFont="1" applyAlignment="1">
      <alignment vertical="center"/>
    </xf>
    <xf numFmtId="173" fontId="10" fillId="0" borderId="0" xfId="203" applyNumberFormat="1" applyFont="1" applyBorder="1" applyAlignment="1">
      <alignment horizontal="center" vertical="center" wrapText="1"/>
    </xf>
    <xf numFmtId="173" fontId="0" fillId="0" borderId="4" xfId="205" applyNumberFormat="1" applyFont="1" applyBorder="1" applyAlignment="1">
      <alignment vertical="center"/>
    </xf>
    <xf numFmtId="173" fontId="64" fillId="0" borderId="0" xfId="205" applyNumberFormat="1" applyFont="1" applyAlignment="1">
      <alignment vertical="center"/>
    </xf>
    <xf numFmtId="0" fontId="65" fillId="0" borderId="0" xfId="203" applyFont="1" applyAlignment="1">
      <alignment horizontal="center" vertical="center"/>
    </xf>
    <xf numFmtId="173" fontId="10" fillId="0" borderId="0" xfId="203" applyNumberFormat="1" applyAlignment="1">
      <alignment vertical="center"/>
    </xf>
    <xf numFmtId="173" fontId="10" fillId="0" borderId="0" xfId="205" applyNumberFormat="1" applyFont="1" applyBorder="1" applyAlignment="1">
      <alignment horizontal="center" vertical="center" wrapText="1"/>
    </xf>
    <xf numFmtId="0" fontId="21" fillId="0" borderId="0" xfId="203" applyFont="1" applyBorder="1" applyAlignment="1">
      <alignment horizontal="left" vertical="center" wrapText="1"/>
    </xf>
    <xf numFmtId="0" fontId="10" fillId="0" borderId="0" xfId="203" applyAlignment="1">
      <alignment horizontal="left" vertical="center"/>
    </xf>
    <xf numFmtId="173" fontId="63" fillId="0" borderId="4" xfId="205" applyNumberFormat="1" applyFont="1" applyBorder="1" applyAlignment="1">
      <alignment horizontal="center" vertical="center" wrapText="1"/>
    </xf>
    <xf numFmtId="0" fontId="67" fillId="0" borderId="0" xfId="203" applyFont="1" applyAlignment="1">
      <alignment horizontal="center"/>
    </xf>
    <xf numFmtId="0" fontId="10" fillId="0" borderId="0" xfId="203" applyAlignment="1"/>
    <xf numFmtId="0" fontId="68" fillId="0" borderId="0" xfId="203" applyFont="1" applyAlignment="1">
      <alignment horizontal="left" indent="2"/>
    </xf>
    <xf numFmtId="0" fontId="21" fillId="0" borderId="0" xfId="203" applyFont="1"/>
    <xf numFmtId="0" fontId="10" fillId="0" borderId="0" xfId="203" applyAlignment="1">
      <alignment horizontal="left" indent="1"/>
    </xf>
    <xf numFmtId="0" fontId="69" fillId="0" borderId="0" xfId="203" applyFont="1"/>
    <xf numFmtId="0" fontId="10" fillId="0" borderId="0" xfId="203" applyFont="1"/>
    <xf numFmtId="0" fontId="21" fillId="0" borderId="0" xfId="203" applyFont="1" applyAlignment="1">
      <alignment horizontal="center"/>
    </xf>
    <xf numFmtId="0" fontId="10" fillId="0" borderId="0" xfId="203" applyAlignment="1">
      <alignment horizontal="center"/>
    </xf>
    <xf numFmtId="0" fontId="67" fillId="0" borderId="0" xfId="203" applyFont="1" applyAlignment="1">
      <alignment horizontal="left"/>
    </xf>
    <xf numFmtId="0" fontId="59" fillId="0" borderId="0" xfId="203" applyFont="1" applyAlignment="1"/>
    <xf numFmtId="0" fontId="70" fillId="0" borderId="0" xfId="203" applyFont="1" applyAlignment="1"/>
    <xf numFmtId="0" fontId="71" fillId="0" borderId="0" xfId="203" quotePrefix="1" applyFont="1" applyAlignment="1"/>
    <xf numFmtId="0" fontId="11" fillId="0" borderId="0" xfId="203" applyNumberFormat="1" applyFont="1" applyAlignment="1" applyProtection="1">
      <alignment horizontal="center"/>
      <protection locked="0"/>
    </xf>
    <xf numFmtId="0" fontId="11" fillId="0" borderId="0" xfId="203" applyNumberFormat="1" applyFont="1" applyFill="1" applyAlignment="1" applyProtection="1">
      <alignment horizontal="center"/>
      <protection locked="0"/>
    </xf>
    <xf numFmtId="174" fontId="0" fillId="0" borderId="0" xfId="1" applyNumberFormat="1" applyFont="1"/>
    <xf numFmtId="0" fontId="10" fillId="0" borderId="0" xfId="203" applyFill="1"/>
    <xf numFmtId="173" fontId="64" fillId="0" borderId="0" xfId="205" applyNumberFormat="1" applyFont="1" applyFill="1" applyAlignment="1">
      <alignment vertical="center"/>
    </xf>
    <xf numFmtId="0" fontId="10" fillId="0" borderId="0" xfId="203" applyFont="1" applyAlignment="1">
      <alignment horizontal="left" indent="2"/>
    </xf>
    <xf numFmtId="0" fontId="61" fillId="0" borderId="0" xfId="203" applyFont="1" applyAlignment="1">
      <alignment horizontal="right" vertical="center"/>
    </xf>
    <xf numFmtId="0" fontId="61" fillId="0" borderId="0" xfId="203" applyFont="1" applyAlignment="1"/>
    <xf numFmtId="0" fontId="62" fillId="0" borderId="0" xfId="203" applyFont="1"/>
    <xf numFmtId="0" fontId="62" fillId="0" borderId="0" xfId="203" applyFont="1" applyAlignment="1"/>
    <xf numFmtId="0" fontId="62" fillId="0" borderId="0" xfId="203" applyFont="1" applyAlignment="1">
      <alignment horizontal="center"/>
    </xf>
    <xf numFmtId="0" fontId="61" fillId="0" borderId="0" xfId="203" applyFont="1"/>
    <xf numFmtId="0" fontId="71" fillId="0" borderId="0" xfId="203" quotePrefix="1" applyFont="1" applyBorder="1" applyAlignment="1">
      <alignment horizontal="center"/>
    </xf>
    <xf numFmtId="0" fontId="21" fillId="0" borderId="4" xfId="203" applyFont="1" applyFill="1" applyBorder="1" applyAlignment="1">
      <alignment horizontal="center" vertical="center" wrapText="1"/>
    </xf>
    <xf numFmtId="0" fontId="10" fillId="0" borderId="0" xfId="203" applyFill="1" applyAlignment="1">
      <alignment vertical="center"/>
    </xf>
    <xf numFmtId="173" fontId="10" fillId="0" borderId="0" xfId="203" applyNumberFormat="1" applyFill="1" applyAlignment="1">
      <alignment vertical="center"/>
    </xf>
    <xf numFmtId="0" fontId="65" fillId="0" borderId="0" xfId="203" applyFont="1" applyFill="1" applyAlignment="1">
      <alignment horizontal="center" vertical="center"/>
    </xf>
    <xf numFmtId="0" fontId="10" fillId="0" borderId="0" xfId="203" applyFont="1" applyFill="1" applyAlignment="1">
      <alignment horizontal="left" indent="1"/>
    </xf>
    <xf numFmtId="0" fontId="10" fillId="0" borderId="0" xfId="213" applyAlignment="1">
      <alignment horizontal="center" vertical="center"/>
    </xf>
    <xf numFmtId="0" fontId="10" fillId="0" borderId="0" xfId="213" applyAlignment="1">
      <alignment vertical="center"/>
    </xf>
    <xf numFmtId="0" fontId="59" fillId="0" borderId="11" xfId="213" applyFont="1" applyBorder="1" applyAlignment="1">
      <alignment horizontal="center" vertical="center"/>
    </xf>
    <xf numFmtId="0" fontId="59" fillId="0" borderId="12" xfId="213" applyFont="1" applyBorder="1" applyAlignment="1">
      <alignment vertical="center"/>
    </xf>
    <xf numFmtId="0" fontId="21" fillId="0" borderId="12" xfId="213" applyFont="1" applyBorder="1" applyAlignment="1">
      <alignment horizontal="center" vertical="center" wrapText="1"/>
    </xf>
    <xf numFmtId="0" fontId="21" fillId="0" borderId="13" xfId="213" applyFont="1" applyBorder="1" applyAlignment="1">
      <alignment horizontal="center" vertical="center" wrapText="1"/>
    </xf>
    <xf numFmtId="0" fontId="10" fillId="0" borderId="14" xfId="213" applyBorder="1" applyAlignment="1">
      <alignment horizontal="center" vertical="center"/>
    </xf>
    <xf numFmtId="0" fontId="10" fillId="0" borderId="7" xfId="213" applyBorder="1" applyAlignment="1">
      <alignment horizontal="left" vertical="center" indent="1"/>
    </xf>
    <xf numFmtId="0" fontId="10" fillId="0" borderId="7" xfId="213" applyBorder="1" applyAlignment="1">
      <alignment horizontal="center" vertical="center"/>
    </xf>
    <xf numFmtId="0" fontId="10" fillId="0" borderId="15" xfId="213" applyBorder="1" applyAlignment="1">
      <alignment horizontal="center" vertical="center"/>
    </xf>
    <xf numFmtId="0" fontId="59" fillId="0" borderId="0" xfId="213" applyFont="1" applyBorder="1" applyAlignment="1">
      <alignment vertical="center"/>
    </xf>
    <xf numFmtId="0" fontId="10" fillId="0" borderId="0" xfId="213" applyBorder="1" applyAlignment="1">
      <alignment horizontal="center" vertical="center"/>
    </xf>
    <xf numFmtId="0" fontId="10" fillId="0" borderId="17" xfId="213" applyBorder="1" applyAlignment="1">
      <alignment horizontal="center" vertical="center"/>
    </xf>
    <xf numFmtId="0" fontId="10" fillId="0" borderId="18" xfId="213" applyBorder="1" applyAlignment="1">
      <alignment horizontal="left" vertical="center" indent="1"/>
    </xf>
    <xf numFmtId="0" fontId="10" fillId="0" borderId="18" xfId="213" applyBorder="1" applyAlignment="1">
      <alignment horizontal="center" vertical="center"/>
    </xf>
    <xf numFmtId="0" fontId="10" fillId="0" borderId="0" xfId="213" applyBorder="1" applyAlignment="1">
      <alignment horizontal="left" vertical="center" indent="1"/>
    </xf>
    <xf numFmtId="10" fontId="0" fillId="0" borderId="0" xfId="214" applyNumberFormat="1" applyFont="1" applyBorder="1" applyAlignment="1">
      <alignment horizontal="center" vertical="center"/>
    </xf>
    <xf numFmtId="0" fontId="73" fillId="0" borderId="0" xfId="213" applyFont="1" applyAlignment="1">
      <alignment horizontal="left" vertical="center"/>
    </xf>
    <xf numFmtId="0" fontId="74" fillId="0" borderId="0" xfId="203" applyFont="1" applyAlignment="1"/>
    <xf numFmtId="0" fontId="75" fillId="0" borderId="0" xfId="203" applyFont="1"/>
    <xf numFmtId="173" fontId="24" fillId="0" borderId="0" xfId="2" applyNumberFormat="1" applyFont="1"/>
    <xf numFmtId="173" fontId="24" fillId="7" borderId="0" xfId="2" applyNumberFormat="1" applyFont="1" applyFill="1"/>
    <xf numFmtId="173" fontId="24" fillId="7" borderId="0" xfId="2" applyNumberFormat="1" applyFont="1" applyFill="1" applyBorder="1"/>
    <xf numFmtId="173" fontId="24" fillId="0" borderId="1" xfId="2" applyNumberFormat="1" applyFont="1" applyBorder="1"/>
    <xf numFmtId="173" fontId="72" fillId="0" borderId="0" xfId="2" applyNumberFormat="1" applyFont="1"/>
    <xf numFmtId="173" fontId="76" fillId="0" borderId="0" xfId="2" applyNumberFormat="1" applyFont="1"/>
    <xf numFmtId="173" fontId="76" fillId="7" borderId="7" xfId="2" applyNumberFormat="1" applyFont="1" applyFill="1" applyBorder="1"/>
    <xf numFmtId="0" fontId="75" fillId="0" borderId="0" xfId="203" applyFont="1" applyFill="1" applyAlignment="1">
      <alignment horizontal="center"/>
    </xf>
    <xf numFmtId="173" fontId="75" fillId="0" borderId="0" xfId="2" applyNumberFormat="1" applyFont="1"/>
    <xf numFmtId="173" fontId="10" fillId="7" borderId="0" xfId="203" applyNumberFormat="1" applyFont="1" applyFill="1" applyBorder="1" applyAlignment="1">
      <alignment horizontal="center" vertical="center" wrapText="1"/>
    </xf>
    <xf numFmtId="173" fontId="0" fillId="7" borderId="4" xfId="205" applyNumberFormat="1" applyFont="1" applyFill="1" applyBorder="1" applyAlignment="1">
      <alignment vertical="center"/>
    </xf>
    <xf numFmtId="0" fontId="77" fillId="0" borderId="0" xfId="203" applyFont="1"/>
    <xf numFmtId="172" fontId="0" fillId="0" borderId="0" xfId="0" applyAlignment="1"/>
    <xf numFmtId="172" fontId="0" fillId="0" borderId="0" xfId="0" applyAlignment="1"/>
    <xf numFmtId="14" fontId="96" fillId="0" borderId="0" xfId="0" applyNumberFormat="1" applyFont="1" applyFill="1" applyAlignment="1">
      <alignment horizontal="center"/>
    </xf>
    <xf numFmtId="172" fontId="0" fillId="0" borderId="0" xfId="0" applyAlignment="1"/>
    <xf numFmtId="172" fontId="0" fillId="0" borderId="0" xfId="0" applyAlignment="1"/>
    <xf numFmtId="0" fontId="61" fillId="0" borderId="0" xfId="203" applyFont="1" applyAlignment="1">
      <alignment horizontal="right" vertical="center"/>
    </xf>
    <xf numFmtId="172" fontId="0" fillId="0" borderId="0" xfId="0" applyAlignment="1"/>
    <xf numFmtId="172" fontId="0" fillId="0" borderId="0" xfId="0" applyAlignment="1"/>
    <xf numFmtId="172" fontId="0" fillId="0" borderId="0" xfId="0" applyAlignment="1"/>
    <xf numFmtId="172" fontId="0" fillId="0" borderId="0" xfId="0" applyAlignment="1"/>
    <xf numFmtId="172" fontId="0" fillId="0" borderId="0" xfId="0" applyAlignment="1"/>
    <xf numFmtId="172" fontId="0" fillId="0" borderId="0" xfId="0" applyAlignment="1"/>
    <xf numFmtId="172" fontId="0" fillId="0" borderId="0" xfId="0" applyAlignment="1"/>
    <xf numFmtId="0" fontId="22" fillId="0" borderId="0" xfId="3"/>
    <xf numFmtId="0" fontId="10" fillId="0" borderId="0" xfId="203"/>
    <xf numFmtId="0" fontId="61" fillId="0" borderId="0" xfId="203" applyFont="1" applyAlignment="1">
      <alignment horizontal="left"/>
    </xf>
    <xf numFmtId="14" fontId="96" fillId="0" borderId="0" xfId="0" applyNumberFormat="1" applyFont="1" applyFill="1" applyAlignment="1">
      <alignment horizontal="center"/>
    </xf>
    <xf numFmtId="174" fontId="0" fillId="0" borderId="0" xfId="0" applyNumberFormat="1" applyAlignment="1"/>
    <xf numFmtId="173" fontId="10" fillId="0" borderId="4" xfId="205" applyNumberFormat="1" applyFont="1" applyBorder="1" applyAlignment="1">
      <alignment horizontal="center" vertical="center" wrapText="1"/>
    </xf>
    <xf numFmtId="0" fontId="8" fillId="0" borderId="0" xfId="203" applyFont="1"/>
    <xf numFmtId="0" fontId="7" fillId="0" borderId="0" xfId="203" applyFont="1" applyAlignment="1">
      <alignment vertical="center"/>
    </xf>
    <xf numFmtId="0" fontId="21" fillId="0" borderId="0" xfId="792" applyFont="1" applyBorder="1" applyAlignment="1">
      <alignment horizontal="center" vertical="center" wrapText="1"/>
    </xf>
    <xf numFmtId="173" fontId="97" fillId="0" borderId="0" xfId="205" applyNumberFormat="1" applyFont="1" applyAlignment="1">
      <alignment vertical="center"/>
    </xf>
    <xf numFmtId="173" fontId="65" fillId="0" borderId="0" xfId="794" applyNumberFormat="1" applyFont="1" applyBorder="1" applyAlignment="1">
      <alignment vertical="center"/>
    </xf>
    <xf numFmtId="173" fontId="65" fillId="0" borderId="0" xfId="794" applyNumberFormat="1" applyFont="1" applyFill="1" applyBorder="1" applyAlignment="1">
      <alignment vertical="center"/>
    </xf>
    <xf numFmtId="172" fontId="0" fillId="0" borderId="0" xfId="0" applyFont="1" applyBorder="1" applyAlignment="1"/>
    <xf numFmtId="172" fontId="0" fillId="0" borderId="0" xfId="0" applyBorder="1" applyAlignment="1"/>
    <xf numFmtId="173" fontId="97" fillId="0" borderId="0" xfId="205" applyNumberFormat="1" applyFont="1" applyFill="1" applyAlignment="1">
      <alignment vertical="center"/>
    </xf>
    <xf numFmtId="172" fontId="0" fillId="0" borderId="0" xfId="0" applyAlignment="1"/>
    <xf numFmtId="0" fontId="58" fillId="0" borderId="0" xfId="0" applyNumberFormat="1" applyFont="1" applyFill="1" applyAlignment="1">
      <alignment wrapText="1"/>
    </xf>
    <xf numFmtId="0" fontId="61" fillId="0" borderId="0" xfId="203" applyFont="1" applyFill="1" applyAlignment="1">
      <alignment horizontal="center" vertical="center"/>
    </xf>
    <xf numFmtId="173" fontId="65" fillId="0" borderId="0" xfId="203" applyNumberFormat="1" applyFont="1" applyFill="1" applyAlignment="1">
      <alignment vertical="center"/>
    </xf>
    <xf numFmtId="173" fontId="65" fillId="0" borderId="0" xfId="203" applyNumberFormat="1" applyFont="1" applyFill="1" applyAlignment="1">
      <alignment horizontal="center" vertical="center"/>
    </xf>
    <xf numFmtId="0" fontId="75" fillId="0" borderId="0" xfId="203" applyFont="1" applyFill="1"/>
    <xf numFmtId="0" fontId="98" fillId="0" borderId="0" xfId="885" applyFont="1" applyFill="1" applyAlignment="1">
      <alignment horizontal="left" indent="1"/>
    </xf>
    <xf numFmtId="0" fontId="98" fillId="0" borderId="0" xfId="830" applyFont="1" applyFill="1" applyAlignment="1">
      <alignment horizontal="left" wrapText="1" indent="1"/>
    </xf>
    <xf numFmtId="0" fontId="6" fillId="0" borderId="0" xfId="203" applyFont="1" applyFill="1" applyAlignment="1">
      <alignment horizontal="left" indent="1"/>
    </xf>
    <xf numFmtId="0" fontId="98" fillId="0" borderId="0" xfId="882" applyFont="1" applyFill="1" applyAlignment="1">
      <alignment horizontal="left" indent="2"/>
    </xf>
    <xf numFmtId="0" fontId="6" fillId="0" borderId="0" xfId="881" applyFont="1" applyFill="1" applyAlignment="1">
      <alignment horizontal="left" indent="1"/>
    </xf>
    <xf numFmtId="0" fontId="98" fillId="0" borderId="0" xfId="881" applyFont="1" applyFill="1" applyAlignment="1">
      <alignment horizontal="left" indent="2"/>
    </xf>
    <xf numFmtId="0" fontId="100" fillId="0" borderId="0" xfId="853" applyFont="1" applyFill="1"/>
    <xf numFmtId="0" fontId="100" fillId="0" borderId="0" xfId="831" applyFont="1" applyFill="1" applyAlignment="1">
      <alignment wrapText="1"/>
    </xf>
    <xf numFmtId="0" fontId="100" fillId="0" borderId="0" xfId="849" applyFont="1" applyFill="1"/>
    <xf numFmtId="0" fontId="100" fillId="0" borderId="0" xfId="837" applyFont="1" applyFill="1" applyAlignment="1">
      <alignment wrapText="1"/>
    </xf>
    <xf numFmtId="0" fontId="99" fillId="0" borderId="0" xfId="827" applyFont="1" applyFill="1" applyAlignment="1">
      <alignment vertical="center" wrapText="1"/>
    </xf>
    <xf numFmtId="0" fontId="10" fillId="0" borderId="0" xfId="203" applyFont="1" applyAlignment="1">
      <alignment horizontal="left" vertical="center"/>
    </xf>
    <xf numFmtId="0" fontId="62" fillId="0" borderId="0" xfId="203" applyFont="1" applyAlignment="1">
      <alignment horizontal="left" vertical="center"/>
    </xf>
    <xf numFmtId="0" fontId="21" fillId="0" borderId="4" xfId="691" applyFont="1" applyBorder="1" applyAlignment="1">
      <alignment horizontal="center"/>
    </xf>
    <xf numFmtId="173" fontId="62" fillId="0" borderId="0" xfId="203" applyNumberFormat="1" applyFont="1" applyAlignment="1">
      <alignment horizontal="center" vertical="center"/>
    </xf>
    <xf numFmtId="173" fontId="75" fillId="0" borderId="0" xfId="203" applyNumberFormat="1" applyFont="1" applyFill="1" applyAlignment="1">
      <alignment vertical="center"/>
    </xf>
    <xf numFmtId="173" fontId="62" fillId="0" borderId="0" xfId="203" applyNumberFormat="1" applyFont="1" applyAlignment="1">
      <alignment vertical="center"/>
    </xf>
    <xf numFmtId="170" fontId="57" fillId="0" borderId="0" xfId="0" applyNumberFormat="1" applyFont="1" applyAlignment="1"/>
    <xf numFmtId="0" fontId="104" fillId="0" borderId="0" xfId="203" applyFont="1" applyAlignment="1">
      <alignment horizontal="left" indent="1"/>
    </xf>
    <xf numFmtId="0" fontId="104" fillId="0" borderId="0" xfId="203" applyFont="1" applyAlignment="1">
      <alignment horizontal="left" indent="2"/>
    </xf>
    <xf numFmtId="0" fontId="105" fillId="0" borderId="0" xfId="203" applyFont="1" applyAlignment="1">
      <alignment horizontal="left" indent="2"/>
    </xf>
    <xf numFmtId="0" fontId="105" fillId="0" borderId="0" xfId="203" applyFont="1" applyAlignment="1">
      <alignment horizontal="left" indent="1"/>
    </xf>
    <xf numFmtId="0" fontId="105" fillId="0" borderId="0" xfId="203" applyFont="1"/>
    <xf numFmtId="0" fontId="104" fillId="0" borderId="0" xfId="203" applyFont="1" applyAlignment="1">
      <alignment horizontal="left" vertical="center"/>
    </xf>
    <xf numFmtId="0" fontId="106" fillId="0" borderId="0" xfId="203" applyFont="1"/>
    <xf numFmtId="0" fontId="107" fillId="0" borderId="0" xfId="203" applyFont="1"/>
    <xf numFmtId="0" fontId="106" fillId="0" borderId="0" xfId="203" applyFont="1" applyFill="1"/>
    <xf numFmtId="0" fontId="62" fillId="0" borderId="0" xfId="203" applyFont="1" applyAlignment="1">
      <alignment horizontal="left" indent="2"/>
    </xf>
    <xf numFmtId="0" fontId="61" fillId="0" borderId="0" xfId="203" applyFont="1" applyAlignment="1">
      <alignment horizontal="left" indent="1"/>
    </xf>
    <xf numFmtId="173" fontId="67" fillId="0" borderId="0" xfId="2" applyNumberFormat="1" applyFont="1" applyAlignment="1">
      <alignment horizontal="center"/>
    </xf>
    <xf numFmtId="173" fontId="109" fillId="0" borderId="0" xfId="2" applyNumberFormat="1" applyFont="1" applyFill="1" applyAlignment="1">
      <alignment horizontal="center"/>
    </xf>
    <xf numFmtId="173" fontId="57" fillId="0" borderId="0" xfId="2" applyNumberFormat="1" applyFont="1"/>
    <xf numFmtId="173" fontId="57" fillId="0" borderId="4" xfId="2" applyNumberFormat="1" applyFont="1" applyBorder="1"/>
    <xf numFmtId="173" fontId="110" fillId="0" borderId="0" xfId="2" applyNumberFormat="1" applyFont="1"/>
    <xf numFmtId="173" fontId="62" fillId="0" borderId="0" xfId="2" applyNumberFormat="1" applyFont="1"/>
    <xf numFmtId="173" fontId="57" fillId="0" borderId="0" xfId="2" applyNumberFormat="1" applyFont="1" applyFill="1" applyBorder="1"/>
    <xf numFmtId="173" fontId="62" fillId="0" borderId="0" xfId="2" applyNumberFormat="1" applyFont="1" applyFill="1" applyBorder="1"/>
    <xf numFmtId="173" fontId="57" fillId="7" borderId="7" xfId="2" applyNumberFormat="1" applyFont="1" applyFill="1" applyBorder="1"/>
    <xf numFmtId="173" fontId="5" fillId="0" borderId="0" xfId="2" applyNumberFormat="1" applyFont="1"/>
    <xf numFmtId="0" fontId="5" fillId="0" borderId="0" xfId="203" applyFont="1"/>
    <xf numFmtId="0" fontId="5" fillId="0" borderId="0" xfId="203" applyFont="1" applyFill="1"/>
    <xf numFmtId="173" fontId="62" fillId="0" borderId="0" xfId="203" applyNumberFormat="1" applyFont="1"/>
    <xf numFmtId="172" fontId="57" fillId="0" borderId="0" xfId="0" applyFont="1" applyAlignment="1"/>
    <xf numFmtId="14" fontId="57" fillId="0" borderId="0" xfId="0" applyNumberFormat="1" applyFont="1" applyFill="1" applyAlignment="1">
      <alignment horizontal="center"/>
    </xf>
    <xf numFmtId="14" fontId="57" fillId="0" borderId="0" xfId="0" applyNumberFormat="1" applyFont="1" applyFill="1" applyAlignment="1"/>
    <xf numFmtId="172" fontId="0" fillId="0" borderId="0" xfId="0" applyFont="1" applyAlignment="1"/>
    <xf numFmtId="0" fontId="61" fillId="0" borderId="0" xfId="203" applyFont="1" applyAlignment="1">
      <alignment horizontal="center"/>
    </xf>
    <xf numFmtId="174" fontId="110" fillId="0" borderId="0" xfId="1" applyNumberFormat="1" applyFont="1"/>
    <xf numFmtId="174" fontId="62" fillId="0" borderId="0" xfId="1" applyNumberFormat="1" applyFont="1"/>
    <xf numFmtId="0" fontId="62" fillId="0" borderId="0" xfId="785" applyFont="1" applyBorder="1"/>
    <xf numFmtId="170" fontId="62" fillId="0" borderId="0" xfId="785" applyNumberFormat="1" applyFont="1" applyBorder="1"/>
    <xf numFmtId="0" fontId="62" fillId="0" borderId="0" xfId="785" applyFont="1" applyFill="1" applyBorder="1"/>
    <xf numFmtId="43" fontId="57" fillId="0" borderId="0" xfId="1" applyNumberFormat="1" applyFont="1"/>
    <xf numFmtId="173" fontId="57" fillId="0" borderId="0" xfId="205" applyNumberFormat="1" applyFont="1"/>
    <xf numFmtId="0" fontId="62" fillId="0" borderId="0" xfId="203" applyFont="1" applyFill="1"/>
    <xf numFmtId="0" fontId="61" fillId="0" borderId="0" xfId="203" applyFont="1" applyFill="1"/>
    <xf numFmtId="0" fontId="62" fillId="0" borderId="0" xfId="203" applyFont="1" applyFill="1" applyAlignment="1">
      <alignment horizontal="left" indent="1"/>
    </xf>
    <xf numFmtId="0" fontId="57" fillId="0" borderId="0" xfId="203" applyFont="1"/>
    <xf numFmtId="0" fontId="62" fillId="0" borderId="0" xfId="203" applyFont="1" applyAlignment="1">
      <alignment horizontal="left" indent="1"/>
    </xf>
    <xf numFmtId="0" fontId="111" fillId="0" borderId="0" xfId="821" applyFont="1" applyFill="1"/>
    <xf numFmtId="0" fontId="112" fillId="0" borderId="0" xfId="203" applyFont="1"/>
    <xf numFmtId="0" fontId="57" fillId="0" borderId="0" xfId="3" applyFont="1"/>
    <xf numFmtId="0" fontId="113" fillId="0" borderId="0" xfId="870" applyFont="1" applyFill="1" applyAlignment="1">
      <alignment wrapText="1"/>
    </xf>
    <xf numFmtId="0" fontId="61" fillId="0" borderId="0" xfId="870" applyFont="1" applyFill="1" applyAlignment="1">
      <alignment horizontal="center" vertical="center" wrapText="1"/>
    </xf>
    <xf numFmtId="0" fontId="62" fillId="0" borderId="0" xfId="870" applyFont="1"/>
    <xf numFmtId="0" fontId="62" fillId="0" borderId="0" xfId="870" applyFont="1" applyFill="1"/>
    <xf numFmtId="173" fontId="62" fillId="0" borderId="0" xfId="868" applyNumberFormat="1" applyFont="1" applyFill="1"/>
    <xf numFmtId="173" fontId="110" fillId="0" borderId="0" xfId="2" applyNumberFormat="1" applyFont="1" applyFill="1" applyBorder="1"/>
    <xf numFmtId="0" fontId="57" fillId="0" borderId="0" xfId="3" applyFont="1" applyAlignment="1">
      <alignment horizontal="left" indent="1"/>
    </xf>
    <xf numFmtId="0" fontId="111" fillId="0" borderId="0" xfId="3" applyFont="1" applyFill="1" applyAlignment="1">
      <alignment horizontal="left" indent="1"/>
    </xf>
    <xf numFmtId="0" fontId="111" fillId="0" borderId="0" xfId="3" quotePrefix="1" applyFont="1" applyFill="1"/>
    <xf numFmtId="0" fontId="57" fillId="0" borderId="0" xfId="3" applyFont="1" applyFill="1"/>
    <xf numFmtId="0" fontId="111" fillId="0" borderId="0" xfId="3" applyFont="1" applyFill="1"/>
    <xf numFmtId="0" fontId="57" fillId="0" borderId="0" xfId="3" applyFont="1" applyAlignment="1">
      <alignment horizontal="left" indent="2"/>
    </xf>
    <xf numFmtId="174" fontId="5" fillId="0" borderId="0" xfId="204" applyNumberFormat="1" applyFont="1"/>
    <xf numFmtId="173" fontId="5" fillId="7" borderId="7" xfId="203" applyNumberFormat="1" applyFont="1" applyFill="1" applyBorder="1"/>
    <xf numFmtId="0" fontId="5" fillId="0" borderId="0" xfId="203" applyFont="1" applyAlignment="1">
      <alignment wrapText="1"/>
    </xf>
    <xf numFmtId="174" fontId="57" fillId="0" borderId="0" xfId="204" applyNumberFormat="1" applyFont="1" applyFill="1" applyBorder="1"/>
    <xf numFmtId="174" fontId="57" fillId="0" borderId="0" xfId="204" applyNumberFormat="1" applyFont="1"/>
    <xf numFmtId="0" fontId="62" fillId="0" borderId="0" xfId="203" quotePrefix="1" applyFont="1" applyAlignment="1"/>
    <xf numFmtId="172" fontId="20" fillId="0" borderId="0" xfId="0" applyFont="1" applyAlignment="1"/>
    <xf numFmtId="0" fontId="62" fillId="0" borderId="0" xfId="203" applyFont="1" applyBorder="1" applyAlignment="1"/>
    <xf numFmtId="3" fontId="62" fillId="0" borderId="0" xfId="203" applyNumberFormat="1" applyFont="1" applyAlignment="1"/>
    <xf numFmtId="173" fontId="57" fillId="7" borderId="0" xfId="205" applyNumberFormat="1" applyFont="1" applyFill="1" applyAlignment="1"/>
    <xf numFmtId="173" fontId="57" fillId="0" borderId="9" xfId="205" applyNumberFormat="1" applyFont="1" applyBorder="1" applyAlignment="1"/>
    <xf numFmtId="173" fontId="57" fillId="0" borderId="0" xfId="205" applyNumberFormat="1" applyFont="1" applyBorder="1" applyAlignment="1"/>
    <xf numFmtId="173" fontId="57" fillId="0" borderId="0" xfId="205" applyNumberFormat="1" applyFont="1" applyAlignment="1"/>
    <xf numFmtId="0" fontId="57" fillId="0" borderId="0" xfId="203" applyNumberFormat="1" applyFont="1" applyAlignment="1" applyProtection="1">
      <alignment wrapText="1"/>
      <protection locked="0"/>
    </xf>
    <xf numFmtId="0" fontId="57" fillId="0" borderId="0" xfId="203" applyNumberFormat="1" applyFont="1" applyBorder="1" applyAlignment="1" applyProtection="1">
      <alignment wrapText="1"/>
      <protection locked="0"/>
    </xf>
    <xf numFmtId="0" fontId="57" fillId="0" borderId="0" xfId="203" applyNumberFormat="1" applyFont="1" applyFill="1" applyBorder="1" applyAlignment="1" applyProtection="1">
      <alignment wrapText="1"/>
      <protection locked="0"/>
    </xf>
    <xf numFmtId="173" fontId="57" fillId="0" borderId="5" xfId="205" applyNumberFormat="1" applyFont="1" applyBorder="1" applyAlignment="1"/>
    <xf numFmtId="0" fontId="11" fillId="0" borderId="0" xfId="0" applyNumberFormat="1" applyFont="1" applyFill="1" applyAlignment="1" applyProtection="1">
      <alignment vertical="top" wrapText="1"/>
      <protection locked="0"/>
    </xf>
    <xf numFmtId="0" fontId="11" fillId="0" borderId="0" xfId="0" applyNumberFormat="1" applyFont="1" applyAlignment="1" applyProtection="1">
      <alignment vertical="top" wrapText="1"/>
      <protection locked="0"/>
    </xf>
    <xf numFmtId="173" fontId="57" fillId="7" borderId="0" xfId="205" applyNumberFormat="1" applyFont="1" applyFill="1"/>
    <xf numFmtId="172" fontId="11" fillId="0" borderId="0" xfId="0" applyFont="1" applyAlignment="1" applyProtection="1">
      <protection locked="0"/>
    </xf>
    <xf numFmtId="172" fontId="11" fillId="0" borderId="0" xfId="0" applyFont="1" applyAlignment="1" applyProtection="1">
      <alignment horizontal="right"/>
      <protection locked="0"/>
    </xf>
    <xf numFmtId="0" fontId="11" fillId="0" borderId="0" xfId="0" applyNumberFormat="1" applyFont="1" applyAlignment="1" applyProtection="1">
      <alignment horizontal="right"/>
      <protection locked="0"/>
    </xf>
    <xf numFmtId="172" fontId="11" fillId="2" borderId="0" xfId="0" applyFont="1" applyFill="1" applyAlignment="1" applyProtection="1">
      <protection locked="0"/>
    </xf>
    <xf numFmtId="3" fontId="11" fillId="0" borderId="0" xfId="0" applyNumberFormat="1" applyFont="1" applyAlignment="1" applyProtection="1">
      <protection locked="0"/>
    </xf>
    <xf numFmtId="49" fontId="11" fillId="2" borderId="0" xfId="0" applyNumberFormat="1" applyFont="1" applyFill="1" applyProtection="1">
      <protection locked="0"/>
    </xf>
    <xf numFmtId="49" fontId="11" fillId="0" borderId="0" xfId="0" applyNumberFormat="1" applyFont="1" applyProtection="1">
      <protection locked="0"/>
    </xf>
    <xf numFmtId="42" fontId="11" fillId="0" borderId="0" xfId="0" applyNumberFormat="1" applyFont="1" applyProtection="1"/>
    <xf numFmtId="3" fontId="11" fillId="0" borderId="0" xfId="0" applyNumberFormat="1" applyFont="1" applyAlignment="1" applyProtection="1"/>
    <xf numFmtId="166" fontId="11" fillId="0" borderId="0" xfId="0" applyNumberFormat="1" applyFont="1" applyAlignment="1" applyProtection="1"/>
    <xf numFmtId="3" fontId="11" fillId="2" borderId="0" xfId="0" applyNumberFormat="1" applyFont="1" applyFill="1" applyProtection="1">
      <protection locked="0"/>
    </xf>
    <xf numFmtId="0" fontId="13" fillId="0" borderId="0" xfId="0" applyNumberFormat="1" applyFont="1" applyProtection="1">
      <protection locked="0"/>
    </xf>
    <xf numFmtId="3" fontId="11" fillId="0" borderId="1" xfId="0" applyNumberFormat="1" applyFont="1" applyBorder="1" applyAlignment="1" applyProtection="1"/>
    <xf numFmtId="3" fontId="11" fillId="0" borderId="0" xfId="0" applyNumberFormat="1" applyFont="1" applyAlignment="1" applyProtection="1">
      <alignment horizontal="fill"/>
      <protection locked="0"/>
    </xf>
    <xf numFmtId="166" fontId="11" fillId="0" borderId="0" xfId="0" applyNumberFormat="1" applyFont="1" applyAlignment="1" applyProtection="1">
      <protection locked="0"/>
    </xf>
    <xf numFmtId="3" fontId="11" fillId="2" borderId="0" xfId="0" applyNumberFormat="1" applyFont="1" applyFill="1" applyBorder="1" applyProtection="1">
      <protection locked="0"/>
    </xf>
    <xf numFmtId="3" fontId="11" fillId="2" borderId="1" xfId="0" applyNumberFormat="1" applyFont="1" applyFill="1" applyBorder="1" applyProtection="1">
      <protection locked="0"/>
    </xf>
    <xf numFmtId="0" fontId="19" fillId="0" borderId="0" xfId="0" applyNumberFormat="1" applyFont="1" applyProtection="1">
      <protection locked="0"/>
    </xf>
    <xf numFmtId="3" fontId="11" fillId="0" borderId="0" xfId="0" applyNumberFormat="1" applyFont="1" applyProtection="1"/>
    <xf numFmtId="0" fontId="19" fillId="0" borderId="0" xfId="0" applyNumberFormat="1" applyFont="1" applyAlignment="1" applyProtection="1">
      <protection locked="0"/>
    </xf>
    <xf numFmtId="3" fontId="11" fillId="0" borderId="0" xfId="0" applyNumberFormat="1" applyFont="1" applyFill="1" applyProtection="1"/>
    <xf numFmtId="42" fontId="11" fillId="0" borderId="2" xfId="0" applyNumberFormat="1" applyFont="1" applyBorder="1" applyAlignment="1" applyProtection="1">
      <alignment horizontal="right"/>
    </xf>
    <xf numFmtId="172" fontId="13" fillId="0" borderId="0" xfId="0" applyFont="1" applyAlignment="1" applyProtection="1">
      <protection locked="0"/>
    </xf>
    <xf numFmtId="3" fontId="11" fillId="0" borderId="0" xfId="0" applyNumberFormat="1" applyFont="1" applyFill="1" applyBorder="1" applyProtection="1">
      <protection locked="0"/>
    </xf>
    <xf numFmtId="168" fontId="11" fillId="0" borderId="0" xfId="0" applyNumberFormat="1" applyFont="1" applyProtection="1"/>
    <xf numFmtId="168" fontId="11" fillId="0" borderId="0" xfId="0" applyNumberFormat="1" applyFont="1" applyProtection="1">
      <protection locked="0"/>
    </xf>
    <xf numFmtId="168" fontId="11" fillId="0" borderId="0" xfId="0" applyNumberFormat="1" applyFont="1" applyAlignment="1" applyProtection="1">
      <alignment horizontal="center"/>
      <protection locked="0"/>
    </xf>
    <xf numFmtId="172" fontId="11" fillId="0" borderId="0" xfId="0" applyFont="1" applyAlignment="1" applyProtection="1">
      <alignment horizontal="center"/>
      <protection locked="0"/>
    </xf>
    <xf numFmtId="171" fontId="11" fillId="0" borderId="0" xfId="0" applyNumberFormat="1" applyFont="1" applyAlignment="1" applyProtection="1"/>
    <xf numFmtId="171" fontId="11" fillId="0" borderId="0" xfId="0" applyNumberFormat="1" applyFont="1" applyProtection="1"/>
    <xf numFmtId="0" fontId="11" fillId="0" borderId="0" xfId="0" applyNumberFormat="1" applyFont="1" applyAlignment="1" applyProtection="1"/>
    <xf numFmtId="0" fontId="11" fillId="0" borderId="0" xfId="0" applyNumberFormat="1" applyFont="1" applyAlignment="1" applyProtection="1">
      <alignment horizontal="left"/>
    </xf>
    <xf numFmtId="0" fontId="11" fillId="0" borderId="0" xfId="0" applyNumberFormat="1" applyFont="1" applyAlignment="1" applyProtection="1">
      <alignment horizontal="right"/>
    </xf>
    <xf numFmtId="49" fontId="11" fillId="0" borderId="0" xfId="0" applyNumberFormat="1" applyFont="1" applyAlignment="1" applyProtection="1">
      <alignment horizontal="left"/>
      <protection locked="0"/>
    </xf>
    <xf numFmtId="49" fontId="11" fillId="0" borderId="0" xfId="0" applyNumberFormat="1" applyFont="1" applyAlignment="1" applyProtection="1">
      <alignment horizontal="center"/>
      <protection locked="0"/>
    </xf>
    <xf numFmtId="3" fontId="14" fillId="0" borderId="0" xfId="0" applyNumberFormat="1" applyFont="1" applyAlignment="1" applyProtection="1">
      <alignment horizontal="center"/>
      <protection locked="0"/>
    </xf>
    <xf numFmtId="0" fontId="14" fillId="0" borderId="0" xfId="0" applyNumberFormat="1" applyFont="1" applyAlignment="1" applyProtection="1">
      <protection locked="0"/>
    </xf>
    <xf numFmtId="172" fontId="14" fillId="0" borderId="0" xfId="0" applyFont="1" applyAlignment="1" applyProtection="1">
      <alignment horizontal="center"/>
      <protection locked="0"/>
    </xf>
    <xf numFmtId="3" fontId="14" fillId="0" borderId="0" xfId="0" applyNumberFormat="1" applyFont="1" applyAlignment="1" applyProtection="1">
      <protection locked="0"/>
    </xf>
    <xf numFmtId="3" fontId="11" fillId="2" borderId="0" xfId="0" applyNumberFormat="1" applyFont="1" applyFill="1" applyBorder="1" applyAlignment="1" applyProtection="1">
      <protection locked="0"/>
    </xf>
    <xf numFmtId="165" fontId="11" fillId="0" borderId="0" xfId="0" applyNumberFormat="1" applyFont="1" applyAlignment="1" applyProtection="1">
      <protection locked="0"/>
    </xf>
    <xf numFmtId="165" fontId="11" fillId="0" borderId="0" xfId="0" applyNumberFormat="1" applyFont="1" applyAlignment="1" applyProtection="1"/>
    <xf numFmtId="3" fontId="11" fillId="2" borderId="1" xfId="0" applyNumberFormat="1" applyFont="1" applyFill="1" applyBorder="1" applyAlignment="1" applyProtection="1">
      <protection locked="0"/>
    </xf>
    <xf numFmtId="164" fontId="11" fillId="0" borderId="0" xfId="0" applyNumberFormat="1" applyFont="1" applyAlignment="1" applyProtection="1">
      <alignment horizontal="center"/>
    </xf>
    <xf numFmtId="164" fontId="11" fillId="0" borderId="0" xfId="0" applyNumberFormat="1" applyFont="1" applyAlignment="1" applyProtection="1">
      <alignment horizontal="center"/>
      <protection locked="0"/>
    </xf>
    <xf numFmtId="3" fontId="11" fillId="2" borderId="0" xfId="0" applyNumberFormat="1" applyFont="1" applyFill="1" applyAlignment="1" applyProtection="1">
      <protection locked="0"/>
    </xf>
    <xf numFmtId="0" fontId="11" fillId="0" borderId="0" xfId="0" applyNumberFormat="1" applyFont="1" applyAlignment="1" applyProtection="1">
      <alignment horizontal="fill"/>
      <protection locked="0"/>
    </xf>
    <xf numFmtId="165" fontId="11" fillId="0" borderId="0" xfId="0" applyNumberFormat="1" applyFont="1" applyAlignment="1" applyProtection="1">
      <alignment horizontal="right"/>
      <protection locked="0"/>
    </xf>
    <xf numFmtId="3" fontId="11" fillId="0" borderId="0" xfId="0" applyNumberFormat="1" applyFont="1" applyAlignment="1" applyProtection="1">
      <alignment horizontal="center"/>
      <protection locked="0"/>
    </xf>
    <xf numFmtId="172" fontId="11" fillId="0" borderId="1" xfId="0" applyFont="1" applyBorder="1" applyAlignment="1" applyProtection="1">
      <protection locked="0"/>
    </xf>
    <xf numFmtId="3" fontId="11" fillId="0" borderId="2" xfId="0" applyNumberFormat="1" applyFont="1" applyBorder="1" applyAlignment="1" applyProtection="1"/>
    <xf numFmtId="3" fontId="11" fillId="0" borderId="0" xfId="0" applyNumberFormat="1" applyFont="1" applyAlignment="1" applyProtection="1">
      <alignment horizontal="right"/>
    </xf>
    <xf numFmtId="172" fontId="11" fillId="0" borderId="0" xfId="0" applyFont="1" applyAlignment="1" applyProtection="1"/>
    <xf numFmtId="0" fontId="11" fillId="0" borderId="0" xfId="0" applyNumberFormat="1" applyFont="1" applyFill="1" applyAlignment="1" applyProtection="1">
      <protection locked="0"/>
    </xf>
    <xf numFmtId="172" fontId="11" fillId="0" borderId="0" xfId="0" applyFont="1" applyFill="1" applyAlignment="1" applyProtection="1">
      <protection locked="0"/>
    </xf>
    <xf numFmtId="3" fontId="18" fillId="0" borderId="0" xfId="0" applyNumberFormat="1" applyFont="1" applyAlignment="1" applyProtection="1">
      <protection locked="0"/>
    </xf>
    <xf numFmtId="3" fontId="11" fillId="0" borderId="0" xfId="0" applyNumberFormat="1" applyFont="1" applyFill="1" applyAlignment="1" applyProtection="1">
      <protection locked="0"/>
    </xf>
    <xf numFmtId="3" fontId="11" fillId="0" borderId="0" xfId="0" applyNumberFormat="1" applyFont="1" applyAlignment="1" applyProtection="1">
      <alignment horizontal="left"/>
      <protection locked="0"/>
    </xf>
    <xf numFmtId="166" fontId="11" fillId="0" borderId="0" xfId="0" applyNumberFormat="1" applyFont="1" applyAlignment="1" applyProtection="1">
      <alignment horizontal="right"/>
      <protection locked="0"/>
    </xf>
    <xf numFmtId="10" fontId="11" fillId="0" borderId="0" xfId="0" applyNumberFormat="1" applyFont="1" applyAlignment="1" applyProtection="1">
      <alignment horizontal="left"/>
      <protection locked="0"/>
    </xf>
    <xf numFmtId="10" fontId="11" fillId="0" borderId="0" xfId="0" applyNumberFormat="1" applyFont="1" applyFill="1" applyAlignment="1" applyProtection="1">
      <alignment horizontal="right"/>
    </xf>
    <xf numFmtId="169" fontId="11" fillId="0" borderId="0" xfId="0" applyNumberFormat="1" applyFont="1" applyFill="1" applyAlignment="1" applyProtection="1">
      <alignment horizontal="right"/>
    </xf>
    <xf numFmtId="3" fontId="11" fillId="0" borderId="0" xfId="0" applyNumberFormat="1" applyFont="1" applyFill="1" applyAlignment="1" applyProtection="1">
      <alignment horizontal="right"/>
    </xf>
    <xf numFmtId="167" fontId="11" fillId="0" borderId="0" xfId="0" applyNumberFormat="1" applyFont="1" applyAlignment="1" applyProtection="1">
      <protection locked="0"/>
    </xf>
    <xf numFmtId="3" fontId="11" fillId="0" borderId="0" xfId="0" applyNumberFormat="1" applyFont="1" applyBorder="1" applyAlignment="1" applyProtection="1">
      <protection locked="0"/>
    </xf>
    <xf numFmtId="3" fontId="11" fillId="0" borderId="0" xfId="0" applyNumberFormat="1" applyFont="1" applyBorder="1" applyAlignment="1" applyProtection="1"/>
    <xf numFmtId="0" fontId="11" fillId="2" borderId="0" xfId="0" applyNumberFormat="1" applyFont="1" applyFill="1" applyBorder="1" applyAlignment="1" applyProtection="1">
      <protection locked="0"/>
    </xf>
    <xf numFmtId="0" fontId="11" fillId="2" borderId="1" xfId="0" applyNumberFormat="1" applyFont="1" applyFill="1" applyBorder="1" applyAlignment="1" applyProtection="1">
      <protection locked="0"/>
    </xf>
    <xf numFmtId="3" fontId="11" fillId="0" borderId="2" xfId="0" applyNumberFormat="1" applyFont="1" applyFill="1" applyBorder="1" applyAlignment="1" applyProtection="1"/>
    <xf numFmtId="0" fontId="11" fillId="0" borderId="0" xfId="0" applyNumberFormat="1" applyFont="1" applyFill="1" applyProtection="1">
      <protection locked="0"/>
    </xf>
    <xf numFmtId="172" fontId="12" fillId="0" borderId="0" xfId="0" applyFont="1" applyAlignment="1" applyProtection="1">
      <protection locked="0"/>
    </xf>
    <xf numFmtId="3" fontId="12" fillId="0" borderId="0" xfId="0" applyNumberFormat="1" applyFont="1" applyAlignment="1" applyProtection="1">
      <protection locked="0"/>
    </xf>
    <xf numFmtId="172" fontId="11" fillId="0" borderId="0" xfId="0" applyFont="1" applyAlignment="1" applyProtection="1">
      <alignment horizontal="right"/>
    </xf>
    <xf numFmtId="0" fontId="15" fillId="0" borderId="0" xfId="0" applyNumberFormat="1" applyFont="1" applyProtection="1">
      <protection locked="0"/>
    </xf>
    <xf numFmtId="49" fontId="11" fillId="0" borderId="0" xfId="0" applyNumberFormat="1" applyFont="1" applyAlignment="1" applyProtection="1">
      <protection locked="0"/>
    </xf>
    <xf numFmtId="165" fontId="11" fillId="0" borderId="0" xfId="0" applyNumberFormat="1" applyFont="1" applyAlignment="1" applyProtection="1">
      <alignment horizontal="right"/>
    </xf>
    <xf numFmtId="172" fontId="11" fillId="0" borderId="0" xfId="0" applyFont="1" applyFill="1" applyBorder="1" applyAlignment="1" applyProtection="1">
      <protection locked="0"/>
    </xf>
    <xf numFmtId="172" fontId="17" fillId="0" borderId="0" xfId="0" applyFont="1" applyFill="1" applyBorder="1" applyAlignment="1" applyProtection="1">
      <protection locked="0"/>
    </xf>
    <xf numFmtId="170" fontId="11" fillId="0" borderId="0" xfId="0" applyNumberFormat="1" applyFont="1" applyFill="1" applyBorder="1" applyAlignment="1" applyProtection="1">
      <protection locked="0"/>
    </xf>
    <xf numFmtId="3" fontId="13" fillId="0" borderId="0" xfId="0" applyNumberFormat="1" applyFont="1" applyFill="1" applyBorder="1" applyAlignment="1" applyProtection="1">
      <protection locked="0"/>
    </xf>
    <xf numFmtId="3" fontId="11" fillId="0" borderId="0" xfId="0" applyNumberFormat="1" applyFont="1" applyFill="1" applyBorder="1" applyAlignment="1" applyProtection="1">
      <protection locked="0"/>
    </xf>
    <xf numFmtId="172" fontId="13" fillId="0" borderId="0" xfId="0" applyFont="1" applyFill="1" applyBorder="1" applyAlignment="1" applyProtection="1">
      <protection locked="0"/>
    </xf>
    <xf numFmtId="0" fontId="11" fillId="0" borderId="0" xfId="0" applyNumberFormat="1" applyFont="1" applyFill="1" applyBorder="1" applyAlignment="1" applyProtection="1">
      <alignment horizontal="center"/>
      <protection locked="0"/>
    </xf>
    <xf numFmtId="172" fontId="16" fillId="0" borderId="0" xfId="0" applyFont="1" applyFill="1" applyBorder="1" applyProtection="1">
      <protection locked="0"/>
    </xf>
    <xf numFmtId="165" fontId="11" fillId="0" borderId="0" xfId="0" applyNumberFormat="1" applyFont="1" applyProtection="1"/>
    <xf numFmtId="172" fontId="13" fillId="0" borderId="0" xfId="0" applyFont="1" applyFill="1" applyBorder="1" applyProtection="1">
      <protection locked="0"/>
    </xf>
    <xf numFmtId="166" fontId="11" fillId="0" borderId="0" xfId="0" applyNumberFormat="1" applyFont="1" applyProtection="1"/>
    <xf numFmtId="3" fontId="11" fillId="0" borderId="1" xfId="0" applyNumberFormat="1" applyFont="1" applyBorder="1" applyAlignment="1" applyProtection="1">
      <alignment horizontal="center"/>
      <protection locked="0"/>
    </xf>
    <xf numFmtId="4" fontId="11" fillId="0" borderId="0" xfId="0" applyNumberFormat="1" applyFont="1" applyAlignment="1" applyProtection="1">
      <protection locked="0"/>
    </xf>
    <xf numFmtId="4" fontId="11" fillId="0" borderId="0" xfId="0" applyNumberFormat="1" applyFont="1" applyAlignment="1" applyProtection="1"/>
    <xf numFmtId="3" fontId="11" fillId="0" borderId="0" xfId="0" applyNumberFormat="1" applyFont="1" applyBorder="1" applyAlignment="1" applyProtection="1">
      <alignment horizontal="center"/>
      <protection locked="0"/>
    </xf>
    <xf numFmtId="0" fontId="11" fillId="0" borderId="1" xfId="0" applyNumberFormat="1" applyFont="1" applyBorder="1" applyAlignment="1" applyProtection="1">
      <protection locked="0"/>
    </xf>
    <xf numFmtId="3" fontId="11" fillId="0" borderId="1" xfId="0" applyNumberFormat="1" applyFont="1" applyBorder="1" applyAlignment="1" applyProtection="1">
      <protection locked="0"/>
    </xf>
    <xf numFmtId="170" fontId="11" fillId="2" borderId="0" xfId="0" applyNumberFormat="1" applyFont="1" applyFill="1" applyAlignment="1" applyProtection="1">
      <protection locked="0"/>
    </xf>
    <xf numFmtId="9" fontId="11" fillId="0" borderId="0" xfId="0" applyNumberFormat="1" applyFont="1" applyAlignment="1" applyProtection="1"/>
    <xf numFmtId="169" fontId="11" fillId="0" borderId="0" xfId="0" applyNumberFormat="1" applyFont="1" applyAlignment="1" applyProtection="1">
      <protection locked="0"/>
    </xf>
    <xf numFmtId="10" fontId="11" fillId="0" borderId="0" xfId="0" applyNumberFormat="1" applyFont="1" applyAlignment="1" applyProtection="1"/>
    <xf numFmtId="169" fontId="11" fillId="0" borderId="0" xfId="0" applyNumberFormat="1" applyFont="1" applyAlignment="1" applyProtection="1"/>
    <xf numFmtId="3" fontId="11" fillId="0" borderId="0" xfId="0" quotePrefix="1" applyNumberFormat="1" applyFont="1" applyAlignment="1" applyProtection="1">
      <protection locked="0"/>
    </xf>
    <xf numFmtId="9" fontId="11" fillId="0" borderId="1" xfId="0" applyNumberFormat="1" applyFont="1" applyBorder="1" applyAlignment="1" applyProtection="1"/>
    <xf numFmtId="169" fontId="11" fillId="0" borderId="1" xfId="0" applyNumberFormat="1" applyFont="1" applyBorder="1" applyAlignment="1" applyProtection="1"/>
    <xf numFmtId="9" fontId="11" fillId="0" borderId="0" xfId="0" applyNumberFormat="1" applyFont="1" applyFill="1" applyAlignment="1" applyProtection="1"/>
    <xf numFmtId="3" fontId="11" fillId="0" borderId="0" xfId="0" applyNumberFormat="1" applyFont="1" applyAlignment="1" applyProtection="1">
      <alignment horizontal="right"/>
      <protection locked="0"/>
    </xf>
    <xf numFmtId="10" fontId="11" fillId="2" borderId="0" xfId="0" applyNumberFormat="1" applyFont="1" applyFill="1" applyAlignment="1" applyProtection="1">
      <protection locked="0"/>
    </xf>
    <xf numFmtId="172" fontId="11" fillId="0" borderId="0" xfId="0" applyFont="1" applyBorder="1" applyAlignment="1" applyProtection="1">
      <protection locked="0"/>
    </xf>
    <xf numFmtId="3" fontId="11" fillId="2" borderId="0" xfId="0" applyNumberFormat="1" applyFont="1" applyFill="1" applyAlignment="1" applyProtection="1"/>
    <xf numFmtId="170" fontId="11" fillId="0" borderId="0" xfId="0" applyNumberFormat="1" applyFont="1" applyFill="1" applyBorder="1" applyProtection="1">
      <protection locked="0"/>
    </xf>
    <xf numFmtId="170" fontId="11" fillId="2" borderId="0" xfId="0" applyNumberFormat="1" applyFont="1" applyFill="1" applyBorder="1" applyProtection="1">
      <protection locked="0"/>
    </xf>
    <xf numFmtId="3" fontId="13" fillId="0" borderId="0" xfId="0" applyNumberFormat="1" applyFont="1" applyAlignment="1" applyProtection="1">
      <alignment horizontal="left"/>
      <protection locked="0"/>
    </xf>
    <xf numFmtId="172" fontId="11" fillId="0" borderId="0" xfId="0" applyNumberFormat="1" applyFont="1" applyAlignment="1" applyProtection="1"/>
    <xf numFmtId="170" fontId="11" fillId="0" borderId="0" xfId="0" applyNumberFormat="1" applyFont="1" applyAlignment="1" applyProtection="1">
      <alignment horizontal="right"/>
    </xf>
    <xf numFmtId="3" fontId="11" fillId="0" borderId="0" xfId="0" applyNumberFormat="1" applyFont="1" applyAlignment="1" applyProtection="1">
      <alignment vertical="top" wrapText="1"/>
      <protection locked="0"/>
    </xf>
    <xf numFmtId="172" fontId="11" fillId="0" borderId="0" xfId="0" applyFont="1" applyAlignment="1" applyProtection="1">
      <alignment horizontal="center" vertical="top" wrapText="1"/>
      <protection locked="0"/>
    </xf>
    <xf numFmtId="172" fontId="11" fillId="0" borderId="0" xfId="0" applyFont="1" applyFill="1" applyAlignment="1" applyProtection="1">
      <alignment horizontal="center" vertical="top" wrapText="1"/>
      <protection locked="0"/>
    </xf>
    <xf numFmtId="0" fontId="11" fillId="0" borderId="0" xfId="0" applyNumberFormat="1" applyFont="1" applyFill="1" applyAlignment="1" applyProtection="1">
      <alignment horizontal="left" vertical="top"/>
      <protection locked="0"/>
    </xf>
    <xf numFmtId="0" fontId="11" fillId="0" borderId="0" xfId="0" applyNumberFormat="1" applyFont="1" applyFill="1" applyAlignment="1" applyProtection="1">
      <alignment vertical="top"/>
      <protection locked="0"/>
    </xf>
    <xf numFmtId="174" fontId="116" fillId="0" borderId="2" xfId="1" applyNumberFormat="1" applyFont="1" applyBorder="1" applyAlignment="1"/>
    <xf numFmtId="172" fontId="117" fillId="0" borderId="0" xfId="0" applyFont="1" applyAlignment="1">
      <alignment horizontal="right"/>
    </xf>
    <xf numFmtId="0" fontId="10" fillId="0" borderId="0" xfId="691" applyAlignment="1"/>
    <xf numFmtId="0" fontId="4" fillId="0" borderId="4" xfId="203" applyFont="1" applyBorder="1" applyAlignment="1">
      <alignment horizontal="center" vertical="center" wrapText="1"/>
    </xf>
    <xf numFmtId="1" fontId="115" fillId="0" borderId="0" xfId="0" applyNumberFormat="1" applyFont="1" applyAlignment="1">
      <alignment horizontal="center"/>
    </xf>
    <xf numFmtId="0" fontId="4" fillId="0" borderId="0" xfId="888" applyFill="1" applyBorder="1" applyAlignment="1">
      <alignment wrapText="1"/>
    </xf>
    <xf numFmtId="174" fontId="21" fillId="0" borderId="0" xfId="888" applyNumberFormat="1" applyFont="1" applyFill="1" applyBorder="1"/>
    <xf numFmtId="174" fontId="4" fillId="0" borderId="0" xfId="888" applyNumberFormat="1" applyFill="1" applyBorder="1"/>
    <xf numFmtId="0" fontId="4" fillId="0" borderId="0" xfId="888" applyFill="1" applyBorder="1" applyAlignment="1">
      <alignment horizontal="center"/>
    </xf>
    <xf numFmtId="43" fontId="4" fillId="0" borderId="0" xfId="889" applyNumberFormat="1" applyFont="1" applyFill="1" applyBorder="1"/>
    <xf numFmtId="0" fontId="4" fillId="0" borderId="0" xfId="888" applyFont="1" applyFill="1" applyBorder="1" applyAlignment="1">
      <alignment horizontal="left" indent="1"/>
    </xf>
    <xf numFmtId="2" fontId="115" fillId="0" borderId="0" xfId="553" applyNumberFormat="1" applyFont="1" applyFill="1" applyBorder="1" applyAlignment="1">
      <alignment horizontal="right"/>
    </xf>
    <xf numFmtId="2" fontId="4" fillId="0" borderId="0" xfId="889" applyNumberFormat="1" applyFont="1" applyFill="1" applyBorder="1" applyAlignment="1">
      <alignment horizontal="right"/>
    </xf>
    <xf numFmtId="0" fontId="4" fillId="0" borderId="0" xfId="888" applyFont="1" applyFill="1" applyBorder="1"/>
    <xf numFmtId="0" fontId="4" fillId="0" borderId="0" xfId="888" applyFill="1" applyBorder="1"/>
    <xf numFmtId="174" fontId="10" fillId="0" borderId="0" xfId="203" applyNumberFormat="1" applyFill="1" applyAlignment="1">
      <alignment vertical="center"/>
    </xf>
    <xf numFmtId="0" fontId="21" fillId="0" borderId="0" xfId="888" applyFont="1" applyFill="1" applyBorder="1"/>
    <xf numFmtId="174" fontId="4" fillId="0" borderId="4" xfId="889" applyNumberFormat="1" applyFont="1" applyBorder="1"/>
    <xf numFmtId="174" fontId="4" fillId="0" borderId="0" xfId="889" applyNumberFormat="1" applyFont="1"/>
    <xf numFmtId="174" fontId="4" fillId="0" borderId="0" xfId="889" applyNumberFormat="1" applyFont="1" applyFill="1" applyBorder="1"/>
    <xf numFmtId="0" fontId="3" fillId="0" borderId="0" xfId="203" applyFont="1" applyAlignment="1">
      <alignment vertical="center"/>
    </xf>
    <xf numFmtId="0" fontId="2" fillId="0" borderId="0" xfId="203" applyFont="1" applyAlignment="1">
      <alignment vertical="center"/>
    </xf>
    <xf numFmtId="173" fontId="57" fillId="0" borderId="0" xfId="205" applyNumberFormat="1" applyFont="1" applyFill="1" applyAlignment="1"/>
    <xf numFmtId="173" fontId="20" fillId="0" borderId="0" xfId="917" applyNumberFormat="1" applyFont="1" applyAlignment="1"/>
    <xf numFmtId="0" fontId="126" fillId="0" borderId="0" xfId="1298" applyFont="1" applyBorder="1" applyAlignment="1"/>
    <xf numFmtId="173" fontId="128" fillId="0" borderId="0" xfId="917" applyNumberFormat="1" applyFont="1" applyAlignment="1"/>
    <xf numFmtId="172" fontId="0" fillId="7" borderId="0" xfId="0" applyFill="1" applyAlignment="1"/>
    <xf numFmtId="173" fontId="57" fillId="7" borderId="0" xfId="2" applyNumberFormat="1" applyFont="1" applyFill="1"/>
    <xf numFmtId="0" fontId="125" fillId="0" borderId="0" xfId="913" applyFont="1" applyAlignment="1"/>
    <xf numFmtId="10" fontId="57" fillId="7" borderId="0" xfId="1717" applyNumberFormat="1" applyFont="1" applyFill="1" applyAlignment="1"/>
    <xf numFmtId="10" fontId="57" fillId="7" borderId="0" xfId="1717" applyNumberFormat="1" applyFont="1" applyFill="1" applyAlignment="1">
      <alignment horizontal="center"/>
    </xf>
    <xf numFmtId="10" fontId="0" fillId="0" borderId="19" xfId="214" applyNumberFormat="1" applyFont="1" applyFill="1" applyBorder="1" applyAlignment="1">
      <alignment horizontal="center" vertical="center"/>
    </xf>
    <xf numFmtId="1" fontId="95" fillId="0" borderId="0" xfId="0" applyNumberFormat="1" applyFont="1" applyFill="1" applyAlignment="1"/>
    <xf numFmtId="0" fontId="124" fillId="0" borderId="0" xfId="913" applyFont="1" applyAlignment="1"/>
    <xf numFmtId="0" fontId="125" fillId="0" borderId="0" xfId="1298" applyFont="1" applyBorder="1" applyAlignment="1"/>
    <xf numFmtId="10" fontId="0" fillId="0" borderId="16" xfId="214" applyNumberFormat="1" applyFont="1" applyFill="1" applyBorder="1" applyAlignment="1">
      <alignment horizontal="center" vertical="center"/>
    </xf>
    <xf numFmtId="0" fontId="20" fillId="0" borderId="0" xfId="913" applyFont="1" applyAlignment="1"/>
    <xf numFmtId="173" fontId="102" fillId="0" borderId="0" xfId="205" applyNumberFormat="1" applyFont="1" applyFill="1" applyAlignment="1">
      <alignment vertical="center"/>
    </xf>
    <xf numFmtId="172" fontId="103" fillId="0" borderId="0" xfId="0" applyFont="1" applyFill="1" applyAlignment="1">
      <alignment vertical="center"/>
    </xf>
    <xf numFmtId="173" fontId="57" fillId="0" borderId="0" xfId="917" applyNumberFormat="1" applyFont="1" applyFill="1" applyAlignment="1"/>
    <xf numFmtId="0" fontId="125" fillId="0" borderId="0" xfId="913" applyFont="1" applyAlignment="1">
      <alignment horizontal="center"/>
    </xf>
    <xf numFmtId="173" fontId="57" fillId="0" borderId="9" xfId="917" applyNumberFormat="1" applyFont="1" applyBorder="1" applyAlignment="1"/>
    <xf numFmtId="173" fontId="57" fillId="0" borderId="9" xfId="917" applyNumberFormat="1" applyFont="1" applyFill="1" applyBorder="1" applyAlignment="1"/>
    <xf numFmtId="0" fontId="1" fillId="0" borderId="0" xfId="203" applyFont="1"/>
    <xf numFmtId="169" fontId="57" fillId="0" borderId="0" xfId="1717" applyNumberFormat="1" applyFont="1" applyFill="1" applyAlignment="1"/>
    <xf numFmtId="0" fontId="28" fillId="0" borderId="0" xfId="1298" applyFont="1" applyBorder="1" applyAlignment="1">
      <alignment horizontal="left" indent="1"/>
    </xf>
    <xf numFmtId="0" fontId="68" fillId="30" borderId="0" xfId="898" applyFont="1" applyFill="1"/>
    <xf numFmtId="0" fontId="1" fillId="0" borderId="0" xfId="913" applyAlignment="1"/>
    <xf numFmtId="0" fontId="62" fillId="0" borderId="0" xfId="1170" applyFont="1" applyAlignment="1">
      <alignment horizontal="left" vertical="center"/>
    </xf>
    <xf numFmtId="0" fontId="57" fillId="0" borderId="0" xfId="913" applyFont="1" applyAlignment="1">
      <alignment horizontal="center" wrapText="1"/>
    </xf>
    <xf numFmtId="0" fontId="28" fillId="0" borderId="0" xfId="1298" applyFont="1" applyBorder="1" applyAlignment="1">
      <alignment horizontal="left" indent="3"/>
    </xf>
    <xf numFmtId="0" fontId="57" fillId="0" borderId="0" xfId="913" applyFont="1" applyAlignment="1"/>
    <xf numFmtId="0" fontId="28" fillId="0" borderId="0" xfId="1298" applyFont="1" applyBorder="1" applyAlignment="1"/>
    <xf numFmtId="0" fontId="127" fillId="0" borderId="0" xfId="1298" applyFont="1" applyBorder="1" applyAlignment="1"/>
    <xf numFmtId="1" fontId="125" fillId="0" borderId="0" xfId="913" applyNumberFormat="1" applyFont="1" applyAlignment="1">
      <alignment horizontal="center"/>
    </xf>
    <xf numFmtId="10" fontId="57" fillId="0" borderId="0" xfId="1717" applyNumberFormat="1" applyFont="1" applyAlignment="1"/>
    <xf numFmtId="0" fontId="1" fillId="0" borderId="0" xfId="913" applyAlignment="1">
      <alignment horizontal="center"/>
    </xf>
    <xf numFmtId="10" fontId="0" fillId="0" borderId="8" xfId="214" applyNumberFormat="1" applyFont="1" applyFill="1" applyBorder="1" applyAlignment="1">
      <alignment horizontal="center" vertical="center"/>
    </xf>
    <xf numFmtId="1" fontId="125" fillId="0" borderId="0" xfId="913" applyNumberFormat="1" applyFont="1" applyBorder="1" applyAlignment="1">
      <alignment horizontal="center"/>
    </xf>
    <xf numFmtId="0" fontId="1" fillId="0" borderId="0" xfId="913"/>
    <xf numFmtId="0" fontId="62" fillId="0" borderId="0" xfId="1170" applyFont="1" applyAlignment="1">
      <alignment vertical="center"/>
    </xf>
    <xf numFmtId="169" fontId="57" fillId="0" borderId="0" xfId="1717" applyNumberFormat="1" applyFont="1" applyAlignment="1"/>
    <xf numFmtId="173" fontId="57" fillId="0" borderId="0" xfId="917" applyNumberFormat="1" applyFont="1" applyAlignment="1"/>
    <xf numFmtId="172" fontId="123" fillId="0" borderId="0" xfId="0" applyFont="1" applyAlignment="1" applyProtection="1">
      <protection locked="0"/>
    </xf>
    <xf numFmtId="172" fontId="123" fillId="0" borderId="0" xfId="0" applyFont="1" applyAlignment="1" applyProtection="1">
      <protection locked="0"/>
    </xf>
    <xf numFmtId="172" fontId="0" fillId="0" borderId="0" xfId="0" applyAlignment="1"/>
    <xf numFmtId="170" fontId="11" fillId="2" borderId="0" xfId="0" applyNumberFormat="1" applyFont="1" applyFill="1" applyBorder="1" applyAlignment="1" applyProtection="1">
      <protection locked="0"/>
    </xf>
    <xf numFmtId="3" fontId="11" fillId="2" borderId="0" xfId="0" applyNumberFormat="1" applyFont="1" applyFill="1" applyAlignment="1" applyProtection="1">
      <protection locked="0"/>
    </xf>
    <xf numFmtId="172" fontId="123" fillId="0" borderId="0" xfId="0" applyFont="1" applyAlignment="1" applyProtection="1">
      <protection locked="0"/>
    </xf>
    <xf numFmtId="0" fontId="14" fillId="0" borderId="0" xfId="0" applyNumberFormat="1" applyFont="1" applyAlignment="1" applyProtection="1">
      <alignment horizontal="center"/>
      <protection locked="0"/>
    </xf>
    <xf numFmtId="172" fontId="0" fillId="0" borderId="0" xfId="0" applyAlignment="1"/>
    <xf numFmtId="0" fontId="11" fillId="0" borderId="0" xfId="0" applyNumberFormat="1" applyFont="1" applyProtection="1">
      <protection locked="0"/>
    </xf>
    <xf numFmtId="170" fontId="26" fillId="0" borderId="0" xfId="1298" applyNumberFormat="1" applyFont="1" applyFill="1" applyBorder="1" applyAlignment="1"/>
    <xf numFmtId="0" fontId="22" fillId="0" borderId="29" xfId="1298" applyFont="1" applyBorder="1" applyAlignment="1"/>
    <xf numFmtId="0" fontId="22" fillId="0" borderId="1" xfId="1298" applyFont="1" applyBorder="1" applyAlignment="1"/>
    <xf numFmtId="170" fontId="26" fillId="0" borderId="1" xfId="1298" applyNumberFormat="1" applyFont="1" applyBorder="1" applyAlignment="1"/>
    <xf numFmtId="0" fontId="0" fillId="0" borderId="30" xfId="1104" applyFont="1" applyFill="1" applyBorder="1" applyAlignment="1">
      <alignment horizontal="left" indent="1"/>
    </xf>
    <xf numFmtId="0" fontId="22" fillId="0" borderId="0" xfId="1298" applyFont="1" applyBorder="1" applyAlignment="1"/>
    <xf numFmtId="0" fontId="22" fillId="0" borderId="16" xfId="1298" applyFont="1" applyBorder="1" applyAlignment="1"/>
    <xf numFmtId="170" fontId="26" fillId="0" borderId="0" xfId="1298" applyNumberFormat="1" applyFont="1" applyBorder="1" applyAlignment="1"/>
    <xf numFmtId="0" fontId="0" fillId="0" borderId="15" xfId="1104" applyFont="1" applyFill="1" applyBorder="1" applyAlignment="1">
      <alignment horizontal="left" indent="1"/>
    </xf>
    <xf numFmtId="0" fontId="0" fillId="0" borderId="15" xfId="1104" applyFont="1" applyBorder="1"/>
    <xf numFmtId="173" fontId="25" fillId="0" borderId="16" xfId="1106" applyNumberFormat="1" applyFont="1" applyBorder="1" applyAlignment="1"/>
    <xf numFmtId="0" fontId="26" fillId="0" borderId="15" xfId="1298" applyFont="1" applyBorder="1" applyAlignment="1"/>
    <xf numFmtId="0" fontId="22" fillId="0" borderId="15" xfId="1298" applyFont="1" applyBorder="1" applyAlignment="1"/>
    <xf numFmtId="173" fontId="22" fillId="0" borderId="16" xfId="1106" applyNumberFormat="1" applyFont="1" applyBorder="1" applyAlignment="1"/>
    <xf numFmtId="177" fontId="22" fillId="0" borderId="16" xfId="1107" applyNumberFormat="1" applyFont="1" applyBorder="1" applyAlignment="1">
      <alignment horizontal="center"/>
    </xf>
    <xf numFmtId="5" fontId="22" fillId="0" borderId="16" xfId="1298" applyNumberFormat="1" applyFont="1" applyBorder="1" applyAlignment="1"/>
    <xf numFmtId="5" fontId="119" fillId="30" borderId="16" xfId="1298" applyNumberFormat="1" applyFont="1" applyFill="1" applyBorder="1" applyAlignment="1"/>
    <xf numFmtId="170" fontId="22" fillId="0" borderId="0" xfId="1108" applyNumberFormat="1" applyFont="1" applyFill="1" applyBorder="1" applyAlignment="1"/>
    <xf numFmtId="170" fontId="26" fillId="0" borderId="16" xfId="1298" applyNumberFormat="1" applyFont="1" applyFill="1" applyBorder="1" applyAlignment="1"/>
    <xf numFmtId="170" fontId="22" fillId="0" borderId="0" xfId="1298" applyNumberFormat="1" applyFont="1" applyFill="1" applyBorder="1" applyAlignment="1"/>
    <xf numFmtId="0" fontId="26" fillId="0" borderId="0" xfId="1298" applyFont="1" applyBorder="1" applyAlignment="1"/>
    <xf numFmtId="10" fontId="22" fillId="32" borderId="0" xfId="1107" applyNumberFormat="1" applyFont="1" applyFill="1" applyBorder="1" applyAlignment="1"/>
    <xf numFmtId="170" fontId="119" fillId="30" borderId="0" xfId="1108" applyNumberFormat="1" applyFont="1" applyFill="1" applyBorder="1" applyAlignment="1"/>
    <xf numFmtId="0" fontId="26" fillId="0" borderId="16" xfId="1298" applyFont="1" applyBorder="1" applyAlignment="1">
      <alignment horizontal="center" wrapText="1"/>
    </xf>
    <xf numFmtId="10" fontId="26" fillId="0" borderId="0" xfId="1107" applyNumberFormat="1" applyFont="1" applyBorder="1" applyAlignment="1">
      <alignment horizontal="center" wrapText="1"/>
    </xf>
    <xf numFmtId="0" fontId="26" fillId="0" borderId="0" xfId="1298" applyFont="1" applyBorder="1" applyAlignment="1">
      <alignment horizontal="center" wrapText="1"/>
    </xf>
    <xf numFmtId="0" fontId="1" fillId="33" borderId="13" xfId="1104" applyFill="1" applyBorder="1" applyAlignment="1">
      <alignment horizontal="center"/>
    </xf>
    <xf numFmtId="0" fontId="22" fillId="33" borderId="12" xfId="1298" applyFont="1" applyFill="1" applyBorder="1" applyAlignment="1"/>
    <xf numFmtId="0" fontId="26" fillId="33" borderId="12" xfId="1298" applyFont="1" applyFill="1" applyBorder="1" applyAlignment="1"/>
    <xf numFmtId="0" fontId="23" fillId="33" borderId="11" xfId="1298" applyFont="1" applyFill="1" applyBorder="1" applyAlignment="1"/>
    <xf numFmtId="0" fontId="1" fillId="0" borderId="0" xfId="1104" applyBorder="1" applyAlignment="1">
      <alignment horizontal="center"/>
    </xf>
    <xf numFmtId="5" fontId="22" fillId="0" borderId="0" xfId="1298" applyNumberFormat="1" applyFont="1" applyBorder="1" applyAlignment="1"/>
    <xf numFmtId="5" fontId="22" fillId="0" borderId="29" xfId="1298" applyNumberFormat="1" applyFont="1" applyBorder="1" applyAlignment="1"/>
    <xf numFmtId="0" fontId="0" fillId="0" borderId="15" xfId="1104" applyFont="1" applyFill="1" applyBorder="1"/>
    <xf numFmtId="5" fontId="25" fillId="0" borderId="16" xfId="1298" applyNumberFormat="1" applyFont="1" applyBorder="1" applyAlignment="1"/>
    <xf numFmtId="177" fontId="22" fillId="0" borderId="16" xfId="1107" applyNumberFormat="1" applyFont="1" applyFill="1" applyBorder="1" applyAlignment="1"/>
    <xf numFmtId="5" fontId="119" fillId="30" borderId="16" xfId="1300" applyNumberFormat="1" applyFont="1" applyFill="1" applyBorder="1" applyAlignment="1"/>
    <xf numFmtId="170" fontId="122" fillId="0" borderId="0" xfId="1108" applyNumberFormat="1" applyFont="1" applyFill="1" applyBorder="1" applyAlignment="1"/>
    <xf numFmtId="170" fontId="22" fillId="0" borderId="16" xfId="1298" applyNumberFormat="1" applyFont="1" applyFill="1" applyBorder="1" applyAlignment="1"/>
    <xf numFmtId="0" fontId="22" fillId="0" borderId="15" xfId="1298" applyFont="1" applyBorder="1" applyAlignment="1">
      <alignment horizontal="left" indent="2"/>
    </xf>
    <xf numFmtId="0" fontId="26" fillId="0" borderId="0" xfId="1298" applyFont="1" applyFill="1" applyBorder="1" applyAlignment="1">
      <alignment horizontal="center" wrapText="1"/>
    </xf>
    <xf numFmtId="0" fontId="22" fillId="34" borderId="13" xfId="1298" applyFont="1" applyFill="1" applyBorder="1" applyAlignment="1"/>
    <xf numFmtId="0" fontId="22" fillId="34" borderId="12" xfId="1298" applyFont="1" applyFill="1" applyBorder="1" applyAlignment="1"/>
    <xf numFmtId="0" fontId="26" fillId="34" borderId="12" xfId="1298" applyFont="1" applyFill="1" applyBorder="1" applyAlignment="1"/>
    <xf numFmtId="0" fontId="23" fillId="34" borderId="11" xfId="1298" applyFont="1" applyFill="1" applyBorder="1" applyAlignment="1"/>
    <xf numFmtId="170" fontId="26" fillId="0" borderId="29" xfId="1298" applyNumberFormat="1" applyFont="1" applyFill="1" applyBorder="1" applyAlignment="1"/>
    <xf numFmtId="170" fontId="22" fillId="0" borderId="1" xfId="1298" applyNumberFormat="1" applyFont="1" applyFill="1" applyBorder="1" applyAlignment="1"/>
    <xf numFmtId="0" fontId="22" fillId="0" borderId="30" xfId="1298" applyFont="1" applyBorder="1" applyAlignment="1"/>
    <xf numFmtId="5" fontId="25" fillId="0" borderId="16" xfId="1298" applyNumberFormat="1" applyFont="1" applyFill="1" applyBorder="1" applyAlignment="1"/>
    <xf numFmtId="173" fontId="25" fillId="0" borderId="31" xfId="1106" applyNumberFormat="1" applyFont="1" applyFill="1" applyBorder="1" applyAlignment="1"/>
    <xf numFmtId="5" fontId="26" fillId="0" borderId="16" xfId="1298" applyNumberFormat="1" applyFont="1" applyFill="1" applyBorder="1" applyAlignment="1"/>
    <xf numFmtId="173" fontId="22" fillId="0" borderId="16" xfId="1106" applyNumberFormat="1" applyFont="1" applyFill="1" applyBorder="1" applyAlignment="1"/>
    <xf numFmtId="177" fontId="22" fillId="0" borderId="0" xfId="1107" applyNumberFormat="1" applyFont="1" applyFill="1" applyBorder="1" applyAlignment="1"/>
    <xf numFmtId="174" fontId="22" fillId="0" borderId="31" xfId="1300" applyNumberFormat="1" applyFont="1" applyFill="1" applyBorder="1" applyAlignment="1"/>
    <xf numFmtId="174" fontId="22" fillId="0" borderId="9" xfId="1300" applyNumberFormat="1" applyFont="1" applyFill="1" applyBorder="1" applyAlignment="1"/>
    <xf numFmtId="170" fontId="22" fillId="0" borderId="31" xfId="1298" applyNumberFormat="1" applyFont="1" applyFill="1" applyBorder="1" applyAlignment="1"/>
    <xf numFmtId="170" fontId="22" fillId="0" borderId="9" xfId="1298" applyNumberFormat="1" applyFont="1" applyFill="1" applyBorder="1" applyAlignment="1"/>
    <xf numFmtId="0" fontId="22" fillId="0" borderId="0" xfId="1298" applyFont="1" applyBorder="1" applyAlignment="1">
      <alignment horizontal="left" indent="1"/>
    </xf>
    <xf numFmtId="0" fontId="22" fillId="0" borderId="15" xfId="1298" applyFont="1" applyBorder="1" applyAlignment="1">
      <alignment horizontal="left" indent="3"/>
    </xf>
    <xf numFmtId="0" fontId="22" fillId="0" borderId="15" xfId="1298" applyFont="1" applyBorder="1" applyAlignment="1">
      <alignment horizontal="left" indent="1"/>
    </xf>
    <xf numFmtId="170" fontId="119" fillId="30" borderId="16" xfId="1108" applyNumberFormat="1" applyFont="1" applyFill="1" applyBorder="1" applyAlignment="1"/>
    <xf numFmtId="170" fontId="26" fillId="0" borderId="0" xfId="1108" applyNumberFormat="1" applyFont="1" applyFill="1" applyBorder="1" applyAlignment="1"/>
    <xf numFmtId="0" fontId="26" fillId="0" borderId="0" xfId="1298" applyFont="1" applyBorder="1" applyAlignment="1">
      <alignment horizontal="left" indent="1"/>
    </xf>
    <xf numFmtId="170" fontId="119" fillId="30" borderId="0" xfId="1108" quotePrefix="1" applyNumberFormat="1" applyFont="1" applyFill="1" applyBorder="1" applyAlignment="1"/>
    <xf numFmtId="10" fontId="26" fillId="0" borderId="4" xfId="1107" applyNumberFormat="1" applyFont="1" applyBorder="1" applyAlignment="1">
      <alignment horizontal="center" wrapText="1"/>
    </xf>
    <xf numFmtId="0" fontId="22" fillId="35" borderId="13" xfId="1298" applyFont="1" applyFill="1" applyBorder="1" applyAlignment="1"/>
    <xf numFmtId="0" fontId="22" fillId="35" borderId="12" xfId="1298" applyFont="1" applyFill="1" applyBorder="1" applyAlignment="1"/>
    <xf numFmtId="0" fontId="26" fillId="35" borderId="12" xfId="1298" applyFont="1" applyFill="1" applyBorder="1" applyAlignment="1"/>
    <xf numFmtId="0" fontId="25" fillId="35" borderId="11" xfId="1298" applyFont="1" applyFill="1" applyBorder="1" applyAlignment="1"/>
    <xf numFmtId="0" fontId="11" fillId="0" borderId="0" xfId="0" applyNumberFormat="1" applyFont="1" applyFill="1" applyAlignment="1" applyProtection="1">
      <alignment vertical="top" wrapText="1"/>
      <protection locked="0"/>
    </xf>
    <xf numFmtId="0" fontId="11" fillId="0" borderId="0" xfId="0" applyNumberFormat="1" applyFont="1" applyFill="1" applyBorder="1" applyAlignment="1" applyProtection="1">
      <alignment horizontal="center"/>
      <protection locked="0"/>
    </xf>
    <xf numFmtId="3" fontId="11" fillId="0" borderId="0" xfId="0" applyNumberFormat="1" applyFont="1" applyAlignment="1" applyProtection="1">
      <alignment horizontal="right"/>
    </xf>
    <xf numFmtId="0" fontId="11" fillId="0" borderId="0" xfId="0" applyNumberFormat="1" applyFont="1" applyAlignment="1" applyProtection="1">
      <alignment vertical="top" wrapText="1"/>
      <protection locked="0"/>
    </xf>
    <xf numFmtId="0" fontId="22" fillId="0" borderId="15" xfId="1298" applyFont="1" applyBorder="1" applyAlignment="1">
      <alignment horizontal="left" wrapText="1"/>
    </xf>
    <xf numFmtId="0" fontId="22" fillId="0" borderId="0" xfId="1298" applyFont="1" applyBorder="1" applyAlignment="1">
      <alignment horizontal="left" wrapText="1"/>
    </xf>
    <xf numFmtId="0" fontId="121" fillId="0" borderId="15" xfId="1298" applyFont="1" applyBorder="1" applyAlignment="1">
      <alignment horizontal="center"/>
    </xf>
    <xf numFmtId="0" fontId="121" fillId="0" borderId="0" xfId="1298" applyFont="1" applyBorder="1" applyAlignment="1">
      <alignment horizontal="center"/>
    </xf>
    <xf numFmtId="0" fontId="121" fillId="0" borderId="16" xfId="1298" applyFont="1" applyBorder="1" applyAlignment="1">
      <alignment horizontal="center"/>
    </xf>
    <xf numFmtId="0" fontId="96" fillId="0" borderId="0" xfId="0" applyNumberFormat="1" applyFont="1" applyAlignment="1">
      <alignment horizontal="center"/>
    </xf>
    <xf numFmtId="14" fontId="96" fillId="0" borderId="0" xfId="0" applyNumberFormat="1" applyFont="1" applyFill="1" applyAlignment="1">
      <alignment horizontal="center"/>
    </xf>
    <xf numFmtId="0" fontId="4" fillId="0" borderId="0" xfId="888" applyFill="1" applyBorder="1" applyAlignment="1">
      <alignment horizontal="center"/>
    </xf>
    <xf numFmtId="0" fontId="114" fillId="0" borderId="0" xfId="888" applyFont="1" applyFill="1" applyBorder="1" applyAlignment="1">
      <alignment horizontal="center"/>
    </xf>
    <xf numFmtId="0" fontId="59" fillId="0" borderId="0" xfId="213" applyFont="1" applyAlignment="1">
      <alignment horizontal="center" vertical="center"/>
    </xf>
    <xf numFmtId="0" fontId="11" fillId="31" borderId="0" xfId="0" applyNumberFormat="1" applyFont="1" applyFill="1" applyAlignment="1" applyProtection="1">
      <alignment horizontal="center" vertical="center" wrapText="1"/>
      <protection locked="0"/>
    </xf>
    <xf numFmtId="172" fontId="101" fillId="0" borderId="0" xfId="0" applyFont="1" applyAlignment="1">
      <alignment horizontal="left" wrapText="1"/>
    </xf>
    <xf numFmtId="0" fontId="62" fillId="0" borderId="0" xfId="203" applyFont="1" applyAlignment="1">
      <alignment horizontal="center"/>
    </xf>
    <xf numFmtId="0" fontId="24" fillId="7" borderId="0" xfId="3" quotePrefix="1" applyFont="1" applyFill="1" applyAlignment="1">
      <alignment horizontal="left"/>
    </xf>
    <xf numFmtId="0" fontId="5" fillId="0" borderId="0" xfId="203" applyFont="1" applyAlignment="1">
      <alignment horizontal="left"/>
    </xf>
    <xf numFmtId="174" fontId="10" fillId="0" borderId="0" xfId="1" applyNumberFormat="1" applyFont="1"/>
    <xf numFmtId="173" fontId="57" fillId="7" borderId="0" xfId="204" applyNumberFormat="1" applyFont="1" applyFill="1"/>
    <xf numFmtId="173" fontId="57" fillId="7" borderId="0" xfId="2" applyNumberFormat="1" applyFont="1" applyFill="1" applyBorder="1"/>
    <xf numFmtId="173" fontId="57" fillId="0" borderId="4" xfId="204" applyNumberFormat="1" applyFont="1" applyBorder="1"/>
  </cellXfs>
  <cellStyles count="2504">
    <cellStyle name="20% - Accent1 2" xfId="220"/>
    <cellStyle name="20% - Accent1 2 2" xfId="221"/>
    <cellStyle name="20% - Accent1 2 3" xfId="222"/>
    <cellStyle name="20% - Accent1 2 4" xfId="223"/>
    <cellStyle name="20% - Accent1 2 5" xfId="224"/>
    <cellStyle name="20% - Accent1 2 6" xfId="225"/>
    <cellStyle name="20% - Accent1 2 7" xfId="226"/>
    <cellStyle name="20% - Accent1 2 8" xfId="227"/>
    <cellStyle name="20% - Accent2 2" xfId="228"/>
    <cellStyle name="20% - Accent2 2 2" xfId="229"/>
    <cellStyle name="20% - Accent2 2 3" xfId="230"/>
    <cellStyle name="20% - Accent2 2 4" xfId="231"/>
    <cellStyle name="20% - Accent2 2 5" xfId="232"/>
    <cellStyle name="20% - Accent2 2 6" xfId="233"/>
    <cellStyle name="20% - Accent2 2 7" xfId="234"/>
    <cellStyle name="20% - Accent2 2 8" xfId="235"/>
    <cellStyle name="20% - Accent3 2" xfId="236"/>
    <cellStyle name="20% - Accent3 2 2" xfId="237"/>
    <cellStyle name="20% - Accent3 2 3" xfId="238"/>
    <cellStyle name="20% - Accent3 2 4" xfId="239"/>
    <cellStyle name="20% - Accent3 2 5" xfId="240"/>
    <cellStyle name="20% - Accent3 2 6" xfId="241"/>
    <cellStyle name="20% - Accent3 2 7" xfId="242"/>
    <cellStyle name="20% - Accent3 2 8" xfId="243"/>
    <cellStyle name="20% - Accent4 2" xfId="244"/>
    <cellStyle name="20% - Accent4 2 2" xfId="245"/>
    <cellStyle name="20% - Accent4 2 3" xfId="246"/>
    <cellStyle name="20% - Accent4 2 4" xfId="247"/>
    <cellStyle name="20% - Accent4 2 5" xfId="248"/>
    <cellStyle name="20% - Accent4 2 6" xfId="249"/>
    <cellStyle name="20% - Accent4 2 7" xfId="250"/>
    <cellStyle name="20% - Accent4 2 8" xfId="251"/>
    <cellStyle name="20% - Accent5 2" xfId="252"/>
    <cellStyle name="20% - Accent5 2 2" xfId="253"/>
    <cellStyle name="20% - Accent5 2 3" xfId="254"/>
    <cellStyle name="20% - Accent5 2 4" xfId="255"/>
    <cellStyle name="20% - Accent5 2 5" xfId="256"/>
    <cellStyle name="20% - Accent5 2 6" xfId="257"/>
    <cellStyle name="20% - Accent5 2 7" xfId="258"/>
    <cellStyle name="20% - Accent5 2 8" xfId="259"/>
    <cellStyle name="20% - Accent6 2" xfId="260"/>
    <cellStyle name="20% - Accent6 2 2" xfId="261"/>
    <cellStyle name="20% - Accent6 2 3" xfId="262"/>
    <cellStyle name="20% - Accent6 2 4" xfId="263"/>
    <cellStyle name="20% - Accent6 2 5" xfId="264"/>
    <cellStyle name="20% - Accent6 2 6" xfId="265"/>
    <cellStyle name="20% - Accent6 2 7" xfId="266"/>
    <cellStyle name="20% - Accent6 2 8" xfId="267"/>
    <cellStyle name="40% - Accent1 2" xfId="268"/>
    <cellStyle name="40% - Accent1 2 2" xfId="269"/>
    <cellStyle name="40% - Accent1 2 3" xfId="270"/>
    <cellStyle name="40% - Accent1 2 4" xfId="271"/>
    <cellStyle name="40% - Accent1 2 5" xfId="272"/>
    <cellStyle name="40% - Accent1 2 6" xfId="273"/>
    <cellStyle name="40% - Accent1 2 7" xfId="274"/>
    <cellStyle name="40% - Accent1 2 8" xfId="275"/>
    <cellStyle name="40% - Accent2 2" xfId="276"/>
    <cellStyle name="40% - Accent2 2 2" xfId="277"/>
    <cellStyle name="40% - Accent2 2 3" xfId="278"/>
    <cellStyle name="40% - Accent2 2 4" xfId="279"/>
    <cellStyle name="40% - Accent2 2 5" xfId="280"/>
    <cellStyle name="40% - Accent2 2 6" xfId="281"/>
    <cellStyle name="40% - Accent2 2 7" xfId="282"/>
    <cellStyle name="40% - Accent2 2 8" xfId="283"/>
    <cellStyle name="40% - Accent3 2" xfId="284"/>
    <cellStyle name="40% - Accent3 2 2" xfId="285"/>
    <cellStyle name="40% - Accent3 2 3" xfId="286"/>
    <cellStyle name="40% - Accent3 2 4" xfId="287"/>
    <cellStyle name="40% - Accent3 2 5" xfId="288"/>
    <cellStyle name="40% - Accent3 2 6" xfId="289"/>
    <cellStyle name="40% - Accent3 2 7" xfId="290"/>
    <cellStyle name="40% - Accent3 2 8" xfId="291"/>
    <cellStyle name="40% - Accent4 2" xfId="292"/>
    <cellStyle name="40% - Accent4 2 2" xfId="293"/>
    <cellStyle name="40% - Accent4 2 3" xfId="294"/>
    <cellStyle name="40% - Accent4 2 4" xfId="295"/>
    <cellStyle name="40% - Accent4 2 5" xfId="296"/>
    <cellStyle name="40% - Accent4 2 6" xfId="297"/>
    <cellStyle name="40% - Accent4 2 7" xfId="298"/>
    <cellStyle name="40% - Accent4 2 8" xfId="299"/>
    <cellStyle name="40% - Accent5 2" xfId="300"/>
    <cellStyle name="40% - Accent5 2 2" xfId="301"/>
    <cellStyle name="40% - Accent5 2 3" xfId="302"/>
    <cellStyle name="40% - Accent5 2 4" xfId="303"/>
    <cellStyle name="40% - Accent5 2 5" xfId="304"/>
    <cellStyle name="40% - Accent5 2 6" xfId="305"/>
    <cellStyle name="40% - Accent5 2 7" xfId="306"/>
    <cellStyle name="40% - Accent5 2 8" xfId="307"/>
    <cellStyle name="40% - Accent6 2" xfId="308"/>
    <cellStyle name="40% - Accent6 2 2" xfId="309"/>
    <cellStyle name="40% - Accent6 2 3" xfId="310"/>
    <cellStyle name="40% - Accent6 2 4" xfId="311"/>
    <cellStyle name="40% - Accent6 2 5" xfId="312"/>
    <cellStyle name="40% - Accent6 2 6" xfId="313"/>
    <cellStyle name="40% - Accent6 2 7" xfId="314"/>
    <cellStyle name="40% - Accent6 2 8" xfId="315"/>
    <cellStyle name="60% - Accent1 2" xfId="316"/>
    <cellStyle name="60% - Accent1 2 2" xfId="317"/>
    <cellStyle name="60% - Accent1 2 3" xfId="318"/>
    <cellStyle name="60% - Accent1 2 4" xfId="319"/>
    <cellStyle name="60% - Accent1 2 5" xfId="320"/>
    <cellStyle name="60% - Accent1 2 6" xfId="321"/>
    <cellStyle name="60% - Accent1 2 7" xfId="322"/>
    <cellStyle name="60% - Accent1 2 8" xfId="323"/>
    <cellStyle name="60% - Accent2 2" xfId="324"/>
    <cellStyle name="60% - Accent2 2 2" xfId="325"/>
    <cellStyle name="60% - Accent2 2 3" xfId="326"/>
    <cellStyle name="60% - Accent2 2 4" xfId="327"/>
    <cellStyle name="60% - Accent2 2 5" xfId="328"/>
    <cellStyle name="60% - Accent2 2 6" xfId="329"/>
    <cellStyle name="60% - Accent2 2 7" xfId="330"/>
    <cellStyle name="60% - Accent2 2 8" xfId="331"/>
    <cellStyle name="60% - Accent3 2" xfId="332"/>
    <cellStyle name="60% - Accent3 2 2" xfId="333"/>
    <cellStyle name="60% - Accent3 2 3" xfId="334"/>
    <cellStyle name="60% - Accent3 2 4" xfId="335"/>
    <cellStyle name="60% - Accent3 2 5" xfId="336"/>
    <cellStyle name="60% - Accent3 2 6" xfId="337"/>
    <cellStyle name="60% - Accent3 2 7" xfId="338"/>
    <cellStyle name="60% - Accent3 2 8" xfId="339"/>
    <cellStyle name="60% - Accent4 2" xfId="340"/>
    <cellStyle name="60% - Accent4 2 2" xfId="341"/>
    <cellStyle name="60% - Accent4 2 3" xfId="342"/>
    <cellStyle name="60% - Accent4 2 4" xfId="343"/>
    <cellStyle name="60% - Accent4 2 5" xfId="344"/>
    <cellStyle name="60% - Accent4 2 6" xfId="345"/>
    <cellStyle name="60% - Accent4 2 7" xfId="346"/>
    <cellStyle name="60% - Accent4 2 8" xfId="347"/>
    <cellStyle name="60% - Accent5 2" xfId="348"/>
    <cellStyle name="60% - Accent5 2 2" xfId="349"/>
    <cellStyle name="60% - Accent5 2 3" xfId="350"/>
    <cellStyle name="60% - Accent5 2 4" xfId="351"/>
    <cellStyle name="60% - Accent5 2 5" xfId="352"/>
    <cellStyle name="60% - Accent5 2 6" xfId="353"/>
    <cellStyle name="60% - Accent5 2 7" xfId="354"/>
    <cellStyle name="60% - Accent5 2 8" xfId="355"/>
    <cellStyle name="60% - Accent6 2" xfId="356"/>
    <cellStyle name="60% - Accent6 2 2" xfId="357"/>
    <cellStyle name="60% - Accent6 2 3" xfId="358"/>
    <cellStyle name="60% - Accent6 2 4" xfId="359"/>
    <cellStyle name="60% - Accent6 2 5" xfId="360"/>
    <cellStyle name="60% - Accent6 2 6" xfId="361"/>
    <cellStyle name="60% - Accent6 2 7" xfId="362"/>
    <cellStyle name="60% - Accent6 2 8" xfId="363"/>
    <cellStyle name="Accent1 2" xfId="364"/>
    <cellStyle name="Accent1 2 2" xfId="365"/>
    <cellStyle name="Accent1 2 3" xfId="366"/>
    <cellStyle name="Accent1 2 4" xfId="367"/>
    <cellStyle name="Accent1 2 5" xfId="368"/>
    <cellStyle name="Accent1 2 6" xfId="369"/>
    <cellStyle name="Accent1 2 7" xfId="370"/>
    <cellStyle name="Accent1 2 8" xfId="371"/>
    <cellStyle name="Accent2 2" xfId="372"/>
    <cellStyle name="Accent2 2 2" xfId="373"/>
    <cellStyle name="Accent2 2 3" xfId="374"/>
    <cellStyle name="Accent2 2 4" xfId="375"/>
    <cellStyle name="Accent2 2 5" xfId="376"/>
    <cellStyle name="Accent2 2 6" xfId="377"/>
    <cellStyle name="Accent2 2 7" xfId="378"/>
    <cellStyle name="Accent2 2 8" xfId="379"/>
    <cellStyle name="Accent3 2" xfId="380"/>
    <cellStyle name="Accent3 2 2" xfId="381"/>
    <cellStyle name="Accent3 2 3" xfId="382"/>
    <cellStyle name="Accent3 2 4" xfId="383"/>
    <cellStyle name="Accent3 2 5" xfId="384"/>
    <cellStyle name="Accent3 2 6" xfId="385"/>
    <cellStyle name="Accent3 2 7" xfId="386"/>
    <cellStyle name="Accent3 2 8" xfId="387"/>
    <cellStyle name="Accent4 2" xfId="388"/>
    <cellStyle name="Accent4 2 2" xfId="389"/>
    <cellStyle name="Accent4 2 3" xfId="390"/>
    <cellStyle name="Accent4 2 4" xfId="391"/>
    <cellStyle name="Accent4 2 5" xfId="392"/>
    <cellStyle name="Accent4 2 6" xfId="393"/>
    <cellStyle name="Accent4 2 7" xfId="394"/>
    <cellStyle name="Accent4 2 8" xfId="395"/>
    <cellStyle name="Accent5 2" xfId="396"/>
    <cellStyle name="Accent5 2 2" xfId="397"/>
    <cellStyle name="Accent5 2 3" xfId="398"/>
    <cellStyle name="Accent5 2 4" xfId="399"/>
    <cellStyle name="Accent5 2 5" xfId="400"/>
    <cellStyle name="Accent5 2 6" xfId="401"/>
    <cellStyle name="Accent5 2 7" xfId="402"/>
    <cellStyle name="Accent5 2 8" xfId="403"/>
    <cellStyle name="Accent6 2" xfId="404"/>
    <cellStyle name="Accent6 2 2" xfId="405"/>
    <cellStyle name="Accent6 2 3" xfId="406"/>
    <cellStyle name="Accent6 2 4" xfId="407"/>
    <cellStyle name="Accent6 2 5" xfId="408"/>
    <cellStyle name="Accent6 2 6" xfId="409"/>
    <cellStyle name="Accent6 2 7" xfId="410"/>
    <cellStyle name="Accent6 2 8" xfId="411"/>
    <cellStyle name="Bad 2" xfId="412"/>
    <cellStyle name="Bad 2 2" xfId="413"/>
    <cellStyle name="Bad 2 3" xfId="414"/>
    <cellStyle name="Bad 2 4" xfId="415"/>
    <cellStyle name="Bad 2 5" xfId="416"/>
    <cellStyle name="Bad 2 6" xfId="417"/>
    <cellStyle name="Bad 2 7" xfId="418"/>
    <cellStyle name="Bad 2 8" xfId="419"/>
    <cellStyle name="C00A" xfId="8"/>
    <cellStyle name="C00B" xfId="9"/>
    <cellStyle name="C00L" xfId="10"/>
    <cellStyle name="C01A" xfId="11"/>
    <cellStyle name="C01B" xfId="12"/>
    <cellStyle name="C01B 2" xfId="734"/>
    <cellStyle name="C01B 3" xfId="923"/>
    <cellStyle name="C01H" xfId="13"/>
    <cellStyle name="C01L" xfId="14"/>
    <cellStyle name="C02A" xfId="15"/>
    <cellStyle name="C02B" xfId="16"/>
    <cellStyle name="C02B 2" xfId="735"/>
    <cellStyle name="C02B 3" xfId="924"/>
    <cellStyle name="C02H" xfId="17"/>
    <cellStyle name="C02L" xfId="18"/>
    <cellStyle name="C03A" xfId="19"/>
    <cellStyle name="C03B" xfId="20"/>
    <cellStyle name="C03H" xfId="21"/>
    <cellStyle name="C03L" xfId="22"/>
    <cellStyle name="C04A" xfId="23"/>
    <cellStyle name="C04A 2" xfId="736"/>
    <cellStyle name="C04A 3" xfId="925"/>
    <cellStyle name="C04B" xfId="24"/>
    <cellStyle name="C04H" xfId="25"/>
    <cellStyle name="C04L" xfId="26"/>
    <cellStyle name="C05A" xfId="27"/>
    <cellStyle name="C05B" xfId="28"/>
    <cellStyle name="C05H" xfId="29"/>
    <cellStyle name="C05L" xfId="30"/>
    <cellStyle name="C05L 2" xfId="737"/>
    <cellStyle name="C05L 3" xfId="926"/>
    <cellStyle name="C06A" xfId="31"/>
    <cellStyle name="C06B" xfId="32"/>
    <cellStyle name="C06H" xfId="33"/>
    <cellStyle name="C06L" xfId="34"/>
    <cellStyle name="C07A" xfId="35"/>
    <cellStyle name="C07B" xfId="36"/>
    <cellStyle name="C07H" xfId="37"/>
    <cellStyle name="C07L" xfId="38"/>
    <cellStyle name="Calculation 2" xfId="420"/>
    <cellStyle name="Calculation 2 2" xfId="421"/>
    <cellStyle name="Calculation 2 3" xfId="422"/>
    <cellStyle name="Calculation 2 4" xfId="423"/>
    <cellStyle name="Calculation 2 5" xfId="424"/>
    <cellStyle name="Calculation 2 6" xfId="425"/>
    <cellStyle name="Calculation 2 7" xfId="426"/>
    <cellStyle name="Calculation 2 8" xfId="427"/>
    <cellStyle name="Calculation 2_Pulses" xfId="428"/>
    <cellStyle name="Check Cell 2" xfId="429"/>
    <cellStyle name="Check Cell 2 2" xfId="430"/>
    <cellStyle name="Check Cell 2 3" xfId="431"/>
    <cellStyle name="Check Cell 2 4" xfId="432"/>
    <cellStyle name="Check Cell 2 5" xfId="433"/>
    <cellStyle name="Check Cell 2 6" xfId="434"/>
    <cellStyle name="Check Cell 2 7" xfId="435"/>
    <cellStyle name="Check Cell 2 8" xfId="436"/>
    <cellStyle name="Check Cell 2_Pulses" xfId="437"/>
    <cellStyle name="Comma" xfId="1" builtinId="3"/>
    <cellStyle name="Comma [2]" xfId="39"/>
    <cellStyle name="Comma [2] 2" xfId="738"/>
    <cellStyle name="Comma [2] 3" xfId="927"/>
    <cellStyle name="Comma 10" xfId="40"/>
    <cellStyle name="Comma 100" xfId="832"/>
    <cellStyle name="Comma 100 2" xfId="1242"/>
    <cellStyle name="Comma 100 2 2" xfId="2043"/>
    <cellStyle name="Comma 100 3" xfId="1450"/>
    <cellStyle name="Comma 100 3 2" xfId="2239"/>
    <cellStyle name="Comma 100 4" xfId="1650"/>
    <cellStyle name="Comma 100 4 2" xfId="2439"/>
    <cellStyle name="Comma 100 5" xfId="1047"/>
    <cellStyle name="Comma 100 6" xfId="1821"/>
    <cellStyle name="Comma 101" xfId="848"/>
    <cellStyle name="Comma 101 2" xfId="1258"/>
    <cellStyle name="Comma 101 2 2" xfId="2059"/>
    <cellStyle name="Comma 101 3" xfId="1466"/>
    <cellStyle name="Comma 101 3 2" xfId="2255"/>
    <cellStyle name="Comma 101 4" xfId="1666"/>
    <cellStyle name="Comma 101 4 2" xfId="2455"/>
    <cellStyle name="Comma 101 5" xfId="1063"/>
    <cellStyle name="Comma 101 6" xfId="1837"/>
    <cellStyle name="Comma 102" xfId="835"/>
    <cellStyle name="Comma 102 2" xfId="1245"/>
    <cellStyle name="Comma 102 2 2" xfId="2046"/>
    <cellStyle name="Comma 102 3" xfId="1453"/>
    <cellStyle name="Comma 102 3 2" xfId="2242"/>
    <cellStyle name="Comma 102 4" xfId="1653"/>
    <cellStyle name="Comma 102 4 2" xfId="2442"/>
    <cellStyle name="Comma 102 5" xfId="1050"/>
    <cellStyle name="Comma 102 6" xfId="1824"/>
    <cellStyle name="Comma 103" xfId="846"/>
    <cellStyle name="Comma 103 2" xfId="1256"/>
    <cellStyle name="Comma 103 2 2" xfId="2057"/>
    <cellStyle name="Comma 103 3" xfId="1464"/>
    <cellStyle name="Comma 103 3 2" xfId="2253"/>
    <cellStyle name="Comma 103 4" xfId="1664"/>
    <cellStyle name="Comma 103 4 2" xfId="2453"/>
    <cellStyle name="Comma 103 5" xfId="1061"/>
    <cellStyle name="Comma 103 6" xfId="1835"/>
    <cellStyle name="Comma 104" xfId="884"/>
    <cellStyle name="Comma 104 2" xfId="1294"/>
    <cellStyle name="Comma 104 2 2" xfId="2095"/>
    <cellStyle name="Comma 104 3" xfId="1502"/>
    <cellStyle name="Comma 104 3 2" xfId="2291"/>
    <cellStyle name="Comma 104 4" xfId="1702"/>
    <cellStyle name="Comma 104 4 2" xfId="2491"/>
    <cellStyle name="Comma 104 5" xfId="1099"/>
    <cellStyle name="Comma 104 6" xfId="1873"/>
    <cellStyle name="Comma 105" xfId="825"/>
    <cellStyle name="Comma 105 2" xfId="1235"/>
    <cellStyle name="Comma 105 2 2" xfId="2036"/>
    <cellStyle name="Comma 105 3" xfId="1443"/>
    <cellStyle name="Comma 105 3 2" xfId="2232"/>
    <cellStyle name="Comma 105 4" xfId="1643"/>
    <cellStyle name="Comma 105 4 2" xfId="2432"/>
    <cellStyle name="Comma 105 5" xfId="1040"/>
    <cellStyle name="Comma 105 6" xfId="1814"/>
    <cellStyle name="Comma 106" xfId="826"/>
    <cellStyle name="Comma 106 2" xfId="1236"/>
    <cellStyle name="Comma 106 2 2" xfId="2037"/>
    <cellStyle name="Comma 106 3" xfId="1444"/>
    <cellStyle name="Comma 106 3 2" xfId="2233"/>
    <cellStyle name="Comma 106 4" xfId="1644"/>
    <cellStyle name="Comma 106 4 2" xfId="2433"/>
    <cellStyle name="Comma 106 5" xfId="1041"/>
    <cellStyle name="Comma 106 6" xfId="1815"/>
    <cellStyle name="Comma 107" xfId="834"/>
    <cellStyle name="Comma 107 2" xfId="1244"/>
    <cellStyle name="Comma 107 2 2" xfId="2045"/>
    <cellStyle name="Comma 107 3" xfId="1452"/>
    <cellStyle name="Comma 107 3 2" xfId="2241"/>
    <cellStyle name="Comma 107 4" xfId="1652"/>
    <cellStyle name="Comma 107 4 2" xfId="2441"/>
    <cellStyle name="Comma 107 5" xfId="1049"/>
    <cellStyle name="Comma 107 6" xfId="1823"/>
    <cellStyle name="Comma 108" xfId="889"/>
    <cellStyle name="Comma 108 2" xfId="1300"/>
    <cellStyle name="Comma 108 2 2" xfId="2101"/>
    <cellStyle name="Comma 108 3" xfId="1508"/>
    <cellStyle name="Comma 108 3 2" xfId="2297"/>
    <cellStyle name="Comma 108 4" xfId="1707"/>
    <cellStyle name="Comma 108 4 2" xfId="2496"/>
    <cellStyle name="Comma 108 5" xfId="1105"/>
    <cellStyle name="Comma 108 6" xfId="1878"/>
    <cellStyle name="Comma 109" xfId="1309"/>
    <cellStyle name="Comma 11" xfId="41"/>
    <cellStyle name="Comma 110" xfId="1314"/>
    <cellStyle name="Comma 111" xfId="1317"/>
    <cellStyle name="Comma 112" xfId="1320"/>
    <cellStyle name="Comma 12" xfId="42"/>
    <cellStyle name="Comma 13" xfId="43"/>
    <cellStyle name="Comma 14" xfId="44"/>
    <cellStyle name="Comma 15" xfId="45"/>
    <cellStyle name="Comma 15 3" xfId="1109"/>
    <cellStyle name="Comma 15 3 2" xfId="1303"/>
    <cellStyle name="Comma 15 3 2 2" xfId="2104"/>
    <cellStyle name="Comma 15 3 3" xfId="1511"/>
    <cellStyle name="Comma 15 3 3 2" xfId="2300"/>
    <cellStyle name="Comma 15 3 4" xfId="1710"/>
    <cellStyle name="Comma 15 3 4 2" xfId="2499"/>
    <cellStyle name="Comma 15 3 5" xfId="1910"/>
    <cellStyle name="Comma 16" xfId="46"/>
    <cellStyle name="Comma 17" xfId="47"/>
    <cellStyle name="Comma 18" xfId="48"/>
    <cellStyle name="Comma 19" xfId="49"/>
    <cellStyle name="Comma 2" xfId="4"/>
    <cellStyle name="Comma 2 2" xfId="50"/>
    <cellStyle name="Comma 2 2 2" xfId="440"/>
    <cellStyle name="Comma 2 3" xfId="441"/>
    <cellStyle name="Comma 2 4" xfId="442"/>
    <cellStyle name="Comma 2 5" xfId="439"/>
    <cellStyle name="Comma 2 6" xfId="1312"/>
    <cellStyle name="Comma 2 6 2" xfId="1518"/>
    <cellStyle name="Comma 2 6 2 2" xfId="2307"/>
    <cellStyle name="Comma 2 6 3" xfId="2110"/>
    <cellStyle name="Comma 20" xfId="51"/>
    <cellStyle name="Comma 21" xfId="52"/>
    <cellStyle name="Comma 22" xfId="53"/>
    <cellStyle name="Comma 23" xfId="54"/>
    <cellStyle name="Comma 24" xfId="55"/>
    <cellStyle name="Comma 25" xfId="56"/>
    <cellStyle name="Comma 26" xfId="57"/>
    <cellStyle name="Comma 27" xfId="58"/>
    <cellStyle name="Comma 28" xfId="59"/>
    <cellStyle name="Comma 29" xfId="60"/>
    <cellStyle name="Comma 3" xfId="61"/>
    <cellStyle name="Comma 3 14" xfId="1110"/>
    <cellStyle name="Comma 3 14 2" xfId="1304"/>
    <cellStyle name="Comma 3 14 2 2" xfId="2105"/>
    <cellStyle name="Comma 3 14 3" xfId="1512"/>
    <cellStyle name="Comma 3 14 3 2" xfId="2301"/>
    <cellStyle name="Comma 3 14 4" xfId="1711"/>
    <cellStyle name="Comma 3 14 4 2" xfId="2500"/>
    <cellStyle name="Comma 3 14 5" xfId="1911"/>
    <cellStyle name="Comma 3 2" xfId="210"/>
    <cellStyle name="Comma 3 2 10" xfId="1728"/>
    <cellStyle name="Comma 3 2 2" xfId="444"/>
    <cellStyle name="Comma 3 2 3" xfId="765"/>
    <cellStyle name="Comma 3 2 3 2" xfId="1175"/>
    <cellStyle name="Comma 3 2 3 2 2" xfId="1976"/>
    <cellStyle name="Comma 3 2 3 3" xfId="1383"/>
    <cellStyle name="Comma 3 2 3 3 2" xfId="2172"/>
    <cellStyle name="Comma 3 2 3 4" xfId="1583"/>
    <cellStyle name="Comma 3 2 3 4 2" xfId="2372"/>
    <cellStyle name="Comma 3 2 3 5" xfId="980"/>
    <cellStyle name="Comma 3 2 3 6" xfId="1754"/>
    <cellStyle name="Comma 3 2 4" xfId="797"/>
    <cellStyle name="Comma 3 2 4 2" xfId="1207"/>
    <cellStyle name="Comma 3 2 4 2 2" xfId="2008"/>
    <cellStyle name="Comma 3 2 4 3" xfId="1415"/>
    <cellStyle name="Comma 3 2 4 3 2" xfId="2204"/>
    <cellStyle name="Comma 3 2 4 4" xfId="1615"/>
    <cellStyle name="Comma 3 2 4 4 2" xfId="2404"/>
    <cellStyle name="Comma 3 2 4 5" xfId="1012"/>
    <cellStyle name="Comma 3 2 4 6" xfId="1786"/>
    <cellStyle name="Comma 3 2 5" xfId="954"/>
    <cellStyle name="Comma 3 2 5 2" xfId="1149"/>
    <cellStyle name="Comma 3 2 5 2 2" xfId="1950"/>
    <cellStyle name="Comma 3 2 5 3" xfId="1357"/>
    <cellStyle name="Comma 3 2 5 3 2" xfId="2146"/>
    <cellStyle name="Comma 3 2 5 4" xfId="1557"/>
    <cellStyle name="Comma 3 2 5 4 2" xfId="2346"/>
    <cellStyle name="Comma 3 2 5 5" xfId="1892"/>
    <cellStyle name="Comma 3 2 6" xfId="1123"/>
    <cellStyle name="Comma 3 2 6 2" xfId="1924"/>
    <cellStyle name="Comma 3 2 7" xfId="1331"/>
    <cellStyle name="Comma 3 2 7 2" xfId="2120"/>
    <cellStyle name="Comma 3 2 8" xfId="1531"/>
    <cellStyle name="Comma 3 2 8 2" xfId="2320"/>
    <cellStyle name="Comma 3 2 9" xfId="903"/>
    <cellStyle name="Comma 3 3" xfId="445"/>
    <cellStyle name="Comma 3 4" xfId="443"/>
    <cellStyle name="Comma 3 4 2" xfId="772"/>
    <cellStyle name="Comma 3 4 2 2" xfId="1182"/>
    <cellStyle name="Comma 3 4 2 2 2" xfId="1983"/>
    <cellStyle name="Comma 3 4 2 3" xfId="1390"/>
    <cellStyle name="Comma 3 4 2 3 2" xfId="2179"/>
    <cellStyle name="Comma 3 4 2 4" xfId="1590"/>
    <cellStyle name="Comma 3 4 2 4 2" xfId="2379"/>
    <cellStyle name="Comma 3 4 2 5" xfId="987"/>
    <cellStyle name="Comma 3 4 2 6" xfId="1761"/>
    <cellStyle name="Comma 3 4 3" xfId="804"/>
    <cellStyle name="Comma 3 4 3 2" xfId="1214"/>
    <cellStyle name="Comma 3 4 3 2 2" xfId="2015"/>
    <cellStyle name="Comma 3 4 3 3" xfId="1422"/>
    <cellStyle name="Comma 3 4 3 3 2" xfId="2211"/>
    <cellStyle name="Comma 3 4 3 4" xfId="1622"/>
    <cellStyle name="Comma 3 4 3 4 2" xfId="2411"/>
    <cellStyle name="Comma 3 4 3 5" xfId="1019"/>
    <cellStyle name="Comma 3 4 3 6" xfId="1793"/>
    <cellStyle name="Comma 3 4 4" xfId="961"/>
    <cellStyle name="Comma 3 4 4 2" xfId="1156"/>
    <cellStyle name="Comma 3 4 4 2 2" xfId="1957"/>
    <cellStyle name="Comma 3 4 4 3" xfId="1364"/>
    <cellStyle name="Comma 3 4 4 3 2" xfId="2153"/>
    <cellStyle name="Comma 3 4 4 4" xfId="1564"/>
    <cellStyle name="Comma 3 4 4 4 2" xfId="2353"/>
    <cellStyle name="Comma 3 4 4 5" xfId="1899"/>
    <cellStyle name="Comma 3 4 5" xfId="1130"/>
    <cellStyle name="Comma 3 4 5 2" xfId="1931"/>
    <cellStyle name="Comma 3 4 6" xfId="1338"/>
    <cellStyle name="Comma 3 4 6 2" xfId="2127"/>
    <cellStyle name="Comma 3 4 7" xfId="1538"/>
    <cellStyle name="Comma 3 4 7 2" xfId="2327"/>
    <cellStyle name="Comma 3 4 8" xfId="910"/>
    <cellStyle name="Comma 3 4 9" xfId="1735"/>
    <cellStyle name="Comma 3 5" xfId="841"/>
    <cellStyle name="Comma 3 5 2" xfId="1251"/>
    <cellStyle name="Comma 3 5 2 2" xfId="2052"/>
    <cellStyle name="Comma 3 5 3" xfId="1459"/>
    <cellStyle name="Comma 3 5 3 2" xfId="2248"/>
    <cellStyle name="Comma 3 5 4" xfId="1659"/>
    <cellStyle name="Comma 3 5 4 2" xfId="2448"/>
    <cellStyle name="Comma 3 5 5" xfId="1056"/>
    <cellStyle name="Comma 3 5 6" xfId="1830"/>
    <cellStyle name="Comma 3 6" xfId="890"/>
    <cellStyle name="Comma 3 6 2" xfId="1879"/>
    <cellStyle name="Comma 30" xfId="62"/>
    <cellStyle name="Comma 31" xfId="63"/>
    <cellStyle name="Comma 32" xfId="64"/>
    <cellStyle name="Comma 33" xfId="65"/>
    <cellStyle name="Comma 34" xfId="66"/>
    <cellStyle name="Comma 35" xfId="67"/>
    <cellStyle name="Comma 36" xfId="68"/>
    <cellStyle name="Comma 37" xfId="69"/>
    <cellStyle name="Comma 38" xfId="70"/>
    <cellStyle name="Comma 39" xfId="71"/>
    <cellStyle name="Comma 4" xfId="72"/>
    <cellStyle name="Comma 4 2" xfId="446"/>
    <cellStyle name="Comma 4 3" xfId="739"/>
    <cellStyle name="Comma 4 4" xfId="928"/>
    <cellStyle name="Comma 40" xfId="73"/>
    <cellStyle name="Comma 41" xfId="74"/>
    <cellStyle name="Comma 42" xfId="75"/>
    <cellStyle name="Comma 43" xfId="76"/>
    <cellStyle name="Comma 44" xfId="77"/>
    <cellStyle name="Comma 45" xfId="78"/>
    <cellStyle name="Comma 46" xfId="79"/>
    <cellStyle name="Comma 47" xfId="80"/>
    <cellStyle name="Comma 48" xfId="81"/>
    <cellStyle name="Comma 49" xfId="82"/>
    <cellStyle name="Comma 5" xfId="83"/>
    <cellStyle name="Comma 5 2" xfId="447"/>
    <cellStyle name="Comma 50" xfId="84"/>
    <cellStyle name="Comma 51" xfId="85"/>
    <cellStyle name="Comma 52" xfId="86"/>
    <cellStyle name="Comma 53" xfId="87"/>
    <cellStyle name="Comma 54" xfId="88"/>
    <cellStyle name="Comma 55" xfId="89"/>
    <cellStyle name="Comma 56" xfId="90"/>
    <cellStyle name="Comma 57" xfId="91"/>
    <cellStyle name="Comma 58" xfId="92"/>
    <cellStyle name="Comma 59" xfId="93"/>
    <cellStyle name="Comma 6" xfId="94"/>
    <cellStyle name="Comma 6 2" xfId="95"/>
    <cellStyle name="Comma 6 2 2" xfId="740"/>
    <cellStyle name="Comma 6 2 3" xfId="929"/>
    <cellStyle name="Comma 6 3" xfId="448"/>
    <cellStyle name="Comma 60" xfId="96"/>
    <cellStyle name="Comma 61" xfId="97"/>
    <cellStyle name="Comma 62" xfId="98"/>
    <cellStyle name="Comma 63" xfId="99"/>
    <cellStyle name="Comma 64" xfId="100"/>
    <cellStyle name="Comma 65" xfId="101"/>
    <cellStyle name="Comma 66" xfId="102"/>
    <cellStyle name="Comma 67" xfId="103"/>
    <cellStyle name="Comma 68" xfId="104"/>
    <cellStyle name="Comma 69" xfId="105"/>
    <cellStyle name="Comma 7" xfId="106"/>
    <cellStyle name="Comma 7 2" xfId="728"/>
    <cellStyle name="Comma 7 3" xfId="438"/>
    <cellStyle name="Comma 70" xfId="107"/>
    <cellStyle name="Comma 71" xfId="108"/>
    <cellStyle name="Comma 72" xfId="109"/>
    <cellStyle name="Comma 73" xfId="110"/>
    <cellStyle name="Comma 74" xfId="111"/>
    <cellStyle name="Comma 75" xfId="112"/>
    <cellStyle name="Comma 76" xfId="113"/>
    <cellStyle name="Comma 77" xfId="114"/>
    <cellStyle name="Comma 78" xfId="115"/>
    <cellStyle name="Comma 79" xfId="116"/>
    <cellStyle name="Comma 8" xfId="117"/>
    <cellStyle name="Comma 80" xfId="118"/>
    <cellStyle name="Comma 81" xfId="119"/>
    <cellStyle name="Comma 82" xfId="120"/>
    <cellStyle name="Comma 83" xfId="121"/>
    <cellStyle name="Comma 84" xfId="122"/>
    <cellStyle name="Comma 85" xfId="123"/>
    <cellStyle name="Comma 86" xfId="200"/>
    <cellStyle name="Comma 87" xfId="204"/>
    <cellStyle name="Comma 87 2" xfId="761"/>
    <cellStyle name="Comma 87 2 2" xfId="1171"/>
    <cellStyle name="Comma 87 2 2 2" xfId="1972"/>
    <cellStyle name="Comma 87 2 3" xfId="1379"/>
    <cellStyle name="Comma 87 2 3 2" xfId="2168"/>
    <cellStyle name="Comma 87 2 4" xfId="1579"/>
    <cellStyle name="Comma 87 2 4 2" xfId="2368"/>
    <cellStyle name="Comma 87 2 5" xfId="976"/>
    <cellStyle name="Comma 87 2 6" xfId="1750"/>
    <cellStyle name="Comma 87 3" xfId="793"/>
    <cellStyle name="Comma 87 3 2" xfId="1203"/>
    <cellStyle name="Comma 87 3 2 2" xfId="2004"/>
    <cellStyle name="Comma 87 3 3" xfId="1411"/>
    <cellStyle name="Comma 87 3 3 2" xfId="2200"/>
    <cellStyle name="Comma 87 3 4" xfId="1611"/>
    <cellStyle name="Comma 87 3 4 2" xfId="2400"/>
    <cellStyle name="Comma 87 3 5" xfId="1008"/>
    <cellStyle name="Comma 87 3 6" xfId="1782"/>
    <cellStyle name="Comma 87 4" xfId="950"/>
    <cellStyle name="Comma 87 4 2" xfId="1145"/>
    <cellStyle name="Comma 87 4 2 2" xfId="1946"/>
    <cellStyle name="Comma 87 4 3" xfId="1353"/>
    <cellStyle name="Comma 87 4 3 2" xfId="2142"/>
    <cellStyle name="Comma 87 4 4" xfId="1553"/>
    <cellStyle name="Comma 87 4 4 2" xfId="2342"/>
    <cellStyle name="Comma 87 4 5" xfId="1888"/>
    <cellStyle name="Comma 87 5" xfId="1119"/>
    <cellStyle name="Comma 87 5 2" xfId="1920"/>
    <cellStyle name="Comma 87 6" xfId="1327"/>
    <cellStyle name="Comma 87 6 2" xfId="2116"/>
    <cellStyle name="Comma 87 7" xfId="1527"/>
    <cellStyle name="Comma 87 7 2" xfId="2316"/>
    <cellStyle name="Comma 87 8" xfId="899"/>
    <cellStyle name="Comma 87 9" xfId="1724"/>
    <cellStyle name="Comma 88" xfId="216"/>
    <cellStyle name="Comma 88 2" xfId="769"/>
    <cellStyle name="Comma 88 2 2" xfId="1179"/>
    <cellStyle name="Comma 88 2 2 2" xfId="1980"/>
    <cellStyle name="Comma 88 2 3" xfId="1387"/>
    <cellStyle name="Comma 88 2 3 2" xfId="2176"/>
    <cellStyle name="Comma 88 2 4" xfId="1587"/>
    <cellStyle name="Comma 88 2 4 2" xfId="2376"/>
    <cellStyle name="Comma 88 2 5" xfId="984"/>
    <cellStyle name="Comma 88 2 6" xfId="1758"/>
    <cellStyle name="Comma 88 3" xfId="801"/>
    <cellStyle name="Comma 88 3 2" xfId="1211"/>
    <cellStyle name="Comma 88 3 2 2" xfId="2012"/>
    <cellStyle name="Comma 88 3 3" xfId="1419"/>
    <cellStyle name="Comma 88 3 3 2" xfId="2208"/>
    <cellStyle name="Comma 88 3 4" xfId="1619"/>
    <cellStyle name="Comma 88 3 4 2" xfId="2408"/>
    <cellStyle name="Comma 88 3 5" xfId="1016"/>
    <cellStyle name="Comma 88 3 6" xfId="1790"/>
    <cellStyle name="Comma 88 4" xfId="958"/>
    <cellStyle name="Comma 88 4 2" xfId="1153"/>
    <cellStyle name="Comma 88 4 2 2" xfId="1954"/>
    <cellStyle name="Comma 88 4 3" xfId="1361"/>
    <cellStyle name="Comma 88 4 3 2" xfId="2150"/>
    <cellStyle name="Comma 88 4 4" xfId="1561"/>
    <cellStyle name="Comma 88 4 4 2" xfId="2350"/>
    <cellStyle name="Comma 88 4 5" xfId="1896"/>
    <cellStyle name="Comma 88 5" xfId="1127"/>
    <cellStyle name="Comma 88 5 2" xfId="1928"/>
    <cellStyle name="Comma 88 6" xfId="1335"/>
    <cellStyle name="Comma 88 6 2" xfId="2124"/>
    <cellStyle name="Comma 88 7" xfId="1535"/>
    <cellStyle name="Comma 88 7 2" xfId="2324"/>
    <cellStyle name="Comma 88 8" xfId="907"/>
    <cellStyle name="Comma 88 9" xfId="1732"/>
    <cellStyle name="Comma 89" xfId="684"/>
    <cellStyle name="Comma 89 2" xfId="776"/>
    <cellStyle name="Comma 89 2 2" xfId="1186"/>
    <cellStyle name="Comma 89 2 2 2" xfId="1987"/>
    <cellStyle name="Comma 89 2 3" xfId="1394"/>
    <cellStyle name="Comma 89 2 3 2" xfId="2183"/>
    <cellStyle name="Comma 89 2 4" xfId="1594"/>
    <cellStyle name="Comma 89 2 4 2" xfId="2383"/>
    <cellStyle name="Comma 89 2 5" xfId="991"/>
    <cellStyle name="Comma 89 2 6" xfId="1765"/>
    <cellStyle name="Comma 89 3" xfId="808"/>
    <cellStyle name="Comma 89 3 2" xfId="1218"/>
    <cellStyle name="Comma 89 3 2 2" xfId="2019"/>
    <cellStyle name="Comma 89 3 3" xfId="1426"/>
    <cellStyle name="Comma 89 3 3 2" xfId="2215"/>
    <cellStyle name="Comma 89 3 4" xfId="1626"/>
    <cellStyle name="Comma 89 3 4 2" xfId="2415"/>
    <cellStyle name="Comma 89 3 5" xfId="1023"/>
    <cellStyle name="Comma 89 3 6" xfId="1797"/>
    <cellStyle name="Comma 89 4" xfId="965"/>
    <cellStyle name="Comma 89 4 2" xfId="1160"/>
    <cellStyle name="Comma 89 4 2 2" xfId="1961"/>
    <cellStyle name="Comma 89 4 3" xfId="1368"/>
    <cellStyle name="Comma 89 4 3 2" xfId="2157"/>
    <cellStyle name="Comma 89 4 4" xfId="1568"/>
    <cellStyle name="Comma 89 4 4 2" xfId="2357"/>
    <cellStyle name="Comma 89 4 5" xfId="1901"/>
    <cellStyle name="Comma 89 5" xfId="1134"/>
    <cellStyle name="Comma 89 5 2" xfId="1935"/>
    <cellStyle name="Comma 89 6" xfId="1342"/>
    <cellStyle name="Comma 89 6 2" xfId="2131"/>
    <cellStyle name="Comma 89 7" xfId="1542"/>
    <cellStyle name="Comma 89 7 2" xfId="2331"/>
    <cellStyle name="Comma 89 8" xfId="915"/>
    <cellStyle name="Comma 89 9" xfId="1739"/>
    <cellStyle name="Comma 9" xfId="124"/>
    <cellStyle name="Comma 90" xfId="783"/>
    <cellStyle name="Comma 90 2" xfId="1193"/>
    <cellStyle name="Comma 90 2 2" xfId="1994"/>
    <cellStyle name="Comma 90 3" xfId="1401"/>
    <cellStyle name="Comma 90 3 2" xfId="2190"/>
    <cellStyle name="Comma 90 4" xfId="1601"/>
    <cellStyle name="Comma 90 4 2" xfId="2390"/>
    <cellStyle name="Comma 90 5" xfId="998"/>
    <cellStyle name="Comma 90 6" xfId="1772"/>
    <cellStyle name="Comma 91" xfId="787"/>
    <cellStyle name="Comma 91 2" xfId="1197"/>
    <cellStyle name="Comma 91 2 2" xfId="1998"/>
    <cellStyle name="Comma 91 3" xfId="1405"/>
    <cellStyle name="Comma 91 3 2" xfId="2194"/>
    <cellStyle name="Comma 91 4" xfId="1605"/>
    <cellStyle name="Comma 91 4 2" xfId="2394"/>
    <cellStyle name="Comma 91 5" xfId="1002"/>
    <cellStyle name="Comma 91 6" xfId="1776"/>
    <cellStyle name="Comma 92" xfId="815"/>
    <cellStyle name="Comma 92 2" xfId="1225"/>
    <cellStyle name="Comma 92 2 2" xfId="2026"/>
    <cellStyle name="Comma 92 3" xfId="1433"/>
    <cellStyle name="Comma 92 3 2" xfId="2222"/>
    <cellStyle name="Comma 92 4" xfId="1633"/>
    <cellStyle name="Comma 92 4 2" xfId="2422"/>
    <cellStyle name="Comma 92 5" xfId="1030"/>
    <cellStyle name="Comma 92 6" xfId="1804"/>
    <cellStyle name="Comma 93" xfId="861"/>
    <cellStyle name="Comma 93 2" xfId="1271"/>
    <cellStyle name="Comma 93 2 2" xfId="2072"/>
    <cellStyle name="Comma 93 3" xfId="1479"/>
    <cellStyle name="Comma 93 3 2" xfId="2268"/>
    <cellStyle name="Comma 93 4" xfId="1679"/>
    <cellStyle name="Comma 93 4 2" xfId="2468"/>
    <cellStyle name="Comma 93 5" xfId="1076"/>
    <cellStyle name="Comma 93 6" xfId="1850"/>
    <cellStyle name="Comma 94" xfId="818"/>
    <cellStyle name="Comma 94 2" xfId="1228"/>
    <cellStyle name="Comma 94 2 2" xfId="2029"/>
    <cellStyle name="Comma 94 3" xfId="1436"/>
    <cellStyle name="Comma 94 3 2" xfId="2225"/>
    <cellStyle name="Comma 94 4" xfId="1636"/>
    <cellStyle name="Comma 94 4 2" xfId="2425"/>
    <cellStyle name="Comma 94 5" xfId="1033"/>
    <cellStyle name="Comma 94 6" xfId="1807"/>
    <cellStyle name="Comma 95" xfId="869"/>
    <cellStyle name="Comma 95 2" xfId="1279"/>
    <cellStyle name="Comma 95 2 2" xfId="2080"/>
    <cellStyle name="Comma 95 3" xfId="1487"/>
    <cellStyle name="Comma 95 3 2" xfId="2276"/>
    <cellStyle name="Comma 95 4" xfId="1687"/>
    <cellStyle name="Comma 95 4 2" xfId="2476"/>
    <cellStyle name="Comma 95 5" xfId="1084"/>
    <cellStyle name="Comma 95 6" xfId="1858"/>
    <cellStyle name="Comma 96" xfId="822"/>
    <cellStyle name="Comma 96 2" xfId="1232"/>
    <cellStyle name="Comma 96 2 2" xfId="2033"/>
    <cellStyle name="Comma 96 3" xfId="1440"/>
    <cellStyle name="Comma 96 3 2" xfId="2229"/>
    <cellStyle name="Comma 96 4" xfId="1640"/>
    <cellStyle name="Comma 96 4 2" xfId="2429"/>
    <cellStyle name="Comma 96 5" xfId="1037"/>
    <cellStyle name="Comma 96 6" xfId="1811"/>
    <cellStyle name="Comma 97" xfId="857"/>
    <cellStyle name="Comma 97 2" xfId="1267"/>
    <cellStyle name="Comma 97 2 2" xfId="2068"/>
    <cellStyle name="Comma 97 3" xfId="1475"/>
    <cellStyle name="Comma 97 3 2" xfId="2264"/>
    <cellStyle name="Comma 97 4" xfId="1675"/>
    <cellStyle name="Comma 97 4 2" xfId="2464"/>
    <cellStyle name="Comma 97 5" xfId="1072"/>
    <cellStyle name="Comma 97 6" xfId="1846"/>
    <cellStyle name="Comma 98" xfId="828"/>
    <cellStyle name="Comma 98 2" xfId="1238"/>
    <cellStyle name="Comma 98 2 2" xfId="2039"/>
    <cellStyle name="Comma 98 3" xfId="1446"/>
    <cellStyle name="Comma 98 3 2" xfId="2235"/>
    <cellStyle name="Comma 98 4" xfId="1646"/>
    <cellStyle name="Comma 98 4 2" xfId="2435"/>
    <cellStyle name="Comma 98 5" xfId="1043"/>
    <cellStyle name="Comma 98 6" xfId="1817"/>
    <cellStyle name="Comma 99" xfId="852"/>
    <cellStyle name="Comma 99 2" xfId="1262"/>
    <cellStyle name="Comma 99 2 2" xfId="2063"/>
    <cellStyle name="Comma 99 3" xfId="1470"/>
    <cellStyle name="Comma 99 3 2" xfId="2259"/>
    <cellStyle name="Comma 99 4" xfId="1670"/>
    <cellStyle name="Comma 99 4 2" xfId="2459"/>
    <cellStyle name="Comma 99 5" xfId="1067"/>
    <cellStyle name="Comma 99 6" xfId="1841"/>
    <cellStyle name="Comma0" xfId="125"/>
    <cellStyle name="Comma0 2" xfId="741"/>
    <cellStyle name="Comma0 3" xfId="930"/>
    <cellStyle name="Currency" xfId="2" builtinId="4"/>
    <cellStyle name="Currency [2]" xfId="126"/>
    <cellStyle name="Currency [2] 2" xfId="742"/>
    <cellStyle name="Currency [2] 3" xfId="931"/>
    <cellStyle name="Currency 10" xfId="450"/>
    <cellStyle name="Currency 10 2" xfId="1108"/>
    <cellStyle name="Currency 11" xfId="451"/>
    <cellStyle name="Currency 12" xfId="452"/>
    <cellStyle name="Currency 13" xfId="453"/>
    <cellStyle name="Currency 14" xfId="454"/>
    <cellStyle name="Currency 15" xfId="455"/>
    <cellStyle name="Currency 16" xfId="211"/>
    <cellStyle name="Currency 16 2" xfId="456"/>
    <cellStyle name="Currency 17" xfId="457"/>
    <cellStyle name="Currency 17 2" xfId="458"/>
    <cellStyle name="Currency 18" xfId="459"/>
    <cellStyle name="Currency 19" xfId="449"/>
    <cellStyle name="Currency 19 2" xfId="729"/>
    <cellStyle name="Currency 2" xfId="5"/>
    <cellStyle name="Currency 2 2" xfId="460"/>
    <cellStyle name="Currency 2 3" xfId="461"/>
    <cellStyle name="Currency 2 3 2" xfId="462"/>
    <cellStyle name="Currency 2 4" xfId="463"/>
    <cellStyle name="Currency 20" xfId="217"/>
    <cellStyle name="Currency 20 2" xfId="770"/>
    <cellStyle name="Currency 20 2 2" xfId="1180"/>
    <cellStyle name="Currency 20 2 2 2" xfId="1981"/>
    <cellStyle name="Currency 20 2 3" xfId="1388"/>
    <cellStyle name="Currency 20 2 3 2" xfId="2177"/>
    <cellStyle name="Currency 20 2 4" xfId="1588"/>
    <cellStyle name="Currency 20 2 4 2" xfId="2377"/>
    <cellStyle name="Currency 20 2 5" xfId="985"/>
    <cellStyle name="Currency 20 2 6" xfId="1759"/>
    <cellStyle name="Currency 20 3" xfId="802"/>
    <cellStyle name="Currency 20 3 2" xfId="1212"/>
    <cellStyle name="Currency 20 3 2 2" xfId="2013"/>
    <cellStyle name="Currency 20 3 3" xfId="1420"/>
    <cellStyle name="Currency 20 3 3 2" xfId="2209"/>
    <cellStyle name="Currency 20 3 4" xfId="1620"/>
    <cellStyle name="Currency 20 3 4 2" xfId="2409"/>
    <cellStyle name="Currency 20 3 5" xfId="1017"/>
    <cellStyle name="Currency 20 3 6" xfId="1791"/>
    <cellStyle name="Currency 20 4" xfId="959"/>
    <cellStyle name="Currency 20 4 2" xfId="1154"/>
    <cellStyle name="Currency 20 4 2 2" xfId="1955"/>
    <cellStyle name="Currency 20 4 3" xfId="1362"/>
    <cellStyle name="Currency 20 4 3 2" xfId="2151"/>
    <cellStyle name="Currency 20 4 4" xfId="1562"/>
    <cellStyle name="Currency 20 4 4 2" xfId="2351"/>
    <cellStyle name="Currency 20 4 5" xfId="1897"/>
    <cellStyle name="Currency 20 5" xfId="1128"/>
    <cellStyle name="Currency 20 5 2" xfId="1929"/>
    <cellStyle name="Currency 20 6" xfId="1336"/>
    <cellStyle name="Currency 20 6 2" xfId="2125"/>
    <cellStyle name="Currency 20 7" xfId="1536"/>
    <cellStyle name="Currency 20 7 2" xfId="2325"/>
    <cellStyle name="Currency 20 8" xfId="908"/>
    <cellStyle name="Currency 20 9" xfId="1733"/>
    <cellStyle name="Currency 21" xfId="218"/>
    <cellStyle name="Currency 21 2" xfId="771"/>
    <cellStyle name="Currency 21 2 2" xfId="1181"/>
    <cellStyle name="Currency 21 2 2 2" xfId="1982"/>
    <cellStyle name="Currency 21 2 3" xfId="1389"/>
    <cellStyle name="Currency 21 2 3 2" xfId="2178"/>
    <cellStyle name="Currency 21 2 4" xfId="1589"/>
    <cellStyle name="Currency 21 2 4 2" xfId="2378"/>
    <cellStyle name="Currency 21 2 5" xfId="986"/>
    <cellStyle name="Currency 21 2 6" xfId="1760"/>
    <cellStyle name="Currency 21 3" xfId="803"/>
    <cellStyle name="Currency 21 3 2" xfId="1213"/>
    <cellStyle name="Currency 21 3 2 2" xfId="2014"/>
    <cellStyle name="Currency 21 3 3" xfId="1421"/>
    <cellStyle name="Currency 21 3 3 2" xfId="2210"/>
    <cellStyle name="Currency 21 3 4" xfId="1621"/>
    <cellStyle name="Currency 21 3 4 2" xfId="2410"/>
    <cellStyle name="Currency 21 3 5" xfId="1018"/>
    <cellStyle name="Currency 21 3 6" xfId="1792"/>
    <cellStyle name="Currency 21 4" xfId="960"/>
    <cellStyle name="Currency 21 4 2" xfId="1155"/>
    <cellStyle name="Currency 21 4 2 2" xfId="1956"/>
    <cellStyle name="Currency 21 4 3" xfId="1363"/>
    <cellStyle name="Currency 21 4 3 2" xfId="2152"/>
    <cellStyle name="Currency 21 4 4" xfId="1563"/>
    <cellStyle name="Currency 21 4 4 2" xfId="2352"/>
    <cellStyle name="Currency 21 4 5" xfId="1898"/>
    <cellStyle name="Currency 21 5" xfId="1129"/>
    <cellStyle name="Currency 21 5 2" xfId="1930"/>
    <cellStyle name="Currency 21 6" xfId="1337"/>
    <cellStyle name="Currency 21 6 2" xfId="2126"/>
    <cellStyle name="Currency 21 7" xfId="1537"/>
    <cellStyle name="Currency 21 7 2" xfId="2326"/>
    <cellStyle name="Currency 21 8" xfId="909"/>
    <cellStyle name="Currency 21 9" xfId="1734"/>
    <cellStyle name="Currency 22" xfId="784"/>
    <cellStyle name="Currency 22 2" xfId="1194"/>
    <cellStyle name="Currency 22 2 2" xfId="1995"/>
    <cellStyle name="Currency 22 3" xfId="1402"/>
    <cellStyle name="Currency 22 3 2" xfId="2191"/>
    <cellStyle name="Currency 22 4" xfId="1602"/>
    <cellStyle name="Currency 22 4 2" xfId="2391"/>
    <cellStyle name="Currency 22 5" xfId="999"/>
    <cellStyle name="Currency 22 6" xfId="1773"/>
    <cellStyle name="Currency 23" xfId="786"/>
    <cellStyle name="Currency 23 2" xfId="1196"/>
    <cellStyle name="Currency 23 2 2" xfId="1997"/>
    <cellStyle name="Currency 23 3" xfId="1404"/>
    <cellStyle name="Currency 23 3 2" xfId="2193"/>
    <cellStyle name="Currency 23 4" xfId="1604"/>
    <cellStyle name="Currency 23 4 2" xfId="2393"/>
    <cellStyle name="Currency 23 5" xfId="1001"/>
    <cellStyle name="Currency 23 6" xfId="1775"/>
    <cellStyle name="Currency 24" xfId="816"/>
    <cellStyle name="Currency 24 2" xfId="1226"/>
    <cellStyle name="Currency 24 2 2" xfId="2027"/>
    <cellStyle name="Currency 24 3" xfId="1434"/>
    <cellStyle name="Currency 24 3 2" xfId="2223"/>
    <cellStyle name="Currency 24 4" xfId="1634"/>
    <cellStyle name="Currency 24 4 2" xfId="2423"/>
    <cellStyle name="Currency 24 5" xfId="1031"/>
    <cellStyle name="Currency 24 6" xfId="1805"/>
    <cellStyle name="Currency 25" xfId="860"/>
    <cellStyle name="Currency 25 2" xfId="1270"/>
    <cellStyle name="Currency 25 2 2" xfId="2071"/>
    <cellStyle name="Currency 25 3" xfId="1478"/>
    <cellStyle name="Currency 25 3 2" xfId="2267"/>
    <cellStyle name="Currency 25 4" xfId="1678"/>
    <cellStyle name="Currency 25 4 2" xfId="2467"/>
    <cellStyle name="Currency 25 5" xfId="1075"/>
    <cellStyle name="Currency 25 6" xfId="1849"/>
    <cellStyle name="Currency 26" xfId="819"/>
    <cellStyle name="Currency 26 2" xfId="1229"/>
    <cellStyle name="Currency 26 2 2" xfId="2030"/>
    <cellStyle name="Currency 26 3" xfId="1437"/>
    <cellStyle name="Currency 26 3 2" xfId="2226"/>
    <cellStyle name="Currency 26 4" xfId="1637"/>
    <cellStyle name="Currency 26 4 2" xfId="2426"/>
    <cellStyle name="Currency 26 5" xfId="1034"/>
    <cellStyle name="Currency 26 6" xfId="1808"/>
    <cellStyle name="Currency 27" xfId="868"/>
    <cellStyle name="Currency 27 2" xfId="1278"/>
    <cellStyle name="Currency 27 2 2" xfId="2079"/>
    <cellStyle name="Currency 27 3" xfId="1486"/>
    <cellStyle name="Currency 27 3 2" xfId="2275"/>
    <cellStyle name="Currency 27 4" xfId="1686"/>
    <cellStyle name="Currency 27 4 2" xfId="2475"/>
    <cellStyle name="Currency 27 5" xfId="1083"/>
    <cellStyle name="Currency 27 6" xfId="1857"/>
    <cellStyle name="Currency 28" xfId="823"/>
    <cellStyle name="Currency 28 2" xfId="1233"/>
    <cellStyle name="Currency 28 2 2" xfId="2034"/>
    <cellStyle name="Currency 28 3" xfId="1441"/>
    <cellStyle name="Currency 28 3 2" xfId="2230"/>
    <cellStyle name="Currency 28 4" xfId="1641"/>
    <cellStyle name="Currency 28 4 2" xfId="2430"/>
    <cellStyle name="Currency 28 5" xfId="1038"/>
    <cellStyle name="Currency 28 6" xfId="1812"/>
    <cellStyle name="Currency 29" xfId="856"/>
    <cellStyle name="Currency 29 2" xfId="1266"/>
    <cellStyle name="Currency 29 2 2" xfId="2067"/>
    <cellStyle name="Currency 29 3" xfId="1474"/>
    <cellStyle name="Currency 29 3 2" xfId="2263"/>
    <cellStyle name="Currency 29 4" xfId="1674"/>
    <cellStyle name="Currency 29 4 2" xfId="2463"/>
    <cellStyle name="Currency 29 5" xfId="1071"/>
    <cellStyle name="Currency 29 6" xfId="1845"/>
    <cellStyle name="Currency 3" xfId="127"/>
    <cellStyle name="Currency 3 2" xfId="128"/>
    <cellStyle name="Currency 3 2 2" xfId="465"/>
    <cellStyle name="Currency 3 2 3" xfId="743"/>
    <cellStyle name="Currency 3 2 4" xfId="932"/>
    <cellStyle name="Currency 3 3" xfId="207"/>
    <cellStyle name="Currency 3 3 2" xfId="466"/>
    <cellStyle name="Currency 3 4" xfId="467"/>
    <cellStyle name="Currency 3 5" xfId="464"/>
    <cellStyle name="Currency 30" xfId="829"/>
    <cellStyle name="Currency 30 2" xfId="1239"/>
    <cellStyle name="Currency 30 2 2" xfId="2040"/>
    <cellStyle name="Currency 30 3" xfId="1447"/>
    <cellStyle name="Currency 30 3 2" xfId="2236"/>
    <cellStyle name="Currency 30 4" xfId="1647"/>
    <cellStyle name="Currency 30 4 2" xfId="2436"/>
    <cellStyle name="Currency 30 5" xfId="1044"/>
    <cellStyle name="Currency 30 6" xfId="1818"/>
    <cellStyle name="Currency 31" xfId="851"/>
    <cellStyle name="Currency 31 2" xfId="1261"/>
    <cellStyle name="Currency 31 2 2" xfId="2062"/>
    <cellStyle name="Currency 31 3" xfId="1469"/>
    <cellStyle name="Currency 31 3 2" xfId="2258"/>
    <cellStyle name="Currency 31 4" xfId="1669"/>
    <cellStyle name="Currency 31 4 2" xfId="2458"/>
    <cellStyle name="Currency 31 5" xfId="1066"/>
    <cellStyle name="Currency 31 6" xfId="1840"/>
    <cellStyle name="Currency 32" xfId="833"/>
    <cellStyle name="Currency 32 2" xfId="1243"/>
    <cellStyle name="Currency 32 2 2" xfId="2044"/>
    <cellStyle name="Currency 32 3" xfId="1451"/>
    <cellStyle name="Currency 32 3 2" xfId="2240"/>
    <cellStyle name="Currency 32 4" xfId="1651"/>
    <cellStyle name="Currency 32 4 2" xfId="2440"/>
    <cellStyle name="Currency 32 5" xfId="1048"/>
    <cellStyle name="Currency 32 6" xfId="1822"/>
    <cellStyle name="Currency 33" xfId="847"/>
    <cellStyle name="Currency 33 2" xfId="1257"/>
    <cellStyle name="Currency 33 2 2" xfId="2058"/>
    <cellStyle name="Currency 33 3" xfId="1465"/>
    <cellStyle name="Currency 33 3 2" xfId="2254"/>
    <cellStyle name="Currency 33 4" xfId="1665"/>
    <cellStyle name="Currency 33 4 2" xfId="2454"/>
    <cellStyle name="Currency 33 5" xfId="1062"/>
    <cellStyle name="Currency 33 6" xfId="1836"/>
    <cellStyle name="Currency 34" xfId="836"/>
    <cellStyle name="Currency 34 2" xfId="1246"/>
    <cellStyle name="Currency 34 2 2" xfId="2047"/>
    <cellStyle name="Currency 34 3" xfId="1454"/>
    <cellStyle name="Currency 34 3 2" xfId="2243"/>
    <cellStyle name="Currency 34 4" xfId="1654"/>
    <cellStyle name="Currency 34 4 2" xfId="2443"/>
    <cellStyle name="Currency 34 5" xfId="1051"/>
    <cellStyle name="Currency 34 6" xfId="1825"/>
    <cellStyle name="Currency 35" xfId="874"/>
    <cellStyle name="Currency 35 2" xfId="1284"/>
    <cellStyle name="Currency 35 2 2" xfId="2085"/>
    <cellStyle name="Currency 35 3" xfId="1492"/>
    <cellStyle name="Currency 35 3 2" xfId="2281"/>
    <cellStyle name="Currency 35 4" xfId="1692"/>
    <cellStyle name="Currency 35 4 2" xfId="2481"/>
    <cellStyle name="Currency 35 5" xfId="1089"/>
    <cellStyle name="Currency 35 6" xfId="1863"/>
    <cellStyle name="Currency 36" xfId="883"/>
    <cellStyle name="Currency 36 2" xfId="1293"/>
    <cellStyle name="Currency 36 2 2" xfId="2094"/>
    <cellStyle name="Currency 36 3" xfId="1501"/>
    <cellStyle name="Currency 36 3 2" xfId="2290"/>
    <cellStyle name="Currency 36 4" xfId="1701"/>
    <cellStyle name="Currency 36 4 2" xfId="2490"/>
    <cellStyle name="Currency 36 5" xfId="1098"/>
    <cellStyle name="Currency 36 6" xfId="1872"/>
    <cellStyle name="Currency 37" xfId="854"/>
    <cellStyle name="Currency 37 2" xfId="1264"/>
    <cellStyle name="Currency 37 2 2" xfId="2065"/>
    <cellStyle name="Currency 37 3" xfId="1472"/>
    <cellStyle name="Currency 37 3 2" xfId="2261"/>
    <cellStyle name="Currency 37 4" xfId="1672"/>
    <cellStyle name="Currency 37 4 2" xfId="2461"/>
    <cellStyle name="Currency 37 5" xfId="1069"/>
    <cellStyle name="Currency 37 6" xfId="1843"/>
    <cellStyle name="Currency 38" xfId="840"/>
    <cellStyle name="Currency 38 2" xfId="1250"/>
    <cellStyle name="Currency 38 2 2" xfId="2051"/>
    <cellStyle name="Currency 38 3" xfId="1458"/>
    <cellStyle name="Currency 38 3 2" xfId="2247"/>
    <cellStyle name="Currency 38 4" xfId="1658"/>
    <cellStyle name="Currency 38 4 2" xfId="2447"/>
    <cellStyle name="Currency 38 5" xfId="1055"/>
    <cellStyle name="Currency 38 6" xfId="1829"/>
    <cellStyle name="Currency 39" xfId="859"/>
    <cellStyle name="Currency 39 2" xfId="1269"/>
    <cellStyle name="Currency 39 2 2" xfId="2070"/>
    <cellStyle name="Currency 39 3" xfId="1477"/>
    <cellStyle name="Currency 39 3 2" xfId="2266"/>
    <cellStyle name="Currency 39 4" xfId="1677"/>
    <cellStyle name="Currency 39 4 2" xfId="2466"/>
    <cellStyle name="Currency 39 5" xfId="1074"/>
    <cellStyle name="Currency 39 6" xfId="1848"/>
    <cellStyle name="Currency 4" xfId="129"/>
    <cellStyle name="Currency 4 2" xfId="209"/>
    <cellStyle name="Currency 4 2 10" xfId="1727"/>
    <cellStyle name="Currency 4 2 2" xfId="469"/>
    <cellStyle name="Currency 4 2 3" xfId="764"/>
    <cellStyle name="Currency 4 2 3 2" xfId="1174"/>
    <cellStyle name="Currency 4 2 3 2 2" xfId="1975"/>
    <cellStyle name="Currency 4 2 3 3" xfId="1382"/>
    <cellStyle name="Currency 4 2 3 3 2" xfId="2171"/>
    <cellStyle name="Currency 4 2 3 4" xfId="1582"/>
    <cellStyle name="Currency 4 2 3 4 2" xfId="2371"/>
    <cellStyle name="Currency 4 2 3 5" xfId="979"/>
    <cellStyle name="Currency 4 2 3 6" xfId="1753"/>
    <cellStyle name="Currency 4 2 4" xfId="796"/>
    <cellStyle name="Currency 4 2 4 2" xfId="1206"/>
    <cellStyle name="Currency 4 2 4 2 2" xfId="2007"/>
    <cellStyle name="Currency 4 2 4 3" xfId="1414"/>
    <cellStyle name="Currency 4 2 4 3 2" xfId="2203"/>
    <cellStyle name="Currency 4 2 4 4" xfId="1614"/>
    <cellStyle name="Currency 4 2 4 4 2" xfId="2403"/>
    <cellStyle name="Currency 4 2 4 5" xfId="1011"/>
    <cellStyle name="Currency 4 2 4 6" xfId="1785"/>
    <cellStyle name="Currency 4 2 5" xfId="953"/>
    <cellStyle name="Currency 4 2 5 2" xfId="1148"/>
    <cellStyle name="Currency 4 2 5 2 2" xfId="1949"/>
    <cellStyle name="Currency 4 2 5 3" xfId="1356"/>
    <cellStyle name="Currency 4 2 5 3 2" xfId="2145"/>
    <cellStyle name="Currency 4 2 5 4" xfId="1556"/>
    <cellStyle name="Currency 4 2 5 4 2" xfId="2345"/>
    <cellStyle name="Currency 4 2 5 5" xfId="1891"/>
    <cellStyle name="Currency 4 2 6" xfId="1122"/>
    <cellStyle name="Currency 4 2 6 2" xfId="1923"/>
    <cellStyle name="Currency 4 2 7" xfId="1330"/>
    <cellStyle name="Currency 4 2 7 2" xfId="2119"/>
    <cellStyle name="Currency 4 2 8" xfId="1530"/>
    <cellStyle name="Currency 4 2 8 2" xfId="2319"/>
    <cellStyle name="Currency 4 2 9" xfId="902"/>
    <cellStyle name="Currency 4 3" xfId="470"/>
    <cellStyle name="Currency 4 4" xfId="468"/>
    <cellStyle name="Currency 4 4 2" xfId="773"/>
    <cellStyle name="Currency 4 4 2 2" xfId="1183"/>
    <cellStyle name="Currency 4 4 2 2 2" xfId="1984"/>
    <cellStyle name="Currency 4 4 2 3" xfId="1391"/>
    <cellStyle name="Currency 4 4 2 3 2" xfId="2180"/>
    <cellStyle name="Currency 4 4 2 4" xfId="1591"/>
    <cellStyle name="Currency 4 4 2 4 2" xfId="2380"/>
    <cellStyle name="Currency 4 4 2 5" xfId="988"/>
    <cellStyle name="Currency 4 4 2 6" xfId="1762"/>
    <cellStyle name="Currency 4 4 3" xfId="805"/>
    <cellStyle name="Currency 4 4 3 2" xfId="1215"/>
    <cellStyle name="Currency 4 4 3 2 2" xfId="2016"/>
    <cellStyle name="Currency 4 4 3 3" xfId="1423"/>
    <cellStyle name="Currency 4 4 3 3 2" xfId="2212"/>
    <cellStyle name="Currency 4 4 3 4" xfId="1623"/>
    <cellStyle name="Currency 4 4 3 4 2" xfId="2412"/>
    <cellStyle name="Currency 4 4 3 5" xfId="1020"/>
    <cellStyle name="Currency 4 4 3 6" xfId="1794"/>
    <cellStyle name="Currency 4 4 4" xfId="962"/>
    <cellStyle name="Currency 4 4 4 2" xfId="1157"/>
    <cellStyle name="Currency 4 4 4 2 2" xfId="1958"/>
    <cellStyle name="Currency 4 4 4 3" xfId="1365"/>
    <cellStyle name="Currency 4 4 4 3 2" xfId="2154"/>
    <cellStyle name="Currency 4 4 4 4" xfId="1565"/>
    <cellStyle name="Currency 4 4 4 4 2" xfId="2354"/>
    <cellStyle name="Currency 4 4 4 5" xfId="1900"/>
    <cellStyle name="Currency 4 4 5" xfId="1131"/>
    <cellStyle name="Currency 4 4 5 2" xfId="1932"/>
    <cellStyle name="Currency 4 4 6" xfId="1339"/>
    <cellStyle name="Currency 4 4 6 2" xfId="2128"/>
    <cellStyle name="Currency 4 4 7" xfId="1539"/>
    <cellStyle name="Currency 4 4 7 2" xfId="2328"/>
    <cellStyle name="Currency 4 4 8" xfId="911"/>
    <cellStyle name="Currency 4 4 9" xfId="1736"/>
    <cellStyle name="Currency 4 5" xfId="842"/>
    <cellStyle name="Currency 4 5 2" xfId="1252"/>
    <cellStyle name="Currency 4 5 2 2" xfId="2053"/>
    <cellStyle name="Currency 4 5 3" xfId="1460"/>
    <cellStyle name="Currency 4 5 3 2" xfId="2249"/>
    <cellStyle name="Currency 4 5 4" xfId="1660"/>
    <cellStyle name="Currency 4 5 4 2" xfId="2449"/>
    <cellStyle name="Currency 4 5 5" xfId="1057"/>
    <cellStyle name="Currency 4 5 6" xfId="1831"/>
    <cellStyle name="Currency 4 6" xfId="891"/>
    <cellStyle name="Currency 4 6 2" xfId="1880"/>
    <cellStyle name="Currency 40" xfId="1106"/>
    <cellStyle name="Currency 40 2" xfId="1301"/>
    <cellStyle name="Currency 40 2 2" xfId="2102"/>
    <cellStyle name="Currency 40 3" xfId="1509"/>
    <cellStyle name="Currency 40 3 2" xfId="2298"/>
    <cellStyle name="Currency 40 4" xfId="1708"/>
    <cellStyle name="Currency 40 4 2" xfId="2497"/>
    <cellStyle name="Currency 40 5" xfId="1908"/>
    <cellStyle name="Currency 41" xfId="1716"/>
    <cellStyle name="Currency 41 2" xfId="1111"/>
    <cellStyle name="Currency 41 2 2" xfId="1305"/>
    <cellStyle name="Currency 41 2 2 2" xfId="2106"/>
    <cellStyle name="Currency 41 2 3" xfId="1513"/>
    <cellStyle name="Currency 41 2 3 2" xfId="2302"/>
    <cellStyle name="Currency 41 2 4" xfId="1712"/>
    <cellStyle name="Currency 41 2 4 2" xfId="2501"/>
    <cellStyle name="Currency 41 2 5" xfId="1912"/>
    <cellStyle name="Currency 42" xfId="917"/>
    <cellStyle name="Currency 5" xfId="130"/>
    <cellStyle name="Currency 5 2" xfId="471"/>
    <cellStyle name="Currency 6" xfId="201"/>
    <cellStyle name="Currency 6 2" xfId="472"/>
    <cellStyle name="Currency 7" xfId="205"/>
    <cellStyle name="Currency 7 10" xfId="1725"/>
    <cellStyle name="Currency 7 2" xfId="473"/>
    <cellStyle name="Currency 7 3" xfId="762"/>
    <cellStyle name="Currency 7 3 2" xfId="1172"/>
    <cellStyle name="Currency 7 3 2 2" xfId="1973"/>
    <cellStyle name="Currency 7 3 3" xfId="1380"/>
    <cellStyle name="Currency 7 3 3 2" xfId="2169"/>
    <cellStyle name="Currency 7 3 4" xfId="1580"/>
    <cellStyle name="Currency 7 3 4 2" xfId="2369"/>
    <cellStyle name="Currency 7 3 5" xfId="977"/>
    <cellStyle name="Currency 7 3 6" xfId="1751"/>
    <cellStyle name="Currency 7 4" xfId="794"/>
    <cellStyle name="Currency 7 4 2" xfId="1204"/>
    <cellStyle name="Currency 7 4 2 2" xfId="2005"/>
    <cellStyle name="Currency 7 4 3" xfId="1412"/>
    <cellStyle name="Currency 7 4 3 2" xfId="2201"/>
    <cellStyle name="Currency 7 4 4" xfId="1612"/>
    <cellStyle name="Currency 7 4 4 2" xfId="2401"/>
    <cellStyle name="Currency 7 4 5" xfId="1009"/>
    <cellStyle name="Currency 7 4 6" xfId="1783"/>
    <cellStyle name="Currency 7 5" xfId="951"/>
    <cellStyle name="Currency 7 5 2" xfId="1146"/>
    <cellStyle name="Currency 7 5 2 2" xfId="1947"/>
    <cellStyle name="Currency 7 5 3" xfId="1354"/>
    <cellStyle name="Currency 7 5 3 2" xfId="2143"/>
    <cellStyle name="Currency 7 5 4" xfId="1554"/>
    <cellStyle name="Currency 7 5 4 2" xfId="2343"/>
    <cellStyle name="Currency 7 5 5" xfId="1889"/>
    <cellStyle name="Currency 7 6" xfId="1120"/>
    <cellStyle name="Currency 7 6 2" xfId="1921"/>
    <cellStyle name="Currency 7 7" xfId="1328"/>
    <cellStyle name="Currency 7 7 2" xfId="2117"/>
    <cellStyle name="Currency 7 8" xfId="1528"/>
    <cellStyle name="Currency 7 8 2" xfId="2317"/>
    <cellStyle name="Currency 7 9" xfId="900"/>
    <cellStyle name="Currency 8" xfId="474"/>
    <cellStyle name="Currency 9" xfId="475"/>
    <cellStyle name="Currency0" xfId="131"/>
    <cellStyle name="Currency0 2" xfId="744"/>
    <cellStyle name="Currency0 3" xfId="933"/>
    <cellStyle name="Date" xfId="132"/>
    <cellStyle name="Date 2" xfId="745"/>
    <cellStyle name="Date 3" xfId="934"/>
    <cellStyle name="Explanatory Text 2" xfId="476"/>
    <cellStyle name="Explanatory Text 2 2" xfId="477"/>
    <cellStyle name="Explanatory Text 2 3" xfId="478"/>
    <cellStyle name="Explanatory Text 2 4" xfId="479"/>
    <cellStyle name="Explanatory Text 2 5" xfId="480"/>
    <cellStyle name="Explanatory Text 2 6" xfId="481"/>
    <cellStyle name="Explanatory Text 2 7" xfId="482"/>
    <cellStyle name="Explanatory Text 2 8" xfId="483"/>
    <cellStyle name="Fixed" xfId="133"/>
    <cellStyle name="Fixed 2" xfId="746"/>
    <cellStyle name="Fixed 3" xfId="935"/>
    <cellStyle name="Good 2" xfId="484"/>
    <cellStyle name="Good 2 2" xfId="485"/>
    <cellStyle name="Good 2 3" xfId="486"/>
    <cellStyle name="Good 2 4" xfId="487"/>
    <cellStyle name="Good 2 5" xfId="488"/>
    <cellStyle name="Good 2 6" xfId="489"/>
    <cellStyle name="Good 2 7" xfId="490"/>
    <cellStyle name="Good 2 8" xfId="491"/>
    <cellStyle name="Grey" xfId="134"/>
    <cellStyle name="Heading 1 2" xfId="492"/>
    <cellStyle name="Heading 1 2 2" xfId="493"/>
    <cellStyle name="Heading 1 2 3" xfId="494"/>
    <cellStyle name="Heading 1 2 4" xfId="495"/>
    <cellStyle name="Heading 1 2 5" xfId="496"/>
    <cellStyle name="Heading 1 2 6" xfId="497"/>
    <cellStyle name="Heading 1 2 7" xfId="498"/>
    <cellStyle name="Heading 1 2 8" xfId="499"/>
    <cellStyle name="Heading 1 2_Pulses" xfId="500"/>
    <cellStyle name="Heading 2 2" xfId="501"/>
    <cellStyle name="Heading 2 2 2" xfId="502"/>
    <cellStyle name="Heading 2 2 3" xfId="503"/>
    <cellStyle name="Heading 2 2 4" xfId="504"/>
    <cellStyle name="Heading 2 2 5" xfId="505"/>
    <cellStyle name="Heading 2 2 6" xfId="506"/>
    <cellStyle name="Heading 2 2 7" xfId="507"/>
    <cellStyle name="Heading 2 2 8" xfId="508"/>
    <cellStyle name="Heading 2 2_Pulses" xfId="509"/>
    <cellStyle name="Heading 3 2" xfId="510"/>
    <cellStyle name="Heading 3 2 2" xfId="511"/>
    <cellStyle name="Heading 3 2 3" xfId="512"/>
    <cellStyle name="Heading 3 2 4" xfId="513"/>
    <cellStyle name="Heading 3 2 5" xfId="514"/>
    <cellStyle name="Heading 3 2 6" xfId="515"/>
    <cellStyle name="Heading 3 2 7" xfId="516"/>
    <cellStyle name="Heading 3 2 8" xfId="517"/>
    <cellStyle name="Heading 3 2_Pulses" xfId="518"/>
    <cellStyle name="Heading 4 2" xfId="519"/>
    <cellStyle name="Heading 4 2 2" xfId="520"/>
    <cellStyle name="Heading 4 2 3" xfId="521"/>
    <cellStyle name="Heading 4 2 4" xfId="522"/>
    <cellStyle name="Heading 4 2 5" xfId="523"/>
    <cellStyle name="Heading 4 2 6" xfId="524"/>
    <cellStyle name="Heading 4 2 7" xfId="525"/>
    <cellStyle name="Heading 4 2 8" xfId="526"/>
    <cellStyle name="Heading1" xfId="135"/>
    <cellStyle name="Heading2" xfId="136"/>
    <cellStyle name="Input [yellow]" xfId="137"/>
    <cellStyle name="Input 2" xfId="527"/>
    <cellStyle name="Input 2 2" xfId="528"/>
    <cellStyle name="Input 2 3" xfId="529"/>
    <cellStyle name="Input 2 4" xfId="530"/>
    <cellStyle name="Input 2 5" xfId="531"/>
    <cellStyle name="Input 2 6" xfId="532"/>
    <cellStyle name="Input 2 7" xfId="533"/>
    <cellStyle name="Input 2 8" xfId="534"/>
    <cellStyle name="Input 2_Pulses" xfId="535"/>
    <cellStyle name="Linked Cell 2" xfId="536"/>
    <cellStyle name="Linked Cell 2 2" xfId="537"/>
    <cellStyle name="Linked Cell 2 3" xfId="538"/>
    <cellStyle name="Linked Cell 2 4" xfId="539"/>
    <cellStyle name="Linked Cell 2 5" xfId="540"/>
    <cellStyle name="Linked Cell 2 6" xfId="541"/>
    <cellStyle name="Linked Cell 2 7" xfId="542"/>
    <cellStyle name="Linked Cell 2 8" xfId="543"/>
    <cellStyle name="Linked Cell 2_Pulses" xfId="544"/>
    <cellStyle name="Neutral 2" xfId="545"/>
    <cellStyle name="Neutral 2 2" xfId="546"/>
    <cellStyle name="Neutral 2 3" xfId="547"/>
    <cellStyle name="Neutral 2 4" xfId="548"/>
    <cellStyle name="Neutral 2 5" xfId="549"/>
    <cellStyle name="Neutral 2 6" xfId="550"/>
    <cellStyle name="Neutral 2 7" xfId="551"/>
    <cellStyle name="Neutral 2 8" xfId="552"/>
    <cellStyle name="Normal" xfId="0" builtinId="0"/>
    <cellStyle name="Normal - Style1" xfId="138"/>
    <cellStyle name="Normal 10" xfId="203"/>
    <cellStyle name="Normal 10 10" xfId="1723"/>
    <cellStyle name="Normal 10 2" xfId="553"/>
    <cellStyle name="Normal 10 3" xfId="760"/>
    <cellStyle name="Normal 10 3 2" xfId="1170"/>
    <cellStyle name="Normal 10 3 2 2" xfId="1971"/>
    <cellStyle name="Normal 10 3 3" xfId="1378"/>
    <cellStyle name="Normal 10 3 3 2" xfId="2167"/>
    <cellStyle name="Normal 10 3 4" xfId="1578"/>
    <cellStyle name="Normal 10 3 4 2" xfId="2367"/>
    <cellStyle name="Normal 10 3 5" xfId="975"/>
    <cellStyle name="Normal 10 3 6" xfId="1749"/>
    <cellStyle name="Normal 10 4" xfId="792"/>
    <cellStyle name="Normal 10 4 2" xfId="1202"/>
    <cellStyle name="Normal 10 4 2 2" xfId="2003"/>
    <cellStyle name="Normal 10 4 3" xfId="1410"/>
    <cellStyle name="Normal 10 4 3 2" xfId="2199"/>
    <cellStyle name="Normal 10 4 4" xfId="1610"/>
    <cellStyle name="Normal 10 4 4 2" xfId="2399"/>
    <cellStyle name="Normal 10 4 5" xfId="1007"/>
    <cellStyle name="Normal 10 4 6" xfId="1781"/>
    <cellStyle name="Normal 10 5" xfId="949"/>
    <cellStyle name="Normal 10 5 2" xfId="1144"/>
    <cellStyle name="Normal 10 5 2 2" xfId="1945"/>
    <cellStyle name="Normal 10 5 3" xfId="1352"/>
    <cellStyle name="Normal 10 5 3 2" xfId="2141"/>
    <cellStyle name="Normal 10 5 4" xfId="1552"/>
    <cellStyle name="Normal 10 5 4 2" xfId="2341"/>
    <cellStyle name="Normal 10 5 5" xfId="1887"/>
    <cellStyle name="Normal 10 6" xfId="1118"/>
    <cellStyle name="Normal 10 6 2" xfId="1919"/>
    <cellStyle name="Normal 10 7" xfId="1326"/>
    <cellStyle name="Normal 10 7 2" xfId="2115"/>
    <cellStyle name="Normal 10 8" xfId="1526"/>
    <cellStyle name="Normal 10 8 2" xfId="2315"/>
    <cellStyle name="Normal 10 9" xfId="898"/>
    <cellStyle name="Normal 11" xfId="139"/>
    <cellStyle name="Normal 11 2" xfId="554"/>
    <cellStyle name="Normal 12" xfId="213"/>
    <cellStyle name="Normal 12 10" xfId="1729"/>
    <cellStyle name="Normal 12 2" xfId="555"/>
    <cellStyle name="Normal 12 3" xfId="766"/>
    <cellStyle name="Normal 12 3 2" xfId="1176"/>
    <cellStyle name="Normal 12 3 2 2" xfId="1977"/>
    <cellStyle name="Normal 12 3 3" xfId="1384"/>
    <cellStyle name="Normal 12 3 3 2" xfId="2173"/>
    <cellStyle name="Normal 12 3 4" xfId="1584"/>
    <cellStyle name="Normal 12 3 4 2" xfId="2373"/>
    <cellStyle name="Normal 12 3 5" xfId="981"/>
    <cellStyle name="Normal 12 3 6" xfId="1755"/>
    <cellStyle name="Normal 12 4" xfId="798"/>
    <cellStyle name="Normal 12 4 2" xfId="1208"/>
    <cellStyle name="Normal 12 4 2 2" xfId="2009"/>
    <cellStyle name="Normal 12 4 3" xfId="1416"/>
    <cellStyle name="Normal 12 4 3 2" xfId="2205"/>
    <cellStyle name="Normal 12 4 4" xfId="1616"/>
    <cellStyle name="Normal 12 4 4 2" xfId="2405"/>
    <cellStyle name="Normal 12 4 5" xfId="1013"/>
    <cellStyle name="Normal 12 4 6" xfId="1787"/>
    <cellStyle name="Normal 12 5" xfId="955"/>
    <cellStyle name="Normal 12 5 2" xfId="1150"/>
    <cellStyle name="Normal 12 5 2 2" xfId="1951"/>
    <cellStyle name="Normal 12 5 3" xfId="1358"/>
    <cellStyle name="Normal 12 5 3 2" xfId="2147"/>
    <cellStyle name="Normal 12 5 4" xfId="1558"/>
    <cellStyle name="Normal 12 5 4 2" xfId="2347"/>
    <cellStyle name="Normal 12 5 5" xfId="1893"/>
    <cellStyle name="Normal 12 6" xfId="1124"/>
    <cellStyle name="Normal 12 6 2" xfId="1925"/>
    <cellStyle name="Normal 12 7" xfId="1332"/>
    <cellStyle name="Normal 12 7 2" xfId="2121"/>
    <cellStyle name="Normal 12 8" xfId="1532"/>
    <cellStyle name="Normal 12 8 2" xfId="2321"/>
    <cellStyle name="Normal 12 9" xfId="904"/>
    <cellStyle name="Normal 13" xfId="556"/>
    <cellStyle name="Normal 13 10" xfId="1737"/>
    <cellStyle name="Normal 13 2" xfId="774"/>
    <cellStyle name="Normal 13 2 2" xfId="1184"/>
    <cellStyle name="Normal 13 2 2 2" xfId="1985"/>
    <cellStyle name="Normal 13 2 3" xfId="1392"/>
    <cellStyle name="Normal 13 2 3 2" xfId="2181"/>
    <cellStyle name="Normal 13 2 4" xfId="1592"/>
    <cellStyle name="Normal 13 2 4 2" xfId="2381"/>
    <cellStyle name="Normal 13 2 5" xfId="989"/>
    <cellStyle name="Normal 13 2 6" xfId="1763"/>
    <cellStyle name="Normal 13 3" xfId="806"/>
    <cellStyle name="Normal 13 3 2" xfId="1216"/>
    <cellStyle name="Normal 13 3 2 2" xfId="2017"/>
    <cellStyle name="Normal 13 3 3" xfId="1424"/>
    <cellStyle name="Normal 13 3 3 2" xfId="2213"/>
    <cellStyle name="Normal 13 3 4" xfId="1624"/>
    <cellStyle name="Normal 13 3 4 2" xfId="2413"/>
    <cellStyle name="Normal 13 3 5" xfId="1021"/>
    <cellStyle name="Normal 13 3 6" xfId="1795"/>
    <cellStyle name="Normal 13 4" xfId="843"/>
    <cellStyle name="Normal 13 4 2" xfId="1253"/>
    <cellStyle name="Normal 13 4 2 2" xfId="2054"/>
    <cellStyle name="Normal 13 4 3" xfId="1461"/>
    <cellStyle name="Normal 13 4 3 2" xfId="2250"/>
    <cellStyle name="Normal 13 4 4" xfId="1661"/>
    <cellStyle name="Normal 13 4 4 2" xfId="2450"/>
    <cellStyle name="Normal 13 4 5" xfId="1058"/>
    <cellStyle name="Normal 13 4 6" xfId="1832"/>
    <cellStyle name="Normal 13 5" xfId="892"/>
    <cellStyle name="Normal 13 5 2" xfId="1158"/>
    <cellStyle name="Normal 13 5 2 2" xfId="1959"/>
    <cellStyle name="Normal 13 5 3" xfId="1366"/>
    <cellStyle name="Normal 13 5 3 2" xfId="2155"/>
    <cellStyle name="Normal 13 5 4" xfId="1566"/>
    <cellStyle name="Normal 13 5 4 2" xfId="2355"/>
    <cellStyle name="Normal 13 5 5" xfId="963"/>
    <cellStyle name="Normal 13 5 6" xfId="1881"/>
    <cellStyle name="Normal 13 6" xfId="1132"/>
    <cellStyle name="Normal 13 6 2" xfId="1933"/>
    <cellStyle name="Normal 13 7" xfId="1340"/>
    <cellStyle name="Normal 13 7 2" xfId="2129"/>
    <cellStyle name="Normal 13 8" xfId="1540"/>
    <cellStyle name="Normal 13 8 2" xfId="2329"/>
    <cellStyle name="Normal 13 9" xfId="912"/>
    <cellStyle name="Normal 14" xfId="219"/>
    <cellStyle name="Normal 14 2" xfId="727"/>
    <cellStyle name="Normal 15" xfId="215"/>
    <cellStyle name="Normal 15 2" xfId="768"/>
    <cellStyle name="Normal 15 2 2" xfId="1178"/>
    <cellStyle name="Normal 15 2 2 2" xfId="1979"/>
    <cellStyle name="Normal 15 2 3" xfId="1386"/>
    <cellStyle name="Normal 15 2 3 2" xfId="2175"/>
    <cellStyle name="Normal 15 2 4" xfId="1586"/>
    <cellStyle name="Normal 15 2 4 2" xfId="2375"/>
    <cellStyle name="Normal 15 2 5" xfId="983"/>
    <cellStyle name="Normal 15 2 6" xfId="1757"/>
    <cellStyle name="Normal 15 3" xfId="800"/>
    <cellStyle name="Normal 15 3 2" xfId="1210"/>
    <cellStyle name="Normal 15 3 2 2" xfId="2011"/>
    <cellStyle name="Normal 15 3 3" xfId="1418"/>
    <cellStyle name="Normal 15 3 3 2" xfId="2207"/>
    <cellStyle name="Normal 15 3 4" xfId="1618"/>
    <cellStyle name="Normal 15 3 4 2" xfId="2407"/>
    <cellStyle name="Normal 15 3 5" xfId="1015"/>
    <cellStyle name="Normal 15 3 6" xfId="1789"/>
    <cellStyle name="Normal 15 4" xfId="957"/>
    <cellStyle name="Normal 15 4 2" xfId="1152"/>
    <cellStyle name="Normal 15 4 2 2" xfId="1953"/>
    <cellStyle name="Normal 15 4 3" xfId="1360"/>
    <cellStyle name="Normal 15 4 3 2" xfId="2149"/>
    <cellStyle name="Normal 15 4 4" xfId="1560"/>
    <cellStyle name="Normal 15 4 4 2" xfId="2349"/>
    <cellStyle name="Normal 15 4 5" xfId="1895"/>
    <cellStyle name="Normal 15 5" xfId="1126"/>
    <cellStyle name="Normal 15 5 2" xfId="1927"/>
    <cellStyle name="Normal 15 6" xfId="1334"/>
    <cellStyle name="Normal 15 6 2" xfId="2123"/>
    <cellStyle name="Normal 15 7" xfId="1534"/>
    <cellStyle name="Normal 15 7 2" xfId="2323"/>
    <cellStyle name="Normal 15 8" xfId="906"/>
    <cellStyle name="Normal 15 9" xfId="1731"/>
    <cellStyle name="Normal 16" xfId="691"/>
    <cellStyle name="Normal 16 2" xfId="777"/>
    <cellStyle name="Normal 16 2 2" xfId="1187"/>
    <cellStyle name="Normal 16 2 2 2" xfId="1988"/>
    <cellStyle name="Normal 16 2 3" xfId="1395"/>
    <cellStyle name="Normal 16 2 3 2" xfId="2184"/>
    <cellStyle name="Normal 16 2 4" xfId="1595"/>
    <cellStyle name="Normal 16 2 4 2" xfId="2384"/>
    <cellStyle name="Normal 16 2 5" xfId="992"/>
    <cellStyle name="Normal 16 2 6" xfId="1766"/>
    <cellStyle name="Normal 16 3" xfId="809"/>
    <cellStyle name="Normal 16 3 2" xfId="1219"/>
    <cellStyle name="Normal 16 3 2 2" xfId="2020"/>
    <cellStyle name="Normal 16 3 3" xfId="1427"/>
    <cellStyle name="Normal 16 3 3 2" xfId="2216"/>
    <cellStyle name="Normal 16 3 4" xfId="1627"/>
    <cellStyle name="Normal 16 3 4 2" xfId="2416"/>
    <cellStyle name="Normal 16 3 5" xfId="1024"/>
    <cellStyle name="Normal 16 3 6" xfId="1798"/>
    <cellStyle name="Normal 16 4" xfId="966"/>
    <cellStyle name="Normal 16 4 2" xfId="1161"/>
    <cellStyle name="Normal 16 4 2 2" xfId="1962"/>
    <cellStyle name="Normal 16 4 3" xfId="1369"/>
    <cellStyle name="Normal 16 4 3 2" xfId="2158"/>
    <cellStyle name="Normal 16 4 4" xfId="1569"/>
    <cellStyle name="Normal 16 4 4 2" xfId="2358"/>
    <cellStyle name="Normal 16 4 5" xfId="1902"/>
    <cellStyle name="Normal 16 5" xfId="1135"/>
    <cellStyle name="Normal 16 5 2" xfId="1936"/>
    <cellStyle name="Normal 16 6" xfId="1343"/>
    <cellStyle name="Normal 16 6 2" xfId="2132"/>
    <cellStyle name="Normal 16 7" xfId="1543"/>
    <cellStyle name="Normal 16 7 2" xfId="2332"/>
    <cellStyle name="Normal 16 8" xfId="916"/>
    <cellStyle name="Normal 16 9" xfId="1740"/>
    <cellStyle name="Normal 17" xfId="782"/>
    <cellStyle name="Normal 17 2" xfId="1192"/>
    <cellStyle name="Normal 17 2 2" xfId="1993"/>
    <cellStyle name="Normal 17 3" xfId="1400"/>
    <cellStyle name="Normal 17 3 2" xfId="2189"/>
    <cellStyle name="Normal 17 4" xfId="1600"/>
    <cellStyle name="Normal 17 4 2" xfId="2389"/>
    <cellStyle name="Normal 17 5" xfId="997"/>
    <cellStyle name="Normal 17 6" xfId="1771"/>
    <cellStyle name="Normal 18" xfId="785"/>
    <cellStyle name="Normal 18 2" xfId="1195"/>
    <cellStyle name="Normal 18 2 2" xfId="1996"/>
    <cellStyle name="Normal 18 3" xfId="1403"/>
    <cellStyle name="Normal 18 3 2" xfId="2192"/>
    <cellStyle name="Normal 18 4" xfId="1603"/>
    <cellStyle name="Normal 18 4 2" xfId="2392"/>
    <cellStyle name="Normal 18 5" xfId="1000"/>
    <cellStyle name="Normal 18 6" xfId="1774"/>
    <cellStyle name="Normal 19" xfId="814"/>
    <cellStyle name="Normal 19 2" xfId="1224"/>
    <cellStyle name="Normal 19 2 2" xfId="2025"/>
    <cellStyle name="Normal 19 3" xfId="1432"/>
    <cellStyle name="Normal 19 3 2" xfId="2221"/>
    <cellStyle name="Normal 19 4" xfId="1632"/>
    <cellStyle name="Normal 19 4 2" xfId="2421"/>
    <cellStyle name="Normal 19 5" xfId="1029"/>
    <cellStyle name="Normal 19 6" xfId="1803"/>
    <cellStyle name="Normal 2" xfId="3"/>
    <cellStyle name="Normal 2 10" xfId="558"/>
    <cellStyle name="Normal 2 10 2" xfId="559"/>
    <cellStyle name="Normal 2 10 2 2" xfId="560"/>
    <cellStyle name="Normal 2 10 3" xfId="561"/>
    <cellStyle name="Normal 2 11" xfId="562"/>
    <cellStyle name="Normal 2 11 2" xfId="563"/>
    <cellStyle name="Normal 2 11 2 2" xfId="564"/>
    <cellStyle name="Normal 2 11 3" xfId="565"/>
    <cellStyle name="Normal 2 12" xfId="566"/>
    <cellStyle name="Normal 2 12 2" xfId="567"/>
    <cellStyle name="Normal 2 12 2 2" xfId="568"/>
    <cellStyle name="Normal 2 12 3" xfId="569"/>
    <cellStyle name="Normal 2 13" xfId="570"/>
    <cellStyle name="Normal 2 13 2" xfId="571"/>
    <cellStyle name="Normal 2 13 2 2" xfId="572"/>
    <cellStyle name="Normal 2 13 3" xfId="573"/>
    <cellStyle name="Normal 2 14" xfId="574"/>
    <cellStyle name="Normal 2 14 2" xfId="575"/>
    <cellStyle name="Normal 2 14 2 2" xfId="576"/>
    <cellStyle name="Normal 2 14 3" xfId="577"/>
    <cellStyle name="Normal 2 15" xfId="578"/>
    <cellStyle name="Normal 2 15 2" xfId="579"/>
    <cellStyle name="Normal 2 15 2 2" xfId="580"/>
    <cellStyle name="Normal 2 15 3" xfId="581"/>
    <cellStyle name="Normal 2 16" xfId="582"/>
    <cellStyle name="Normal 2 16 2" xfId="583"/>
    <cellStyle name="Normal 2 16 2 2" xfId="584"/>
    <cellStyle name="Normal 2 16 3" xfId="585"/>
    <cellStyle name="Normal 2 17" xfId="586"/>
    <cellStyle name="Normal 2 17 2" xfId="587"/>
    <cellStyle name="Normal 2 17 2 2" xfId="588"/>
    <cellStyle name="Normal 2 17 3" xfId="589"/>
    <cellStyle name="Normal 2 18" xfId="590"/>
    <cellStyle name="Normal 2 19" xfId="591"/>
    <cellStyle name="Normal 2 2" xfId="7"/>
    <cellStyle name="Normal 2 2 2" xfId="593"/>
    <cellStyle name="Normal 2 2 2 2" xfId="594"/>
    <cellStyle name="Normal 2 2 3" xfId="595"/>
    <cellStyle name="Normal 2 2 4" xfId="592"/>
    <cellStyle name="Normal 2 20" xfId="596"/>
    <cellStyle name="Normal 2 21" xfId="557"/>
    <cellStyle name="Normal 2 22" xfId="1311"/>
    <cellStyle name="Normal 2 22 2" xfId="1517"/>
    <cellStyle name="Normal 2 22 2 2" xfId="2306"/>
    <cellStyle name="Normal 2 22 3" xfId="2109"/>
    <cellStyle name="Normal 2 3" xfId="597"/>
    <cellStyle name="Normal 2 3 2" xfId="598"/>
    <cellStyle name="Normal 2 3 2 2" xfId="599"/>
    <cellStyle name="Normal 2 3 3" xfId="600"/>
    <cellStyle name="Normal 2 4" xfId="601"/>
    <cellStyle name="Normal 2 4 2" xfId="602"/>
    <cellStyle name="Normal 2 4 2 2" xfId="603"/>
    <cellStyle name="Normal 2 4 3" xfId="604"/>
    <cellStyle name="Normal 2 5" xfId="605"/>
    <cellStyle name="Normal 2 5 2" xfId="606"/>
    <cellStyle name="Normal 2 5 2 2" xfId="607"/>
    <cellStyle name="Normal 2 5 3" xfId="608"/>
    <cellStyle name="Normal 2 6" xfId="609"/>
    <cellStyle name="Normal 2 6 2" xfId="610"/>
    <cellStyle name="Normal 2 6 2 2" xfId="611"/>
    <cellStyle name="Normal 2 6 3" xfId="612"/>
    <cellStyle name="Normal 2 7" xfId="613"/>
    <cellStyle name="Normal 2 7 2" xfId="614"/>
    <cellStyle name="Normal 2 7 2 2" xfId="615"/>
    <cellStyle name="Normal 2 7 2 2 2" xfId="616"/>
    <cellStyle name="Normal 2 7 2 3" xfId="617"/>
    <cellStyle name="Normal 2 7 3" xfId="618"/>
    <cellStyle name="Normal 2 7 3 2" xfId="619"/>
    <cellStyle name="Normal 2 7 3 2 2" xfId="620"/>
    <cellStyle name="Normal 2 7 3 3" xfId="621"/>
    <cellStyle name="Normal 2 7 4" xfId="622"/>
    <cellStyle name="Normal 2 7 4 2" xfId="623"/>
    <cellStyle name="Normal 2 7 4 2 2" xfId="624"/>
    <cellStyle name="Normal 2 7 4 3" xfId="625"/>
    <cellStyle name="Normal 2 7 5" xfId="626"/>
    <cellStyle name="Normal 2 7 5 2" xfId="627"/>
    <cellStyle name="Normal 2 7 5 2 2" xfId="628"/>
    <cellStyle name="Normal 2 7 5 3" xfId="629"/>
    <cellStyle name="Normal 2 7 6" xfId="630"/>
    <cellStyle name="Normal 2 7 6 2" xfId="631"/>
    <cellStyle name="Normal 2 7 6 2 2" xfId="632"/>
    <cellStyle name="Normal 2 7 6 3" xfId="633"/>
    <cellStyle name="Normal 2 7 7" xfId="634"/>
    <cellStyle name="Normal 2 7 7 2" xfId="635"/>
    <cellStyle name="Normal 2 7 7 2 2" xfId="636"/>
    <cellStyle name="Normal 2 7 7 3" xfId="637"/>
    <cellStyle name="Normal 2 7 8" xfId="638"/>
    <cellStyle name="Normal 2 7 8 2" xfId="639"/>
    <cellStyle name="Normal 2 7 8 2 2" xfId="640"/>
    <cellStyle name="Normal 2 7 8 3" xfId="641"/>
    <cellStyle name="Normal 2 7 9" xfId="642"/>
    <cellStyle name="Normal 2 8" xfId="643"/>
    <cellStyle name="Normal 2 8 2" xfId="644"/>
    <cellStyle name="Normal 2 8 2 2" xfId="645"/>
    <cellStyle name="Normal 2 8 3" xfId="646"/>
    <cellStyle name="Normal 2 9" xfId="647"/>
    <cellStyle name="Normal 2 9 2" xfId="648"/>
    <cellStyle name="Normal 2 9 2 2" xfId="649"/>
    <cellStyle name="Normal 2 9 3" xfId="650"/>
    <cellStyle name="Normal 2_Forecast" xfId="651"/>
    <cellStyle name="Normal 20" xfId="862"/>
    <cellStyle name="Normal 20 2" xfId="1272"/>
    <cellStyle name="Normal 20 2 2" xfId="2073"/>
    <cellStyle name="Normal 20 3" xfId="1480"/>
    <cellStyle name="Normal 20 3 2" xfId="2269"/>
    <cellStyle name="Normal 20 4" xfId="1680"/>
    <cellStyle name="Normal 20 4 2" xfId="2469"/>
    <cellStyle name="Normal 20 5" xfId="1077"/>
    <cellStyle name="Normal 20 6" xfId="1851"/>
    <cellStyle name="Normal 21" xfId="817"/>
    <cellStyle name="Normal 21 2" xfId="1227"/>
    <cellStyle name="Normal 21 2 2" xfId="2028"/>
    <cellStyle name="Normal 21 3" xfId="1435"/>
    <cellStyle name="Normal 21 3 2" xfId="2224"/>
    <cellStyle name="Normal 21 4" xfId="1635"/>
    <cellStyle name="Normal 21 4 2" xfId="2424"/>
    <cellStyle name="Normal 21 5" xfId="1032"/>
    <cellStyle name="Normal 21 6" xfId="1806"/>
    <cellStyle name="Normal 22" xfId="870"/>
    <cellStyle name="Normal 22 2" xfId="1280"/>
    <cellStyle name="Normal 22 2 2" xfId="2081"/>
    <cellStyle name="Normal 22 3" xfId="1488"/>
    <cellStyle name="Normal 22 3 2" xfId="2277"/>
    <cellStyle name="Normal 22 4" xfId="1688"/>
    <cellStyle name="Normal 22 4 2" xfId="2477"/>
    <cellStyle name="Normal 22 5" xfId="1085"/>
    <cellStyle name="Normal 22 6" xfId="1859"/>
    <cellStyle name="Normal 23" xfId="821"/>
    <cellStyle name="Normal 23 2" xfId="1231"/>
    <cellStyle name="Normal 23 2 2" xfId="2032"/>
    <cellStyle name="Normal 23 3" xfId="1439"/>
    <cellStyle name="Normal 23 3 2" xfId="2228"/>
    <cellStyle name="Normal 23 4" xfId="1639"/>
    <cellStyle name="Normal 23 4 2" xfId="2428"/>
    <cellStyle name="Normal 23 5" xfId="1036"/>
    <cellStyle name="Normal 23 6" xfId="1810"/>
    <cellStyle name="Normal 24" xfId="858"/>
    <cellStyle name="Normal 24 2" xfId="1268"/>
    <cellStyle name="Normal 24 2 2" xfId="2069"/>
    <cellStyle name="Normal 24 3" xfId="1476"/>
    <cellStyle name="Normal 24 3 2" xfId="2265"/>
    <cellStyle name="Normal 24 4" xfId="1676"/>
    <cellStyle name="Normal 24 4 2" xfId="2465"/>
    <cellStyle name="Normal 24 5" xfId="1073"/>
    <cellStyle name="Normal 24 6" xfId="1847"/>
    <cellStyle name="Normal 25" xfId="827"/>
    <cellStyle name="Normal 25 2" xfId="1237"/>
    <cellStyle name="Normal 25 2 2" xfId="2038"/>
    <cellStyle name="Normal 25 3" xfId="1445"/>
    <cellStyle name="Normal 25 3 2" xfId="2234"/>
    <cellStyle name="Normal 25 4" xfId="1645"/>
    <cellStyle name="Normal 25 4 2" xfId="2434"/>
    <cellStyle name="Normal 25 5" xfId="1042"/>
    <cellStyle name="Normal 25 6" xfId="1816"/>
    <cellStyle name="Normal 26" xfId="853"/>
    <cellStyle name="Normal 26 2" xfId="1263"/>
    <cellStyle name="Normal 26 2 2" xfId="2064"/>
    <cellStyle name="Normal 26 3" xfId="1471"/>
    <cellStyle name="Normal 26 3 2" xfId="2260"/>
    <cellStyle name="Normal 26 4" xfId="1671"/>
    <cellStyle name="Normal 26 4 2" xfId="2460"/>
    <cellStyle name="Normal 26 5" xfId="1068"/>
    <cellStyle name="Normal 26 6" xfId="1842"/>
    <cellStyle name="Normal 27" xfId="831"/>
    <cellStyle name="Normal 27 2" xfId="1241"/>
    <cellStyle name="Normal 27 2 2" xfId="2042"/>
    <cellStyle name="Normal 27 3" xfId="1449"/>
    <cellStyle name="Normal 27 3 2" xfId="2238"/>
    <cellStyle name="Normal 27 4" xfId="1649"/>
    <cellStyle name="Normal 27 4 2" xfId="2438"/>
    <cellStyle name="Normal 27 5" xfId="1046"/>
    <cellStyle name="Normal 27 6" xfId="1820"/>
    <cellStyle name="Normal 28" xfId="849"/>
    <cellStyle name="Normal 28 2" xfId="1259"/>
    <cellStyle name="Normal 28 2 2" xfId="2060"/>
    <cellStyle name="Normal 28 3" xfId="1467"/>
    <cellStyle name="Normal 28 3 2" xfId="2256"/>
    <cellStyle name="Normal 28 4" xfId="1667"/>
    <cellStyle name="Normal 28 4 2" xfId="2456"/>
    <cellStyle name="Normal 28 5" xfId="1064"/>
    <cellStyle name="Normal 28 6" xfId="1838"/>
    <cellStyle name="Normal 29" xfId="837"/>
    <cellStyle name="Normal 29 2" xfId="1104"/>
    <cellStyle name="Normal 29 2 2" xfId="1299"/>
    <cellStyle name="Normal 29 2 2 2" xfId="2100"/>
    <cellStyle name="Normal 29 2 3" xfId="1507"/>
    <cellStyle name="Normal 29 2 3 2" xfId="2296"/>
    <cellStyle name="Normal 29 2 4" xfId="1706"/>
    <cellStyle name="Normal 29 2 4 2" xfId="2495"/>
    <cellStyle name="Normal 29 2 5" xfId="1907"/>
    <cellStyle name="Normal 29 3" xfId="1247"/>
    <cellStyle name="Normal 29 3 2" xfId="2048"/>
    <cellStyle name="Normal 29 4" xfId="1455"/>
    <cellStyle name="Normal 29 4 2" xfId="2244"/>
    <cellStyle name="Normal 29 5" xfId="1655"/>
    <cellStyle name="Normal 29 5 2" xfId="2444"/>
    <cellStyle name="Normal 29 6" xfId="1052"/>
    <cellStyle name="Normal 29 7" xfId="1826"/>
    <cellStyle name="Normal 3" xfId="140"/>
    <cellStyle name="Normal 3 2" xfId="208"/>
    <cellStyle name="Normal 3 2 2" xfId="653"/>
    <cellStyle name="Normal 3 3" xfId="654"/>
    <cellStyle name="Normal 3 4" xfId="652"/>
    <cellStyle name="Normal 3 4 10" xfId="1738"/>
    <cellStyle name="Normal 3 4 2" xfId="775"/>
    <cellStyle name="Normal 3 4 2 2" xfId="1185"/>
    <cellStyle name="Normal 3 4 2 2 2" xfId="1986"/>
    <cellStyle name="Normal 3 4 2 3" xfId="1393"/>
    <cellStyle name="Normal 3 4 2 3 2" xfId="2182"/>
    <cellStyle name="Normal 3 4 2 4" xfId="1593"/>
    <cellStyle name="Normal 3 4 2 4 2" xfId="2382"/>
    <cellStyle name="Normal 3 4 2 5" xfId="990"/>
    <cellStyle name="Normal 3 4 2 6" xfId="1764"/>
    <cellStyle name="Normal 3 4 3" xfId="807"/>
    <cellStyle name="Normal 3 4 3 2" xfId="1217"/>
    <cellStyle name="Normal 3 4 3 2 2" xfId="2018"/>
    <cellStyle name="Normal 3 4 3 3" xfId="1425"/>
    <cellStyle name="Normal 3 4 3 3 2" xfId="2214"/>
    <cellStyle name="Normal 3 4 3 4" xfId="1625"/>
    <cellStyle name="Normal 3 4 3 4 2" xfId="2414"/>
    <cellStyle name="Normal 3 4 3 5" xfId="1022"/>
    <cellStyle name="Normal 3 4 3 6" xfId="1796"/>
    <cellStyle name="Normal 3 4 4" xfId="845"/>
    <cellStyle name="Normal 3 4 4 2" xfId="1255"/>
    <cellStyle name="Normal 3 4 4 2 2" xfId="2056"/>
    <cellStyle name="Normal 3 4 4 3" xfId="1463"/>
    <cellStyle name="Normal 3 4 4 3 2" xfId="2252"/>
    <cellStyle name="Normal 3 4 4 4" xfId="1663"/>
    <cellStyle name="Normal 3 4 4 4 2" xfId="2452"/>
    <cellStyle name="Normal 3 4 4 5" xfId="1060"/>
    <cellStyle name="Normal 3 4 4 6" xfId="1834"/>
    <cellStyle name="Normal 3 4 5" xfId="893"/>
    <cellStyle name="Normal 3 4 5 2" xfId="1159"/>
    <cellStyle name="Normal 3 4 5 2 2" xfId="1960"/>
    <cellStyle name="Normal 3 4 5 3" xfId="1367"/>
    <cellStyle name="Normal 3 4 5 3 2" xfId="2156"/>
    <cellStyle name="Normal 3 4 5 4" xfId="1567"/>
    <cellStyle name="Normal 3 4 5 4 2" xfId="2356"/>
    <cellStyle name="Normal 3 4 5 5" xfId="964"/>
    <cellStyle name="Normal 3 4 5 6" xfId="1882"/>
    <cellStyle name="Normal 3 4 6" xfId="1133"/>
    <cellStyle name="Normal 3 4 6 2" xfId="1934"/>
    <cellStyle name="Normal 3 4 7" xfId="1341"/>
    <cellStyle name="Normal 3 4 7 2" xfId="2130"/>
    <cellStyle name="Normal 3 4 8" xfId="1541"/>
    <cellStyle name="Normal 3 4 8 2" xfId="2330"/>
    <cellStyle name="Normal 3 4 9" xfId="914"/>
    <cellStyle name="Normal 30" xfId="824"/>
    <cellStyle name="Normal 30 2" xfId="1234"/>
    <cellStyle name="Normal 30 2 2" xfId="2035"/>
    <cellStyle name="Normal 30 3" xfId="1442"/>
    <cellStyle name="Normal 30 3 2" xfId="2231"/>
    <cellStyle name="Normal 30 4" xfId="1642"/>
    <cellStyle name="Normal 30 4 2" xfId="2431"/>
    <cellStyle name="Normal 30 5" xfId="1039"/>
    <cellStyle name="Normal 30 6" xfId="1813"/>
    <cellStyle name="Normal 31" xfId="885"/>
    <cellStyle name="Normal 31 2" xfId="1295"/>
    <cellStyle name="Normal 31 2 2" xfId="2096"/>
    <cellStyle name="Normal 31 3" xfId="1503"/>
    <cellStyle name="Normal 31 3 2" xfId="2292"/>
    <cellStyle name="Normal 31 4" xfId="1703"/>
    <cellStyle name="Normal 31 4 2" xfId="2492"/>
    <cellStyle name="Normal 31 5" xfId="1100"/>
    <cellStyle name="Normal 31 6" xfId="1874"/>
    <cellStyle name="Normal 32" xfId="830"/>
    <cellStyle name="Normal 32 2" xfId="1240"/>
    <cellStyle name="Normal 32 2 2" xfId="2041"/>
    <cellStyle name="Normal 32 3" xfId="1448"/>
    <cellStyle name="Normal 32 3 2" xfId="2237"/>
    <cellStyle name="Normal 32 4" xfId="1648"/>
    <cellStyle name="Normal 32 4 2" xfId="2437"/>
    <cellStyle name="Normal 32 5" xfId="1045"/>
    <cellStyle name="Normal 32 6" xfId="1819"/>
    <cellStyle name="Normal 33" xfId="141"/>
    <cellStyle name="Normal 34" xfId="142"/>
    <cellStyle name="Normal 35" xfId="882"/>
    <cellStyle name="Normal 35 2" xfId="1292"/>
    <cellStyle name="Normal 35 2 2" xfId="2093"/>
    <cellStyle name="Normal 35 3" xfId="1500"/>
    <cellStyle name="Normal 35 3 2" xfId="2289"/>
    <cellStyle name="Normal 35 4" xfId="1700"/>
    <cellStyle name="Normal 35 4 2" xfId="2489"/>
    <cellStyle name="Normal 35 5" xfId="1097"/>
    <cellStyle name="Normal 35 6" xfId="1871"/>
    <cellStyle name="Normal 36" xfId="881"/>
    <cellStyle name="Normal 36 2" xfId="1291"/>
    <cellStyle name="Normal 36 2 2" xfId="2092"/>
    <cellStyle name="Normal 36 3" xfId="1499"/>
    <cellStyle name="Normal 36 3 2" xfId="2288"/>
    <cellStyle name="Normal 36 4" xfId="1699"/>
    <cellStyle name="Normal 36 4 2" xfId="2488"/>
    <cellStyle name="Normal 36 5" xfId="1096"/>
    <cellStyle name="Normal 36 6" xfId="1870"/>
    <cellStyle name="Normal 37" xfId="888"/>
    <cellStyle name="Normal 37 2" xfId="1298"/>
    <cellStyle name="Normal 37 2 2" xfId="2099"/>
    <cellStyle name="Normal 37 3" xfId="1506"/>
    <cellStyle name="Normal 37 3 2" xfId="2295"/>
    <cellStyle name="Normal 37 4" xfId="1103"/>
    <cellStyle name="Normal 37 5" xfId="1877"/>
    <cellStyle name="Normal 38" xfId="1308"/>
    <cellStyle name="Normal 38 2" xfId="1516"/>
    <cellStyle name="Normal 38 2 2" xfId="2305"/>
    <cellStyle name="Normal 39" xfId="1313"/>
    <cellStyle name="Normal 39 2" xfId="1519"/>
    <cellStyle name="Normal 39 2 2" xfId="2308"/>
    <cellStyle name="Normal 4" xfId="143"/>
    <cellStyle name="Normal 4 15 2 3" xfId="1112"/>
    <cellStyle name="Normal 4 15 2 3 2" xfId="1306"/>
    <cellStyle name="Normal 4 15 2 3 2 2" xfId="2107"/>
    <cellStyle name="Normal 4 15 2 3 3" xfId="1514"/>
    <cellStyle name="Normal 4 15 2 3 3 2" xfId="2303"/>
    <cellStyle name="Normal 4 15 2 3 4" xfId="1713"/>
    <cellStyle name="Normal 4 15 2 3 4 2" xfId="2502"/>
    <cellStyle name="Normal 4 15 2 3 5" xfId="1913"/>
    <cellStyle name="Normal 4 2" xfId="144"/>
    <cellStyle name="Normal 4 2 2" xfId="656"/>
    <cellStyle name="Normal 4 3" xfId="655"/>
    <cellStyle name="Normal 40" xfId="1315"/>
    <cellStyle name="Normal 40 2" xfId="1520"/>
    <cellStyle name="Normal 40 2 2" xfId="2309"/>
    <cellStyle name="Normal 41" xfId="1319"/>
    <cellStyle name="Normal 41 2" xfId="1521"/>
    <cellStyle name="Normal 41 2 2" xfId="2310"/>
    <cellStyle name="Normal 42" xfId="1718"/>
    <cellStyle name="Normal 43" xfId="913"/>
    <cellStyle name="Normal 5" xfId="145"/>
    <cellStyle name="Normal 5 2" xfId="721"/>
    <cellStyle name="Normal 6" xfId="6"/>
    <cellStyle name="Normal 6 10" xfId="1522"/>
    <cellStyle name="Normal 6 10 2" xfId="2311"/>
    <cellStyle name="Normal 6 11" xfId="894"/>
    <cellStyle name="Normal 6 12" xfId="1719"/>
    <cellStyle name="Normal 6 2" xfId="146"/>
    <cellStyle name="Normal 6 2 10" xfId="1720"/>
    <cellStyle name="Normal 6 2 2" xfId="722"/>
    <cellStyle name="Normal 6 2 3" xfId="747"/>
    <cellStyle name="Normal 6 2 3 2" xfId="1167"/>
    <cellStyle name="Normal 6 2 3 2 2" xfId="1968"/>
    <cellStyle name="Normal 6 2 3 3" xfId="1375"/>
    <cellStyle name="Normal 6 2 3 3 2" xfId="2164"/>
    <cellStyle name="Normal 6 2 3 4" xfId="1575"/>
    <cellStyle name="Normal 6 2 3 4 2" xfId="2364"/>
    <cellStyle name="Normal 6 2 3 5" xfId="972"/>
    <cellStyle name="Normal 6 2 3 6" xfId="1746"/>
    <cellStyle name="Normal 6 2 4" xfId="789"/>
    <cellStyle name="Normal 6 2 4 2" xfId="1199"/>
    <cellStyle name="Normal 6 2 4 2 2" xfId="2000"/>
    <cellStyle name="Normal 6 2 4 3" xfId="1407"/>
    <cellStyle name="Normal 6 2 4 3 2" xfId="2196"/>
    <cellStyle name="Normal 6 2 4 4" xfId="1607"/>
    <cellStyle name="Normal 6 2 4 4 2" xfId="2396"/>
    <cellStyle name="Normal 6 2 4 5" xfId="1004"/>
    <cellStyle name="Normal 6 2 4 6" xfId="1778"/>
    <cellStyle name="Normal 6 2 5" xfId="936"/>
    <cellStyle name="Normal 6 2 5 2" xfId="1141"/>
    <cellStyle name="Normal 6 2 5 2 2" xfId="1942"/>
    <cellStyle name="Normal 6 2 5 3" xfId="1349"/>
    <cellStyle name="Normal 6 2 5 3 2" xfId="2138"/>
    <cellStyle name="Normal 6 2 5 4" xfId="1549"/>
    <cellStyle name="Normal 6 2 5 4 2" xfId="2338"/>
    <cellStyle name="Normal 6 2 5 5" xfId="1884"/>
    <cellStyle name="Normal 6 2 6" xfId="1115"/>
    <cellStyle name="Normal 6 2 6 2" xfId="1916"/>
    <cellStyle name="Normal 6 2 7" xfId="1323"/>
    <cellStyle name="Normal 6 2 7 2" xfId="2112"/>
    <cellStyle name="Normal 6 2 8" xfId="1523"/>
    <cellStyle name="Normal 6 2 8 2" xfId="2312"/>
    <cellStyle name="Normal 6 2 9" xfId="895"/>
    <cellStyle name="Normal 6 3" xfId="199"/>
    <cellStyle name="Normal 6 3 2" xfId="759"/>
    <cellStyle name="Normal 6 3 2 2" xfId="1169"/>
    <cellStyle name="Normal 6 3 2 2 2" xfId="1970"/>
    <cellStyle name="Normal 6 3 2 3" xfId="1377"/>
    <cellStyle name="Normal 6 3 2 3 2" xfId="2166"/>
    <cellStyle name="Normal 6 3 2 4" xfId="1577"/>
    <cellStyle name="Normal 6 3 2 4 2" xfId="2366"/>
    <cellStyle name="Normal 6 3 2 5" xfId="974"/>
    <cellStyle name="Normal 6 3 2 6" xfId="1748"/>
    <cellStyle name="Normal 6 3 3" xfId="791"/>
    <cellStyle name="Normal 6 3 3 2" xfId="1201"/>
    <cellStyle name="Normal 6 3 3 2 2" xfId="2002"/>
    <cellStyle name="Normal 6 3 3 3" xfId="1409"/>
    <cellStyle name="Normal 6 3 3 3 2" xfId="2198"/>
    <cellStyle name="Normal 6 3 3 4" xfId="1609"/>
    <cellStyle name="Normal 6 3 3 4 2" xfId="2398"/>
    <cellStyle name="Normal 6 3 3 5" xfId="1006"/>
    <cellStyle name="Normal 6 3 3 6" xfId="1780"/>
    <cellStyle name="Normal 6 3 4" xfId="948"/>
    <cellStyle name="Normal 6 3 4 2" xfId="1143"/>
    <cellStyle name="Normal 6 3 4 2 2" xfId="1944"/>
    <cellStyle name="Normal 6 3 4 3" xfId="1351"/>
    <cellStyle name="Normal 6 3 4 3 2" xfId="2140"/>
    <cellStyle name="Normal 6 3 4 4" xfId="1551"/>
    <cellStyle name="Normal 6 3 4 4 2" xfId="2340"/>
    <cellStyle name="Normal 6 3 4 5" xfId="1886"/>
    <cellStyle name="Normal 6 3 5" xfId="1117"/>
    <cellStyle name="Normal 6 3 5 2" xfId="1918"/>
    <cellStyle name="Normal 6 3 6" xfId="1325"/>
    <cellStyle name="Normal 6 3 6 2" xfId="2114"/>
    <cellStyle name="Normal 6 3 7" xfId="1525"/>
    <cellStyle name="Normal 6 3 7 2" xfId="2314"/>
    <cellStyle name="Normal 6 3 8" xfId="897"/>
    <cellStyle name="Normal 6 3 9" xfId="1722"/>
    <cellStyle name="Normal 6 4" xfId="657"/>
    <cellStyle name="Normal 6 5" xfId="733"/>
    <cellStyle name="Normal 6 5 2" xfId="1166"/>
    <cellStyle name="Normal 6 5 2 2" xfId="1967"/>
    <cellStyle name="Normal 6 5 3" xfId="1374"/>
    <cellStyle name="Normal 6 5 3 2" xfId="2163"/>
    <cellStyle name="Normal 6 5 4" xfId="1574"/>
    <cellStyle name="Normal 6 5 4 2" xfId="2363"/>
    <cellStyle name="Normal 6 5 5" xfId="971"/>
    <cellStyle name="Normal 6 5 6" xfId="1745"/>
    <cellStyle name="Normal 6 6" xfId="788"/>
    <cellStyle name="Normal 6 6 2" xfId="1198"/>
    <cellStyle name="Normal 6 6 2 2" xfId="1999"/>
    <cellStyle name="Normal 6 6 3" xfId="1406"/>
    <cellStyle name="Normal 6 6 3 2" xfId="2195"/>
    <cellStyle name="Normal 6 6 4" xfId="1606"/>
    <cellStyle name="Normal 6 6 4 2" xfId="2395"/>
    <cellStyle name="Normal 6 6 5" xfId="1003"/>
    <cellStyle name="Normal 6 6 6" xfId="1777"/>
    <cellStyle name="Normal 6 7" xfId="922"/>
    <cellStyle name="Normal 6 7 2" xfId="1140"/>
    <cellStyle name="Normal 6 7 2 2" xfId="1941"/>
    <cellStyle name="Normal 6 7 3" xfId="1348"/>
    <cellStyle name="Normal 6 7 3 2" xfId="2137"/>
    <cellStyle name="Normal 6 7 4" xfId="1548"/>
    <cellStyle name="Normal 6 7 4 2" xfId="2337"/>
    <cellStyle name="Normal 6 7 5" xfId="1883"/>
    <cellStyle name="Normal 6 8" xfId="1114"/>
    <cellStyle name="Normal 6 8 2" xfId="1915"/>
    <cellStyle name="Normal 6 9" xfId="1322"/>
    <cellStyle name="Normal 6 9 2" xfId="2111"/>
    <cellStyle name="Normal 7" xfId="147"/>
    <cellStyle name="Normal 7 10" xfId="896"/>
    <cellStyle name="Normal 7 11" xfId="1721"/>
    <cellStyle name="Normal 7 2" xfId="723"/>
    <cellStyle name="Normal 7 3" xfId="658"/>
    <cellStyle name="Normal 7 4" xfId="748"/>
    <cellStyle name="Normal 7 4 2" xfId="1168"/>
    <cellStyle name="Normal 7 4 2 2" xfId="1969"/>
    <cellStyle name="Normal 7 4 3" xfId="1376"/>
    <cellStyle name="Normal 7 4 3 2" xfId="2165"/>
    <cellStyle name="Normal 7 4 4" xfId="1576"/>
    <cellStyle name="Normal 7 4 4 2" xfId="2365"/>
    <cellStyle name="Normal 7 4 5" xfId="973"/>
    <cellStyle name="Normal 7 4 6" xfId="1747"/>
    <cellStyle name="Normal 7 5" xfId="790"/>
    <cellStyle name="Normal 7 5 2" xfId="1200"/>
    <cellStyle name="Normal 7 5 2 2" xfId="2001"/>
    <cellStyle name="Normal 7 5 3" xfId="1408"/>
    <cellStyle name="Normal 7 5 3 2" xfId="2197"/>
    <cellStyle name="Normal 7 5 4" xfId="1608"/>
    <cellStyle name="Normal 7 5 4 2" xfId="2397"/>
    <cellStyle name="Normal 7 5 5" xfId="1005"/>
    <cellStyle name="Normal 7 5 6" xfId="1779"/>
    <cellStyle name="Normal 7 6" xfId="937"/>
    <cellStyle name="Normal 7 6 2" xfId="1142"/>
    <cellStyle name="Normal 7 6 2 2" xfId="1943"/>
    <cellStyle name="Normal 7 6 3" xfId="1350"/>
    <cellStyle name="Normal 7 6 3 2" xfId="2139"/>
    <cellStyle name="Normal 7 6 4" xfId="1550"/>
    <cellStyle name="Normal 7 6 4 2" xfId="2339"/>
    <cellStyle name="Normal 7 6 5" xfId="1885"/>
    <cellStyle name="Normal 7 7" xfId="1116"/>
    <cellStyle name="Normal 7 7 2" xfId="1917"/>
    <cellStyle name="Normal 7 8" xfId="1324"/>
    <cellStyle name="Normal 7 8 2" xfId="2113"/>
    <cellStyle name="Normal 7 9" xfId="1524"/>
    <cellStyle name="Normal 7 9 2" xfId="2313"/>
    <cellStyle name="Normal 8" xfId="148"/>
    <cellStyle name="Normal 8 2" xfId="724"/>
    <cellStyle name="Normal 8 3" xfId="659"/>
    <cellStyle name="Normal 9" xfId="202"/>
    <cellStyle name="Normal 9 2" xfId="660"/>
    <cellStyle name="Note 10" xfId="878"/>
    <cellStyle name="Note 10 2" xfId="1288"/>
    <cellStyle name="Note 10 2 2" xfId="2089"/>
    <cellStyle name="Note 10 3" xfId="1496"/>
    <cellStyle name="Note 10 3 2" xfId="2285"/>
    <cellStyle name="Note 10 4" xfId="1696"/>
    <cellStyle name="Note 10 4 2" xfId="2485"/>
    <cellStyle name="Note 10 5" xfId="1093"/>
    <cellStyle name="Note 10 6" xfId="1867"/>
    <cellStyle name="Note 2" xfId="661"/>
    <cellStyle name="Note 2 10" xfId="662"/>
    <cellStyle name="Note 2 2" xfId="663"/>
    <cellStyle name="Note 2 3" xfId="664"/>
    <cellStyle name="Note 2 4" xfId="665"/>
    <cellStyle name="Note 2 5" xfId="666"/>
    <cellStyle name="Note 2 6" xfId="667"/>
    <cellStyle name="Note 2 7" xfId="668"/>
    <cellStyle name="Note 2 8" xfId="669"/>
    <cellStyle name="Note 2 9" xfId="670"/>
    <cellStyle name="Note 2 9 2" xfId="671"/>
    <cellStyle name="Note 2_Pulses" xfId="672"/>
    <cellStyle name="Note 3" xfId="726"/>
    <cellStyle name="Note 3 2" xfId="779"/>
    <cellStyle name="Note 3 2 2" xfId="1189"/>
    <cellStyle name="Note 3 2 2 2" xfId="1990"/>
    <cellStyle name="Note 3 2 3" xfId="1397"/>
    <cellStyle name="Note 3 2 3 2" xfId="2186"/>
    <cellStyle name="Note 3 2 4" xfId="1597"/>
    <cellStyle name="Note 3 2 4 2" xfId="2386"/>
    <cellStyle name="Note 3 2 5" xfId="994"/>
    <cellStyle name="Note 3 2 6" xfId="1768"/>
    <cellStyle name="Note 3 3" xfId="811"/>
    <cellStyle name="Note 3 3 2" xfId="1221"/>
    <cellStyle name="Note 3 3 2 2" xfId="2022"/>
    <cellStyle name="Note 3 3 3" xfId="1429"/>
    <cellStyle name="Note 3 3 3 2" xfId="2218"/>
    <cellStyle name="Note 3 3 4" xfId="1629"/>
    <cellStyle name="Note 3 3 4 2" xfId="2418"/>
    <cellStyle name="Note 3 3 5" xfId="1026"/>
    <cellStyle name="Note 3 3 6" xfId="1800"/>
    <cellStyle name="Note 3 4" xfId="968"/>
    <cellStyle name="Note 3 4 2" xfId="1163"/>
    <cellStyle name="Note 3 4 2 2" xfId="1964"/>
    <cellStyle name="Note 3 4 3" xfId="1371"/>
    <cellStyle name="Note 3 4 3 2" xfId="2160"/>
    <cellStyle name="Note 3 4 4" xfId="1571"/>
    <cellStyle name="Note 3 4 4 2" xfId="2360"/>
    <cellStyle name="Note 3 4 5" xfId="1904"/>
    <cellStyle name="Note 3 5" xfId="1137"/>
    <cellStyle name="Note 3 5 2" xfId="1938"/>
    <cellStyle name="Note 3 6" xfId="1345"/>
    <cellStyle name="Note 3 6 2" xfId="2134"/>
    <cellStyle name="Note 3 7" xfId="1545"/>
    <cellStyle name="Note 3 7 2" xfId="2334"/>
    <cellStyle name="Note 3 8" xfId="919"/>
    <cellStyle name="Note 3 9" xfId="1742"/>
    <cellStyle name="Note 4" xfId="732"/>
    <cellStyle name="Note 4 2" xfId="781"/>
    <cellStyle name="Note 4 2 2" xfId="1191"/>
    <cellStyle name="Note 4 2 2 2" xfId="1992"/>
    <cellStyle name="Note 4 2 3" xfId="1399"/>
    <cellStyle name="Note 4 2 3 2" xfId="2188"/>
    <cellStyle name="Note 4 2 4" xfId="1599"/>
    <cellStyle name="Note 4 2 4 2" xfId="2388"/>
    <cellStyle name="Note 4 2 5" xfId="996"/>
    <cellStyle name="Note 4 2 6" xfId="1770"/>
    <cellStyle name="Note 4 3" xfId="813"/>
    <cellStyle name="Note 4 3 2" xfId="1223"/>
    <cellStyle name="Note 4 3 2 2" xfId="2024"/>
    <cellStyle name="Note 4 3 3" xfId="1431"/>
    <cellStyle name="Note 4 3 3 2" xfId="2220"/>
    <cellStyle name="Note 4 3 4" xfId="1631"/>
    <cellStyle name="Note 4 3 4 2" xfId="2420"/>
    <cellStyle name="Note 4 3 5" xfId="1028"/>
    <cellStyle name="Note 4 3 6" xfId="1802"/>
    <cellStyle name="Note 4 4" xfId="970"/>
    <cellStyle name="Note 4 4 2" xfId="1165"/>
    <cellStyle name="Note 4 4 2 2" xfId="1966"/>
    <cellStyle name="Note 4 4 3" xfId="1373"/>
    <cellStyle name="Note 4 4 3 2" xfId="2162"/>
    <cellStyle name="Note 4 4 4" xfId="1573"/>
    <cellStyle name="Note 4 4 4 2" xfId="2362"/>
    <cellStyle name="Note 4 4 5" xfId="1906"/>
    <cellStyle name="Note 4 5" xfId="1139"/>
    <cellStyle name="Note 4 5 2" xfId="1940"/>
    <cellStyle name="Note 4 6" xfId="1347"/>
    <cellStyle name="Note 4 6 2" xfId="2136"/>
    <cellStyle name="Note 4 7" xfId="1547"/>
    <cellStyle name="Note 4 7 2" xfId="2336"/>
    <cellStyle name="Note 4 8" xfId="921"/>
    <cellStyle name="Note 4 9" xfId="1744"/>
    <cellStyle name="Note 5" xfId="865"/>
    <cellStyle name="Note 5 2" xfId="1275"/>
    <cellStyle name="Note 5 2 2" xfId="2076"/>
    <cellStyle name="Note 5 3" xfId="1483"/>
    <cellStyle name="Note 5 3 2" xfId="2272"/>
    <cellStyle name="Note 5 4" xfId="1683"/>
    <cellStyle name="Note 5 4 2" xfId="2472"/>
    <cellStyle name="Note 5 5" xfId="1080"/>
    <cellStyle name="Note 5 6" xfId="1854"/>
    <cellStyle name="Note 6" xfId="867"/>
    <cellStyle name="Note 6 2" xfId="1277"/>
    <cellStyle name="Note 6 2 2" xfId="2078"/>
    <cellStyle name="Note 6 3" xfId="1485"/>
    <cellStyle name="Note 6 3 2" xfId="2274"/>
    <cellStyle name="Note 6 4" xfId="1685"/>
    <cellStyle name="Note 6 4 2" xfId="2474"/>
    <cellStyle name="Note 6 5" xfId="1082"/>
    <cellStyle name="Note 6 6" xfId="1856"/>
    <cellStyle name="Note 7" xfId="872"/>
    <cellStyle name="Note 7 2" xfId="1282"/>
    <cellStyle name="Note 7 2 2" xfId="2083"/>
    <cellStyle name="Note 7 3" xfId="1490"/>
    <cellStyle name="Note 7 3 2" xfId="2279"/>
    <cellStyle name="Note 7 4" xfId="1690"/>
    <cellStyle name="Note 7 4 2" xfId="2479"/>
    <cellStyle name="Note 7 5" xfId="1087"/>
    <cellStyle name="Note 7 6" xfId="1861"/>
    <cellStyle name="Note 8" xfId="873"/>
    <cellStyle name="Note 8 2" xfId="1283"/>
    <cellStyle name="Note 8 2 2" xfId="2084"/>
    <cellStyle name="Note 8 3" xfId="1491"/>
    <cellStyle name="Note 8 3 2" xfId="2280"/>
    <cellStyle name="Note 8 4" xfId="1691"/>
    <cellStyle name="Note 8 4 2" xfId="2480"/>
    <cellStyle name="Note 8 5" xfId="1088"/>
    <cellStyle name="Note 8 6" xfId="1862"/>
    <cellStyle name="Note 9" xfId="876"/>
    <cellStyle name="Note 9 2" xfId="1286"/>
    <cellStyle name="Note 9 2 2" xfId="2087"/>
    <cellStyle name="Note 9 3" xfId="1494"/>
    <cellStyle name="Note 9 3 2" xfId="2283"/>
    <cellStyle name="Note 9 4" xfId="1694"/>
    <cellStyle name="Note 9 4 2" xfId="2483"/>
    <cellStyle name="Note 9 5" xfId="1091"/>
    <cellStyle name="Note 9 6" xfId="1865"/>
    <cellStyle name="Output 2" xfId="673"/>
    <cellStyle name="Output 2 2" xfId="674"/>
    <cellStyle name="Output 2 3" xfId="675"/>
    <cellStyle name="Output 2 4" xfId="676"/>
    <cellStyle name="Output 2 5" xfId="677"/>
    <cellStyle name="Output 2 6" xfId="678"/>
    <cellStyle name="Output 2 7" xfId="679"/>
    <cellStyle name="Output 2 8" xfId="680"/>
    <cellStyle name="Output 2_Pulses" xfId="681"/>
    <cellStyle name="Percent [2]" xfId="149"/>
    <cellStyle name="Percent [2] 2" xfId="749"/>
    <cellStyle name="Percent [2] 3" xfId="938"/>
    <cellStyle name="Percent 10" xfId="731"/>
    <cellStyle name="Percent 10 2" xfId="780"/>
    <cellStyle name="Percent 10 2 2" xfId="1190"/>
    <cellStyle name="Percent 10 2 2 2" xfId="1991"/>
    <cellStyle name="Percent 10 2 3" xfId="1398"/>
    <cellStyle name="Percent 10 2 3 2" xfId="2187"/>
    <cellStyle name="Percent 10 2 4" xfId="1598"/>
    <cellStyle name="Percent 10 2 4 2" xfId="2387"/>
    <cellStyle name="Percent 10 2 5" xfId="995"/>
    <cellStyle name="Percent 10 2 6" xfId="1769"/>
    <cellStyle name="Percent 10 3" xfId="812"/>
    <cellStyle name="Percent 10 3 2" xfId="1222"/>
    <cellStyle name="Percent 10 3 2 2" xfId="2023"/>
    <cellStyle name="Percent 10 3 3" xfId="1430"/>
    <cellStyle name="Percent 10 3 3 2" xfId="2219"/>
    <cellStyle name="Percent 10 3 4" xfId="1630"/>
    <cellStyle name="Percent 10 3 4 2" xfId="2419"/>
    <cellStyle name="Percent 10 3 5" xfId="1027"/>
    <cellStyle name="Percent 10 3 6" xfId="1801"/>
    <cellStyle name="Percent 10 4" xfId="969"/>
    <cellStyle name="Percent 10 4 2" xfId="1164"/>
    <cellStyle name="Percent 10 4 2 2" xfId="1965"/>
    <cellStyle name="Percent 10 4 3" xfId="1372"/>
    <cellStyle name="Percent 10 4 3 2" xfId="2161"/>
    <cellStyle name="Percent 10 4 4" xfId="1572"/>
    <cellStyle name="Percent 10 4 4 2" xfId="2361"/>
    <cellStyle name="Percent 10 4 5" xfId="1905"/>
    <cellStyle name="Percent 10 5" xfId="1138"/>
    <cellStyle name="Percent 10 5 2" xfId="1939"/>
    <cellStyle name="Percent 10 6" xfId="1346"/>
    <cellStyle name="Percent 10 6 2" xfId="2135"/>
    <cellStyle name="Percent 10 7" xfId="1546"/>
    <cellStyle name="Percent 10 7 2" xfId="2335"/>
    <cellStyle name="Percent 10 8" xfId="920"/>
    <cellStyle name="Percent 10 9" xfId="1743"/>
    <cellStyle name="Percent 11" xfId="864"/>
    <cellStyle name="Percent 11 2" xfId="1274"/>
    <cellStyle name="Percent 11 2 2" xfId="2075"/>
    <cellStyle name="Percent 11 3" xfId="1482"/>
    <cellStyle name="Percent 11 3 2" xfId="2271"/>
    <cellStyle name="Percent 11 4" xfId="1682"/>
    <cellStyle name="Percent 11 4 2" xfId="2471"/>
    <cellStyle name="Percent 11 5" xfId="1079"/>
    <cellStyle name="Percent 11 6" xfId="1853"/>
    <cellStyle name="Percent 12" xfId="866"/>
    <cellStyle name="Percent 12 2" xfId="1276"/>
    <cellStyle name="Percent 12 2 2" xfId="2077"/>
    <cellStyle name="Percent 12 3" xfId="1484"/>
    <cellStyle name="Percent 12 3 2" xfId="2273"/>
    <cellStyle name="Percent 12 4" xfId="1684"/>
    <cellStyle name="Percent 12 4 2" xfId="2473"/>
    <cellStyle name="Percent 12 5" xfId="1081"/>
    <cellStyle name="Percent 12 6" xfId="1855"/>
    <cellStyle name="Percent 13" xfId="871"/>
    <cellStyle name="Percent 13 2" xfId="1281"/>
    <cellStyle name="Percent 13 2 2" xfId="2082"/>
    <cellStyle name="Percent 13 3" xfId="1489"/>
    <cellStyle name="Percent 13 3 2" xfId="2278"/>
    <cellStyle name="Percent 13 4" xfId="1689"/>
    <cellStyle name="Percent 13 4 2" xfId="2478"/>
    <cellStyle name="Percent 13 5" xfId="1086"/>
    <cellStyle name="Percent 13 6" xfId="1860"/>
    <cellStyle name="Percent 14" xfId="820"/>
    <cellStyle name="Percent 14 2" xfId="1230"/>
    <cellStyle name="Percent 14 2 2" xfId="2031"/>
    <cellStyle name="Percent 14 3" xfId="1438"/>
    <cellStyle name="Percent 14 3 2" xfId="2227"/>
    <cellStyle name="Percent 14 4" xfId="1638"/>
    <cellStyle name="Percent 14 4 2" xfId="2427"/>
    <cellStyle name="Percent 14 5" xfId="1035"/>
    <cellStyle name="Percent 14 6" xfId="1809"/>
    <cellStyle name="Percent 15" xfId="875"/>
    <cellStyle name="Percent 15 2" xfId="1285"/>
    <cellStyle name="Percent 15 2 2" xfId="2086"/>
    <cellStyle name="Percent 15 3" xfId="1493"/>
    <cellStyle name="Percent 15 3 2" xfId="2282"/>
    <cellStyle name="Percent 15 4" xfId="1693"/>
    <cellStyle name="Percent 15 4 2" xfId="2482"/>
    <cellStyle name="Percent 15 5" xfId="1090"/>
    <cellStyle name="Percent 15 6" xfId="1864"/>
    <cellStyle name="Percent 16" xfId="877"/>
    <cellStyle name="Percent 16 2" xfId="1287"/>
    <cellStyle name="Percent 16 2 2" xfId="2088"/>
    <cellStyle name="Percent 16 3" xfId="1495"/>
    <cellStyle name="Percent 16 3 2" xfId="2284"/>
    <cellStyle name="Percent 16 4" xfId="1695"/>
    <cellStyle name="Percent 16 4 2" xfId="2484"/>
    <cellStyle name="Percent 16 5" xfId="1092"/>
    <cellStyle name="Percent 16 6" xfId="1866"/>
    <cellStyle name="Percent 17" xfId="879"/>
    <cellStyle name="Percent 17 2" xfId="1289"/>
    <cellStyle name="Percent 17 2 2" xfId="2090"/>
    <cellStyle name="Percent 17 3" xfId="1497"/>
    <cellStyle name="Percent 17 3 2" xfId="2286"/>
    <cellStyle name="Percent 17 4" xfId="1697"/>
    <cellStyle name="Percent 17 4 2" xfId="2486"/>
    <cellStyle name="Percent 17 5" xfId="1094"/>
    <cellStyle name="Percent 17 6" xfId="1868"/>
    <cellStyle name="Percent 18" xfId="880"/>
    <cellStyle name="Percent 18 2" xfId="1290"/>
    <cellStyle name="Percent 18 2 2" xfId="2091"/>
    <cellStyle name="Percent 18 3" xfId="1498"/>
    <cellStyle name="Percent 18 3 2" xfId="2287"/>
    <cellStyle name="Percent 18 4" xfId="1698"/>
    <cellStyle name="Percent 18 4 2" xfId="2487"/>
    <cellStyle name="Percent 18 5" xfId="1095"/>
    <cellStyle name="Percent 18 6" xfId="1869"/>
    <cellStyle name="Percent 19" xfId="850"/>
    <cellStyle name="Percent 19 2" xfId="1260"/>
    <cellStyle name="Percent 19 2 2" xfId="2061"/>
    <cellStyle name="Percent 19 3" xfId="1468"/>
    <cellStyle name="Percent 19 3 2" xfId="2257"/>
    <cellStyle name="Percent 19 4" xfId="1668"/>
    <cellStyle name="Percent 19 4 2" xfId="2457"/>
    <cellStyle name="Percent 19 5" xfId="1065"/>
    <cellStyle name="Percent 19 6" xfId="1839"/>
    <cellStyle name="Percent 2" xfId="150"/>
    <cellStyle name="Percent 2 2" xfId="212"/>
    <cellStyle name="Percent 2 2 2" xfId="685"/>
    <cellStyle name="Percent 2 3" xfId="686"/>
    <cellStyle name="Percent 2 4" xfId="687"/>
    <cellStyle name="Percent 2 5" xfId="688"/>
    <cellStyle name="Percent 2 6" xfId="683"/>
    <cellStyle name="Percent 20" xfId="838"/>
    <cellStyle name="Percent 20 2" xfId="1248"/>
    <cellStyle name="Percent 20 2 2" xfId="2049"/>
    <cellStyle name="Percent 20 3" xfId="1456"/>
    <cellStyle name="Percent 20 3 2" xfId="2245"/>
    <cellStyle name="Percent 20 4" xfId="1656"/>
    <cellStyle name="Percent 20 4 2" xfId="2445"/>
    <cellStyle name="Percent 20 5" xfId="1053"/>
    <cellStyle name="Percent 20 6" xfId="1827"/>
    <cellStyle name="Percent 21" xfId="863"/>
    <cellStyle name="Percent 21 2" xfId="1273"/>
    <cellStyle name="Percent 21 2 2" xfId="2074"/>
    <cellStyle name="Percent 21 3" xfId="1481"/>
    <cellStyle name="Percent 21 3 2" xfId="2270"/>
    <cellStyle name="Percent 21 4" xfId="1681"/>
    <cellStyle name="Percent 21 4 2" xfId="2470"/>
    <cellStyle name="Percent 21 5" xfId="1078"/>
    <cellStyle name="Percent 21 6" xfId="1852"/>
    <cellStyle name="Percent 22" xfId="886"/>
    <cellStyle name="Percent 22 2" xfId="1296"/>
    <cellStyle name="Percent 22 2 2" xfId="2097"/>
    <cellStyle name="Percent 22 3" xfId="1504"/>
    <cellStyle name="Percent 22 3 2" xfId="2293"/>
    <cellStyle name="Percent 22 4" xfId="1704"/>
    <cellStyle name="Percent 22 4 2" xfId="2493"/>
    <cellStyle name="Percent 22 5" xfId="1101"/>
    <cellStyle name="Percent 22 6" xfId="1875"/>
    <cellStyle name="Percent 23" xfId="844"/>
    <cellStyle name="Percent 23 2" xfId="1254"/>
    <cellStyle name="Percent 23 2 2" xfId="2055"/>
    <cellStyle name="Percent 23 3" xfId="1462"/>
    <cellStyle name="Percent 23 3 2" xfId="2251"/>
    <cellStyle name="Percent 23 4" xfId="1662"/>
    <cellStyle name="Percent 23 4 2" xfId="2451"/>
    <cellStyle name="Percent 23 5" xfId="1059"/>
    <cellStyle name="Percent 23 6" xfId="1833"/>
    <cellStyle name="Percent 24" xfId="839"/>
    <cellStyle name="Percent 24 2" xfId="1249"/>
    <cellStyle name="Percent 24 2 2" xfId="2050"/>
    <cellStyle name="Percent 24 3" xfId="1457"/>
    <cellStyle name="Percent 24 3 2" xfId="2246"/>
    <cellStyle name="Percent 24 4" xfId="1657"/>
    <cellStyle name="Percent 24 4 2" xfId="2446"/>
    <cellStyle name="Percent 24 5" xfId="1054"/>
    <cellStyle name="Percent 24 6" xfId="1828"/>
    <cellStyle name="Percent 25" xfId="887"/>
    <cellStyle name="Percent 25 2" xfId="1113"/>
    <cellStyle name="Percent 25 2 2" xfId="1307"/>
    <cellStyle name="Percent 25 2 2 2" xfId="2108"/>
    <cellStyle name="Percent 25 2 3" xfId="1515"/>
    <cellStyle name="Percent 25 2 3 2" xfId="2304"/>
    <cellStyle name="Percent 25 2 4" xfId="1714"/>
    <cellStyle name="Percent 25 2 4 2" xfId="2503"/>
    <cellStyle name="Percent 25 2 5" xfId="1914"/>
    <cellStyle name="Percent 25 3" xfId="1297"/>
    <cellStyle name="Percent 25 3 2" xfId="2098"/>
    <cellStyle name="Percent 25 4" xfId="1505"/>
    <cellStyle name="Percent 25 4 2" xfId="2294"/>
    <cellStyle name="Percent 25 5" xfId="1705"/>
    <cellStyle name="Percent 25 5 2" xfId="2494"/>
    <cellStyle name="Percent 25 6" xfId="1102"/>
    <cellStyle name="Percent 25 7" xfId="1876"/>
    <cellStyle name="Percent 26" xfId="855"/>
    <cellStyle name="Percent 26 2" xfId="1265"/>
    <cellStyle name="Percent 26 2 2" xfId="2066"/>
    <cellStyle name="Percent 26 3" xfId="1473"/>
    <cellStyle name="Percent 26 3 2" xfId="2262"/>
    <cellStyle name="Percent 26 4" xfId="1673"/>
    <cellStyle name="Percent 26 4 2" xfId="2462"/>
    <cellStyle name="Percent 26 5" xfId="1070"/>
    <cellStyle name="Percent 26 6" xfId="1844"/>
    <cellStyle name="Percent 27" xfId="1107"/>
    <cellStyle name="Percent 27 2" xfId="1302"/>
    <cellStyle name="Percent 27 2 2" xfId="2103"/>
    <cellStyle name="Percent 27 3" xfId="1510"/>
    <cellStyle name="Percent 27 3 2" xfId="2299"/>
    <cellStyle name="Percent 27 4" xfId="1709"/>
    <cellStyle name="Percent 27 4 2" xfId="2498"/>
    <cellStyle name="Percent 27 5" xfId="1909"/>
    <cellStyle name="Percent 28" xfId="1310"/>
    <cellStyle name="Percent 29" xfId="1316"/>
    <cellStyle name="Percent 3" xfId="151"/>
    <cellStyle name="Percent 3 2" xfId="152"/>
    <cellStyle name="Percent 3 2 2" xfId="690"/>
    <cellStyle name="Percent 3 3" xfId="689"/>
    <cellStyle name="Percent 30" xfId="1318"/>
    <cellStyle name="Percent 31" xfId="1321"/>
    <cellStyle name="Percent 32" xfId="1715"/>
    <cellStyle name="Percent 33" xfId="1717"/>
    <cellStyle name="Percent 4" xfId="153"/>
    <cellStyle name="Percent 4 2" xfId="692"/>
    <cellStyle name="Percent 5" xfId="154"/>
    <cellStyle name="Percent 5 2" xfId="693"/>
    <cellStyle name="Percent 6" xfId="155"/>
    <cellStyle name="Percent 6 2" xfId="694"/>
    <cellStyle name="Percent 7" xfId="206"/>
    <cellStyle name="Percent 7 10" xfId="1726"/>
    <cellStyle name="Percent 7 2" xfId="695"/>
    <cellStyle name="Percent 7 3" xfId="763"/>
    <cellStyle name="Percent 7 3 2" xfId="1173"/>
    <cellStyle name="Percent 7 3 2 2" xfId="1974"/>
    <cellStyle name="Percent 7 3 3" xfId="1381"/>
    <cellStyle name="Percent 7 3 3 2" xfId="2170"/>
    <cellStyle name="Percent 7 3 4" xfId="1581"/>
    <cellStyle name="Percent 7 3 4 2" xfId="2370"/>
    <cellStyle name="Percent 7 3 5" xfId="978"/>
    <cellStyle name="Percent 7 3 6" xfId="1752"/>
    <cellStyle name="Percent 7 4" xfId="795"/>
    <cellStyle name="Percent 7 4 2" xfId="1205"/>
    <cellStyle name="Percent 7 4 2 2" xfId="2006"/>
    <cellStyle name="Percent 7 4 3" xfId="1413"/>
    <cellStyle name="Percent 7 4 3 2" xfId="2202"/>
    <cellStyle name="Percent 7 4 4" xfId="1613"/>
    <cellStyle name="Percent 7 4 4 2" xfId="2402"/>
    <cellStyle name="Percent 7 4 5" xfId="1010"/>
    <cellStyle name="Percent 7 4 6" xfId="1784"/>
    <cellStyle name="Percent 7 5" xfId="952"/>
    <cellStyle name="Percent 7 5 2" xfId="1147"/>
    <cellStyle name="Percent 7 5 2 2" xfId="1948"/>
    <cellStyle name="Percent 7 5 3" xfId="1355"/>
    <cellStyle name="Percent 7 5 3 2" xfId="2144"/>
    <cellStyle name="Percent 7 5 4" xfId="1555"/>
    <cellStyle name="Percent 7 5 4 2" xfId="2344"/>
    <cellStyle name="Percent 7 5 5" xfId="1890"/>
    <cellStyle name="Percent 7 6" xfId="1121"/>
    <cellStyle name="Percent 7 6 2" xfId="1922"/>
    <cellStyle name="Percent 7 7" xfId="1329"/>
    <cellStyle name="Percent 7 7 2" xfId="2118"/>
    <cellStyle name="Percent 7 8" xfId="1529"/>
    <cellStyle name="Percent 7 8 2" xfId="2318"/>
    <cellStyle name="Percent 7 9" xfId="901"/>
    <cellStyle name="Percent 8" xfId="214"/>
    <cellStyle name="Percent 8 10" xfId="905"/>
    <cellStyle name="Percent 8 11" xfId="1730"/>
    <cellStyle name="Percent 8 2" xfId="730"/>
    <cellStyle name="Percent 8 3" xfId="682"/>
    <cellStyle name="Percent 8 4" xfId="767"/>
    <cellStyle name="Percent 8 4 2" xfId="1177"/>
    <cellStyle name="Percent 8 4 2 2" xfId="1978"/>
    <cellStyle name="Percent 8 4 3" xfId="1385"/>
    <cellStyle name="Percent 8 4 3 2" xfId="2174"/>
    <cellStyle name="Percent 8 4 4" xfId="1585"/>
    <cellStyle name="Percent 8 4 4 2" xfId="2374"/>
    <cellStyle name="Percent 8 4 5" xfId="982"/>
    <cellStyle name="Percent 8 4 6" xfId="1756"/>
    <cellStyle name="Percent 8 5" xfId="799"/>
    <cellStyle name="Percent 8 5 2" xfId="1209"/>
    <cellStyle name="Percent 8 5 2 2" xfId="2010"/>
    <cellStyle name="Percent 8 5 3" xfId="1417"/>
    <cellStyle name="Percent 8 5 3 2" xfId="2206"/>
    <cellStyle name="Percent 8 5 4" xfId="1617"/>
    <cellStyle name="Percent 8 5 4 2" xfId="2406"/>
    <cellStyle name="Percent 8 5 5" xfId="1014"/>
    <cellStyle name="Percent 8 5 6" xfId="1788"/>
    <cellStyle name="Percent 8 6" xfId="956"/>
    <cellStyle name="Percent 8 6 2" xfId="1151"/>
    <cellStyle name="Percent 8 6 2 2" xfId="1952"/>
    <cellStyle name="Percent 8 6 3" xfId="1359"/>
    <cellStyle name="Percent 8 6 3 2" xfId="2148"/>
    <cellStyle name="Percent 8 6 4" xfId="1559"/>
    <cellStyle name="Percent 8 6 4 2" xfId="2348"/>
    <cellStyle name="Percent 8 6 5" xfId="1894"/>
    <cellStyle name="Percent 8 7" xfId="1125"/>
    <cellStyle name="Percent 8 7 2" xfId="1926"/>
    <cellStyle name="Percent 8 8" xfId="1333"/>
    <cellStyle name="Percent 8 8 2" xfId="2122"/>
    <cellStyle name="Percent 8 9" xfId="1533"/>
    <cellStyle name="Percent 8 9 2" xfId="2322"/>
    <cellStyle name="Percent 9" xfId="725"/>
    <cellStyle name="Percent 9 2" xfId="778"/>
    <cellStyle name="Percent 9 2 2" xfId="1188"/>
    <cellStyle name="Percent 9 2 2 2" xfId="1989"/>
    <cellStyle name="Percent 9 2 3" xfId="1396"/>
    <cellStyle name="Percent 9 2 3 2" xfId="2185"/>
    <cellStyle name="Percent 9 2 4" xfId="1596"/>
    <cellStyle name="Percent 9 2 4 2" xfId="2385"/>
    <cellStyle name="Percent 9 2 5" xfId="993"/>
    <cellStyle name="Percent 9 2 6" xfId="1767"/>
    <cellStyle name="Percent 9 3" xfId="810"/>
    <cellStyle name="Percent 9 3 2" xfId="1220"/>
    <cellStyle name="Percent 9 3 2 2" xfId="2021"/>
    <cellStyle name="Percent 9 3 3" xfId="1428"/>
    <cellStyle name="Percent 9 3 3 2" xfId="2217"/>
    <cellStyle name="Percent 9 3 4" xfId="1628"/>
    <cellStyle name="Percent 9 3 4 2" xfId="2417"/>
    <cellStyle name="Percent 9 3 5" xfId="1025"/>
    <cellStyle name="Percent 9 3 6" xfId="1799"/>
    <cellStyle name="Percent 9 4" xfId="967"/>
    <cellStyle name="Percent 9 4 2" xfId="1162"/>
    <cellStyle name="Percent 9 4 2 2" xfId="1963"/>
    <cellStyle name="Percent 9 4 3" xfId="1370"/>
    <cellStyle name="Percent 9 4 3 2" xfId="2159"/>
    <cellStyle name="Percent 9 4 4" xfId="1570"/>
    <cellStyle name="Percent 9 4 4 2" xfId="2359"/>
    <cellStyle name="Percent 9 4 5" xfId="1903"/>
    <cellStyle name="Percent 9 5" xfId="1136"/>
    <cellStyle name="Percent 9 5 2" xfId="1937"/>
    <cellStyle name="Percent 9 6" xfId="1344"/>
    <cellStyle name="Percent 9 6 2" xfId="2133"/>
    <cellStyle name="Percent 9 7" xfId="1544"/>
    <cellStyle name="Percent 9 7 2" xfId="2333"/>
    <cellStyle name="Percent 9 8" xfId="918"/>
    <cellStyle name="Percent 9 9" xfId="1741"/>
    <cellStyle name="PSChar" xfId="156"/>
    <cellStyle name="PSDate" xfId="157"/>
    <cellStyle name="PSDec" xfId="158"/>
    <cellStyle name="PSdesc" xfId="159"/>
    <cellStyle name="PSdesc 2" xfId="750"/>
    <cellStyle name="PSdesc 3" xfId="939"/>
    <cellStyle name="PSHeading" xfId="160"/>
    <cellStyle name="PSInt" xfId="161"/>
    <cellStyle name="PSSpacer" xfId="162"/>
    <cellStyle name="PStest" xfId="163"/>
    <cellStyle name="PStest 2" xfId="751"/>
    <cellStyle name="PStest 3" xfId="940"/>
    <cellStyle name="R00A" xfId="164"/>
    <cellStyle name="R00B" xfId="165"/>
    <cellStyle name="R00L" xfId="166"/>
    <cellStyle name="R01A" xfId="167"/>
    <cellStyle name="R01B" xfId="168"/>
    <cellStyle name="R01H" xfId="169"/>
    <cellStyle name="R01L" xfId="170"/>
    <cellStyle name="R02A" xfId="171"/>
    <cellStyle name="R02B" xfId="172"/>
    <cellStyle name="R02B 2" xfId="752"/>
    <cellStyle name="R02B 3" xfId="941"/>
    <cellStyle name="R02H" xfId="173"/>
    <cellStyle name="R02L" xfId="174"/>
    <cellStyle name="R03A" xfId="175"/>
    <cellStyle name="R03B" xfId="176"/>
    <cellStyle name="R03B 2" xfId="753"/>
    <cellStyle name="R03B 3" xfId="942"/>
    <cellStyle name="R03H" xfId="177"/>
    <cellStyle name="R03L" xfId="178"/>
    <cellStyle name="R04A" xfId="179"/>
    <cellStyle name="R04B" xfId="180"/>
    <cellStyle name="R04B 2" xfId="754"/>
    <cellStyle name="R04B 3" xfId="943"/>
    <cellStyle name="R04H" xfId="181"/>
    <cellStyle name="R04L" xfId="182"/>
    <cellStyle name="R05A" xfId="183"/>
    <cellStyle name="R05B" xfId="184"/>
    <cellStyle name="R05B 2" xfId="755"/>
    <cellStyle name="R05B 3" xfId="944"/>
    <cellStyle name="R05H" xfId="185"/>
    <cellStyle name="R05L" xfId="186"/>
    <cellStyle name="R05L 2" xfId="756"/>
    <cellStyle name="R05L 3" xfId="945"/>
    <cellStyle name="R06A" xfId="187"/>
    <cellStyle name="R06B" xfId="188"/>
    <cellStyle name="R06B 2" xfId="757"/>
    <cellStyle name="R06B 3" xfId="946"/>
    <cellStyle name="R06H" xfId="189"/>
    <cellStyle name="R06L" xfId="190"/>
    <cellStyle name="R07A" xfId="191"/>
    <cellStyle name="R07B" xfId="192"/>
    <cellStyle name="R07B 2" xfId="758"/>
    <cellStyle name="R07B 3" xfId="947"/>
    <cellStyle name="R07H" xfId="193"/>
    <cellStyle name="R07L" xfId="194"/>
    <cellStyle name="STYLE1" xfId="195"/>
    <cellStyle name="STYLE2" xfId="196"/>
    <cellStyle name="STYLE3" xfId="197"/>
    <cellStyle name="STYLE4" xfId="198"/>
    <cellStyle name="Title 2" xfId="696"/>
    <cellStyle name="Title 2 2" xfId="697"/>
    <cellStyle name="Title 2 3" xfId="698"/>
    <cellStyle name="Title 2 4" xfId="699"/>
    <cellStyle name="Title 2 5" xfId="700"/>
    <cellStyle name="Title 2 6" xfId="701"/>
    <cellStyle name="Title 2 7" xfId="702"/>
    <cellStyle name="Title 2 8" xfId="703"/>
    <cellStyle name="Total 2" xfId="704"/>
    <cellStyle name="Total 2 2" xfId="705"/>
    <cellStyle name="Total 2 3" xfId="706"/>
    <cellStyle name="Total 2 4" xfId="707"/>
    <cellStyle name="Total 2 5" xfId="708"/>
    <cellStyle name="Total 2 6" xfId="709"/>
    <cellStyle name="Total 2 7" xfId="710"/>
    <cellStyle name="Total 2 8" xfId="711"/>
    <cellStyle name="Total 2_Pulses" xfId="712"/>
    <cellStyle name="Warning Text 2" xfId="713"/>
    <cellStyle name="Warning Text 2 2" xfId="714"/>
    <cellStyle name="Warning Text 2 3" xfId="715"/>
    <cellStyle name="Warning Text 2 4" xfId="716"/>
    <cellStyle name="Warning Text 2 5" xfId="717"/>
    <cellStyle name="Warning Text 2 6" xfId="718"/>
    <cellStyle name="Warning Text 2 7" xfId="719"/>
    <cellStyle name="Warning Text 2 8" xfId="72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ower%20Supply/Attachment%20O/2016%20FLTY/Submitted%20&amp;%20Approved%20by%20MISO/2016%20WMU%20FLTY%20Attach%20O%20final%20submi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Attach O_WMU"/>
      <sheetName val="Balance sheet Sched 2"/>
      <sheetName val="Income Sched 3"/>
      <sheetName val="Plant Sched 4"/>
      <sheetName val="Taxes Sched 5"/>
      <sheetName val="Op &amp; Maint Sched 7"/>
      <sheetName val="Divisor"/>
      <sheetName val="Plant"/>
      <sheetName val="Dep Rates"/>
      <sheetName val="Adj to Rate Base"/>
      <sheetName val="Land Held for Future Use"/>
      <sheetName val="Materials and Prepayments"/>
      <sheetName val="Capital Structure"/>
      <sheetName val="Transmission O&amp;M"/>
      <sheetName val="Admin &amp; General"/>
      <sheetName val="FERC Fees"/>
      <sheetName val="EPRI Reg Comm Non Safety"/>
      <sheetName val="Taxes other than inc tax"/>
      <sheetName val="Wages &amp; Salaries"/>
      <sheetName val="Account 454"/>
      <sheetName val="Account 456.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0">
          <cell r="C40">
            <v>0</v>
          </cell>
        </row>
      </sheetData>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F12"/>
  <sheetViews>
    <sheetView tabSelected="1" topLeftCell="C1" workbookViewId="0">
      <selection activeCell="D21" sqref="D21"/>
    </sheetView>
  </sheetViews>
  <sheetFormatPr defaultRowHeight="15"/>
  <cols>
    <col min="4" max="4" width="28.5546875" customWidth="1"/>
    <col min="5" max="5" width="13.44140625" style="86" customWidth="1"/>
    <col min="6" max="6" width="6.109375" customWidth="1"/>
  </cols>
  <sheetData>
    <row r="3" spans="4:6" ht="18.75">
      <c r="D3" s="39" t="s">
        <v>330</v>
      </c>
      <c r="E3" s="88"/>
    </row>
    <row r="4" spans="4:6" ht="18.75">
      <c r="D4" s="39" t="s">
        <v>690</v>
      </c>
      <c r="E4" s="88"/>
    </row>
    <row r="5" spans="4:6" ht="18.75">
      <c r="D5" s="39" t="s">
        <v>689</v>
      </c>
      <c r="E5" s="88" t="s">
        <v>572</v>
      </c>
      <c r="F5" s="450">
        <v>2018</v>
      </c>
    </row>
    <row r="7" spans="4:6" ht="15.75">
      <c r="D7" s="263" t="s">
        <v>688</v>
      </c>
      <c r="E7" s="47">
        <v>43465</v>
      </c>
    </row>
    <row r="10" spans="4:6">
      <c r="D10" s="483"/>
    </row>
    <row r="11" spans="4:6">
      <c r="D11" s="483"/>
    </row>
    <row r="12" spans="4:6">
      <c r="D12" s="483"/>
    </row>
  </sheetData>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B4" sqref="B4:G4"/>
    </sheetView>
  </sheetViews>
  <sheetFormatPr defaultRowHeight="15"/>
  <cols>
    <col min="2" max="2" width="9" bestFit="1" customWidth="1"/>
    <col min="3" max="3" width="16.5546875" customWidth="1"/>
    <col min="4" max="4" width="14.21875" customWidth="1"/>
    <col min="5" max="5" width="11.88671875" customWidth="1"/>
    <col min="6" max="6" width="12.33203125" customWidth="1"/>
  </cols>
  <sheetData>
    <row r="1" spans="1:8" s="180" customFormat="1" ht="18.75">
      <c r="B1" s="568" t="s">
        <v>330</v>
      </c>
      <c r="C1" s="568"/>
      <c r="D1" s="568"/>
      <c r="E1" s="568"/>
      <c r="F1" s="568"/>
      <c r="G1" s="568"/>
    </row>
    <row r="2" spans="1:8" s="180" customFormat="1" ht="18.75">
      <c r="B2" s="568" t="s">
        <v>332</v>
      </c>
      <c r="C2" s="568"/>
      <c r="D2" s="568"/>
      <c r="E2" s="568"/>
      <c r="F2" s="568"/>
      <c r="G2" s="568"/>
    </row>
    <row r="3" spans="1:8" s="180" customFormat="1" ht="18.75">
      <c r="B3" s="568" t="s">
        <v>574</v>
      </c>
      <c r="C3" s="568"/>
      <c r="D3" s="568"/>
      <c r="E3" s="568"/>
      <c r="F3" s="568"/>
      <c r="G3" s="568"/>
    </row>
    <row r="4" spans="1:8" ht="18.75">
      <c r="A4" s="73"/>
      <c r="B4" s="569">
        <f>Coversheet!E7</f>
        <v>43465</v>
      </c>
      <c r="C4" s="569"/>
      <c r="D4" s="569"/>
      <c r="E4" s="569"/>
      <c r="F4" s="569"/>
      <c r="G4" s="569"/>
      <c r="H4" s="202"/>
    </row>
    <row r="5" spans="1:8" ht="18.75">
      <c r="A5" s="73"/>
      <c r="B5" s="62"/>
      <c r="C5" s="63"/>
      <c r="D5" s="63"/>
      <c r="E5" s="63"/>
      <c r="F5" s="63"/>
      <c r="G5" s="44"/>
    </row>
    <row r="6" spans="1:8" ht="18.75">
      <c r="A6" s="73"/>
      <c r="C6" s="63"/>
      <c r="D6" s="50" t="s">
        <v>331</v>
      </c>
      <c r="E6" s="51">
        <f>Coversheet!F5</f>
        <v>2018</v>
      </c>
      <c r="F6" s="44"/>
      <c r="G6" s="44"/>
    </row>
    <row r="7" spans="1:8" ht="18.75">
      <c r="A7" s="73"/>
      <c r="B7" s="63"/>
      <c r="C7" s="63"/>
      <c r="D7" s="63"/>
      <c r="E7" s="61"/>
      <c r="F7" s="44"/>
      <c r="G7" s="44"/>
    </row>
    <row r="8" spans="1:8" ht="47.25">
      <c r="A8" s="76"/>
      <c r="B8" s="60" t="s">
        <v>352</v>
      </c>
      <c r="C8" s="60" t="s">
        <v>353</v>
      </c>
      <c r="D8" s="60" t="s">
        <v>354</v>
      </c>
      <c r="E8" s="60" t="s">
        <v>371</v>
      </c>
      <c r="F8" s="60" t="s">
        <v>372</v>
      </c>
      <c r="G8" s="40"/>
    </row>
    <row r="9" spans="1:8" ht="18.75">
      <c r="A9" s="76"/>
      <c r="B9" s="58">
        <v>1</v>
      </c>
      <c r="C9" s="58" t="s">
        <v>356</v>
      </c>
      <c r="D9" s="58">
        <f>$E$6-1</f>
        <v>2017</v>
      </c>
      <c r="E9" s="57">
        <v>47165.42</v>
      </c>
      <c r="F9" s="57">
        <f>21797+300000+38533.39+15000+105000</f>
        <v>480330.39</v>
      </c>
      <c r="G9" s="40"/>
    </row>
    <row r="10" spans="1:8" ht="18.75">
      <c r="A10" s="73"/>
      <c r="B10" s="77">
        <v>2</v>
      </c>
      <c r="C10" s="77" t="s">
        <v>357</v>
      </c>
      <c r="D10" s="77">
        <f t="shared" ref="D10:D21" si="0">$E$6</f>
        <v>2018</v>
      </c>
      <c r="E10" s="57">
        <v>47165.42</v>
      </c>
      <c r="F10" s="57">
        <f>F9-3500-2266.67-18000</f>
        <v>456563.72000000003</v>
      </c>
      <c r="G10" s="44"/>
    </row>
    <row r="11" spans="1:8" ht="18.75">
      <c r="A11" s="73"/>
      <c r="B11" s="77">
        <v>3</v>
      </c>
      <c r="C11" s="77" t="s">
        <v>358</v>
      </c>
      <c r="D11" s="77">
        <f t="shared" si="0"/>
        <v>2018</v>
      </c>
      <c r="E11" s="57">
        <v>47165.42</v>
      </c>
      <c r="F11" s="57">
        <f t="shared" ref="F11:F14" si="1">F10-3500-2266.67-18000</f>
        <v>432797.05000000005</v>
      </c>
      <c r="G11" s="44"/>
    </row>
    <row r="12" spans="1:8" ht="18.75">
      <c r="A12" s="73"/>
      <c r="B12" s="77">
        <v>4</v>
      </c>
      <c r="C12" s="77" t="s">
        <v>359</v>
      </c>
      <c r="D12" s="77">
        <f t="shared" si="0"/>
        <v>2018</v>
      </c>
      <c r="E12" s="57">
        <v>47165.42</v>
      </c>
      <c r="F12" s="57">
        <f t="shared" si="1"/>
        <v>409030.38000000006</v>
      </c>
      <c r="G12" s="44"/>
    </row>
    <row r="13" spans="1:8" ht="18.75">
      <c r="A13" s="73"/>
      <c r="B13" s="77">
        <v>5</v>
      </c>
      <c r="C13" s="77" t="s">
        <v>360</v>
      </c>
      <c r="D13" s="77">
        <f t="shared" si="0"/>
        <v>2018</v>
      </c>
      <c r="E13" s="57">
        <v>47165.42</v>
      </c>
      <c r="F13" s="57">
        <f t="shared" si="1"/>
        <v>385263.71000000008</v>
      </c>
      <c r="G13" s="44"/>
    </row>
    <row r="14" spans="1:8" ht="18.75">
      <c r="A14" s="73"/>
      <c r="B14" s="77">
        <v>6</v>
      </c>
      <c r="C14" s="77" t="s">
        <v>361</v>
      </c>
      <c r="D14" s="77">
        <f t="shared" si="0"/>
        <v>2018</v>
      </c>
      <c r="E14" s="57">
        <v>47165.42</v>
      </c>
      <c r="F14" s="57">
        <f t="shared" si="1"/>
        <v>361497.0400000001</v>
      </c>
      <c r="G14" s="44"/>
    </row>
    <row r="15" spans="1:8" ht="18.75">
      <c r="A15" s="73"/>
      <c r="B15" s="77">
        <v>7</v>
      </c>
      <c r="C15" s="77" t="s">
        <v>362</v>
      </c>
      <c r="D15" s="77">
        <f t="shared" si="0"/>
        <v>2018</v>
      </c>
      <c r="E15" s="57">
        <v>47165.42</v>
      </c>
      <c r="F15" s="57">
        <f>F14-3500-2266.67-18000+300000</f>
        <v>637730.37000000011</v>
      </c>
      <c r="G15" s="44"/>
    </row>
    <row r="16" spans="1:8" ht="18.75">
      <c r="A16" s="73"/>
      <c r="B16" s="77">
        <v>8</v>
      </c>
      <c r="C16" s="77" t="s">
        <v>363</v>
      </c>
      <c r="D16" s="77">
        <f t="shared" si="0"/>
        <v>2018</v>
      </c>
      <c r="E16" s="57">
        <v>47165.42</v>
      </c>
      <c r="F16" s="57">
        <f>F15-3500-2266.67-25000</f>
        <v>606963.70000000007</v>
      </c>
      <c r="G16" s="44"/>
    </row>
    <row r="17" spans="1:7" ht="18.75">
      <c r="A17" s="73"/>
      <c r="B17" s="77">
        <v>9</v>
      </c>
      <c r="C17" s="77" t="s">
        <v>364</v>
      </c>
      <c r="D17" s="77">
        <f t="shared" si="0"/>
        <v>2018</v>
      </c>
      <c r="E17" s="57">
        <v>47165.42</v>
      </c>
      <c r="F17" s="57">
        <f>F16-3500-2266.67-25000</f>
        <v>576197.03</v>
      </c>
      <c r="G17" s="44"/>
    </row>
    <row r="18" spans="1:7" ht="18.75">
      <c r="A18" s="73"/>
      <c r="B18" s="77">
        <v>10</v>
      </c>
      <c r="C18" s="77" t="s">
        <v>365</v>
      </c>
      <c r="D18" s="77">
        <f t="shared" si="0"/>
        <v>2018</v>
      </c>
      <c r="E18" s="57">
        <v>47165.42</v>
      </c>
      <c r="F18" s="57">
        <f>F17-3500-2266.67-25000</f>
        <v>545430.36</v>
      </c>
      <c r="G18" s="44"/>
    </row>
    <row r="19" spans="1:7" ht="18.75">
      <c r="A19" s="73"/>
      <c r="B19" s="77">
        <v>11</v>
      </c>
      <c r="C19" s="77" t="s">
        <v>366</v>
      </c>
      <c r="D19" s="77">
        <f t="shared" si="0"/>
        <v>2018</v>
      </c>
      <c r="E19" s="57">
        <v>47165.42</v>
      </c>
      <c r="F19" s="57">
        <f>F18-3500-2266.67-25000</f>
        <v>514663.68999999994</v>
      </c>
      <c r="G19" s="44"/>
    </row>
    <row r="20" spans="1:7" ht="18.75">
      <c r="A20" s="73"/>
      <c r="B20" s="77">
        <v>12</v>
      </c>
      <c r="C20" s="77" t="s">
        <v>367</v>
      </c>
      <c r="D20" s="77">
        <f t="shared" si="0"/>
        <v>2018</v>
      </c>
      <c r="E20" s="57">
        <v>47165.42</v>
      </c>
      <c r="F20" s="57">
        <f>F19-3500-2266.67-25000</f>
        <v>483897.01999999996</v>
      </c>
      <c r="G20" s="44"/>
    </row>
    <row r="21" spans="1:7" ht="18.75">
      <c r="A21" s="73"/>
      <c r="B21" s="77">
        <v>13</v>
      </c>
      <c r="C21" s="77" t="s">
        <v>356</v>
      </c>
      <c r="D21" s="77">
        <f t="shared" si="0"/>
        <v>2018</v>
      </c>
      <c r="E21" s="57">
        <v>47165.42</v>
      </c>
      <c r="F21" s="57">
        <f>F20-3500-2266.67-25000+2140</f>
        <v>455270.35</v>
      </c>
      <c r="G21" s="44"/>
    </row>
    <row r="22" spans="1:7" ht="15.75">
      <c r="A22" s="73"/>
      <c r="B22" s="77">
        <v>14</v>
      </c>
      <c r="C22" s="56"/>
      <c r="D22" s="56"/>
      <c r="E22" s="56"/>
      <c r="F22" s="56"/>
      <c r="G22" s="56"/>
    </row>
    <row r="23" spans="1:7" ht="18.75">
      <c r="A23" s="73"/>
      <c r="B23" s="77">
        <v>15</v>
      </c>
      <c r="C23" s="75" t="s">
        <v>368</v>
      </c>
      <c r="D23" s="74"/>
      <c r="E23" s="53">
        <f>SUM(E9:E21)/13</f>
        <v>47165.42</v>
      </c>
      <c r="F23" s="52">
        <f>SUM(F9:F21)/13</f>
        <v>488125.75461538468</v>
      </c>
      <c r="G23" s="44"/>
    </row>
    <row r="24" spans="1:7" ht="18.75">
      <c r="A24" s="73"/>
      <c r="B24" s="56"/>
      <c r="C24" s="56"/>
      <c r="D24" s="56"/>
      <c r="E24" s="56"/>
      <c r="F24" s="56"/>
      <c r="G24" s="44"/>
    </row>
    <row r="25" spans="1:7" ht="18.75">
      <c r="A25" s="73"/>
      <c r="B25" s="56"/>
      <c r="C25" s="77" t="s">
        <v>373</v>
      </c>
      <c r="D25" s="77"/>
      <c r="E25" s="77" t="s">
        <v>374</v>
      </c>
      <c r="F25" s="77" t="s">
        <v>375</v>
      </c>
      <c r="G25" s="44"/>
    </row>
    <row r="26" spans="1:7" ht="18.75">
      <c r="A26" s="73"/>
      <c r="B26" s="56"/>
      <c r="C26" s="56"/>
      <c r="D26" s="56"/>
      <c r="E26" s="56"/>
      <c r="F26" s="56"/>
      <c r="G26" s="44"/>
    </row>
    <row r="27" spans="1:7" ht="18.75">
      <c r="A27" s="73"/>
      <c r="B27" s="56"/>
      <c r="C27" s="56"/>
      <c r="D27" s="56"/>
      <c r="E27" s="56"/>
      <c r="F27" s="56"/>
      <c r="G27" s="44"/>
    </row>
    <row r="28" spans="1:7" ht="18.75">
      <c r="A28" s="73"/>
      <c r="B28" s="44"/>
      <c r="C28" s="44"/>
      <c r="D28" s="44"/>
      <c r="E28" s="44"/>
      <c r="F28" s="44"/>
      <c r="G28" s="44"/>
    </row>
    <row r="29" spans="1:7">
      <c r="A29" s="73"/>
      <c r="B29" s="73"/>
      <c r="C29" s="73"/>
      <c r="D29" s="73"/>
      <c r="E29" s="73"/>
      <c r="F29" s="73"/>
      <c r="G29" s="73"/>
    </row>
    <row r="30" spans="1:7">
      <c r="A30" s="73"/>
      <c r="B30" s="73"/>
      <c r="C30" s="73"/>
      <c r="D30" s="73"/>
      <c r="E30" s="73"/>
      <c r="F30" s="73"/>
      <c r="G30" s="73"/>
    </row>
  </sheetData>
  <mergeCells count="4">
    <mergeCell ref="B1:G1"/>
    <mergeCell ref="B2:G2"/>
    <mergeCell ref="B3:G3"/>
    <mergeCell ref="B4:G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5" sqref="A5"/>
    </sheetView>
  </sheetViews>
  <sheetFormatPr defaultRowHeight="15"/>
  <cols>
    <col min="2" max="2" width="21.6640625" customWidth="1"/>
    <col min="3" max="3" width="10.6640625" bestFit="1" customWidth="1"/>
    <col min="4" max="6" width="15.44140625" customWidth="1"/>
  </cols>
  <sheetData>
    <row r="1" spans="1:6" ht="18.75">
      <c r="A1" s="568" t="s">
        <v>330</v>
      </c>
      <c r="B1" s="568"/>
      <c r="C1" s="568"/>
      <c r="D1" s="568"/>
      <c r="E1" s="568"/>
      <c r="F1" s="568"/>
    </row>
    <row r="2" spans="1:6" s="181" customFormat="1" ht="18.75">
      <c r="A2" s="568" t="s">
        <v>332</v>
      </c>
      <c r="B2" s="568"/>
      <c r="C2" s="568"/>
      <c r="D2" s="568"/>
      <c r="E2" s="568"/>
      <c r="F2" s="568"/>
    </row>
    <row r="3" spans="1:6" s="181" customFormat="1" ht="18.75">
      <c r="A3" s="568" t="s">
        <v>573</v>
      </c>
      <c r="B3" s="568"/>
      <c r="C3" s="568"/>
      <c r="D3" s="568"/>
      <c r="E3" s="568"/>
      <c r="F3" s="568"/>
    </row>
    <row r="4" spans="1:6" s="181" customFormat="1" ht="18.75">
      <c r="A4" s="569">
        <f>Coversheet!E7</f>
        <v>43465</v>
      </c>
      <c r="B4" s="569"/>
      <c r="C4" s="569"/>
      <c r="D4" s="569"/>
      <c r="E4" s="569"/>
      <c r="F4" s="569"/>
    </row>
    <row r="5" spans="1:6">
      <c r="A5" s="90"/>
      <c r="B5" s="90"/>
      <c r="C5" s="90"/>
      <c r="D5" s="90"/>
      <c r="E5" s="90"/>
      <c r="F5" s="90"/>
    </row>
    <row r="6" spans="1:6" ht="15.75">
      <c r="B6" s="91"/>
      <c r="C6" s="130" t="s">
        <v>331</v>
      </c>
      <c r="D6" s="42">
        <f>Coversheet!F5</f>
        <v>2018</v>
      </c>
      <c r="E6" s="93"/>
      <c r="F6" s="90"/>
    </row>
    <row r="7" spans="1:6" ht="15.75">
      <c r="A7" s="91"/>
      <c r="B7" s="91"/>
      <c r="C7" s="91"/>
      <c r="D7" s="93"/>
      <c r="E7" s="93"/>
      <c r="F7" s="90"/>
    </row>
    <row r="8" spans="1:6" ht="45">
      <c r="A8" s="94" t="s">
        <v>352</v>
      </c>
      <c r="B8" s="94" t="s">
        <v>353</v>
      </c>
      <c r="C8" s="94" t="s">
        <v>354</v>
      </c>
      <c r="D8" s="94" t="s">
        <v>430</v>
      </c>
      <c r="E8" s="94" t="s">
        <v>431</v>
      </c>
      <c r="F8" s="137" t="s">
        <v>432</v>
      </c>
    </row>
    <row r="9" spans="1:6">
      <c r="A9" s="100">
        <v>1</v>
      </c>
      <c r="B9" s="100" t="s">
        <v>356</v>
      </c>
      <c r="C9" s="100">
        <f>$D$6-1</f>
        <v>2017</v>
      </c>
      <c r="D9" s="107">
        <v>5500000</v>
      </c>
      <c r="E9" s="107">
        <v>0</v>
      </c>
      <c r="F9" s="107">
        <f>46336970-4091622+3000000</f>
        <v>45245348</v>
      </c>
    </row>
    <row r="10" spans="1:6">
      <c r="A10" s="96">
        <v>2</v>
      </c>
      <c r="B10" s="97" t="s">
        <v>357</v>
      </c>
      <c r="C10" s="96">
        <f t="shared" ref="C10:C21" si="0">$D$6</f>
        <v>2018</v>
      </c>
      <c r="D10" s="107">
        <v>5500000</v>
      </c>
      <c r="E10" s="107">
        <v>0</v>
      </c>
      <c r="F10" s="107">
        <f>F9+151137.41</f>
        <v>45396485.409999996</v>
      </c>
    </row>
    <row r="11" spans="1:6" ht="15.75">
      <c r="A11" s="96">
        <v>3</v>
      </c>
      <c r="B11" s="98" t="s">
        <v>358</v>
      </c>
      <c r="C11" s="96">
        <f t="shared" si="0"/>
        <v>2018</v>
      </c>
      <c r="D11" s="107">
        <v>5500000</v>
      </c>
      <c r="E11" s="107">
        <v>0</v>
      </c>
      <c r="F11" s="107">
        <f t="shared" ref="F11:F21" si="1">F10+151137.41</f>
        <v>45547622.819999993</v>
      </c>
    </row>
    <row r="12" spans="1:6" ht="15.75">
      <c r="A12" s="96">
        <v>4</v>
      </c>
      <c r="B12" s="98" t="s">
        <v>359</v>
      </c>
      <c r="C12" s="96">
        <f t="shared" si="0"/>
        <v>2018</v>
      </c>
      <c r="D12" s="107">
        <v>5500000</v>
      </c>
      <c r="E12" s="107">
        <v>0</v>
      </c>
      <c r="F12" s="107">
        <f t="shared" si="1"/>
        <v>45698760.229999989</v>
      </c>
    </row>
    <row r="13" spans="1:6" ht="15.75">
      <c r="A13" s="96">
        <v>5</v>
      </c>
      <c r="B13" s="98" t="s">
        <v>360</v>
      </c>
      <c r="C13" s="96">
        <f t="shared" si="0"/>
        <v>2018</v>
      </c>
      <c r="D13" s="107">
        <v>5500000</v>
      </c>
      <c r="E13" s="107">
        <v>0</v>
      </c>
      <c r="F13" s="107">
        <f t="shared" si="1"/>
        <v>45849897.639999986</v>
      </c>
    </row>
    <row r="14" spans="1:6" ht="15.75">
      <c r="A14" s="96">
        <v>6</v>
      </c>
      <c r="B14" s="98" t="s">
        <v>361</v>
      </c>
      <c r="C14" s="96">
        <f t="shared" si="0"/>
        <v>2018</v>
      </c>
      <c r="D14" s="107">
        <v>5500000</v>
      </c>
      <c r="E14" s="107">
        <v>0</v>
      </c>
      <c r="F14" s="107">
        <f t="shared" si="1"/>
        <v>46001035.049999982</v>
      </c>
    </row>
    <row r="15" spans="1:6" ht="15.75">
      <c r="A15" s="96">
        <v>7</v>
      </c>
      <c r="B15" s="98" t="s">
        <v>362</v>
      </c>
      <c r="C15" s="96">
        <f t="shared" si="0"/>
        <v>2018</v>
      </c>
      <c r="D15" s="107">
        <v>5500000</v>
      </c>
      <c r="E15" s="107">
        <v>0</v>
      </c>
      <c r="F15" s="107">
        <f t="shared" si="1"/>
        <v>46152172.459999979</v>
      </c>
    </row>
    <row r="16" spans="1:6" ht="15.75">
      <c r="A16" s="96">
        <v>8</v>
      </c>
      <c r="B16" s="98" t="s">
        <v>363</v>
      </c>
      <c r="C16" s="96">
        <f t="shared" si="0"/>
        <v>2018</v>
      </c>
      <c r="D16" s="107">
        <f>D15-575000</f>
        <v>4925000</v>
      </c>
      <c r="E16" s="107">
        <v>0</v>
      </c>
      <c r="F16" s="107">
        <f t="shared" si="1"/>
        <v>46303309.869999975</v>
      </c>
    </row>
    <row r="17" spans="1:6" ht="15.75">
      <c r="A17" s="96">
        <v>9</v>
      </c>
      <c r="B17" s="98" t="s">
        <v>364</v>
      </c>
      <c r="C17" s="96">
        <f t="shared" si="0"/>
        <v>2018</v>
      </c>
      <c r="D17" s="107">
        <v>4925000</v>
      </c>
      <c r="E17" s="107">
        <v>0</v>
      </c>
      <c r="F17" s="107">
        <f t="shared" si="1"/>
        <v>46454447.279999971</v>
      </c>
    </row>
    <row r="18" spans="1:6" ht="15.75">
      <c r="A18" s="96">
        <v>10</v>
      </c>
      <c r="B18" s="98" t="s">
        <v>365</v>
      </c>
      <c r="C18" s="96">
        <f t="shared" si="0"/>
        <v>2018</v>
      </c>
      <c r="D18" s="107">
        <v>4925000</v>
      </c>
      <c r="E18" s="107">
        <v>0</v>
      </c>
      <c r="F18" s="107">
        <f t="shared" si="1"/>
        <v>46605584.689999968</v>
      </c>
    </row>
    <row r="19" spans="1:6" ht="15.75">
      <c r="A19" s="96">
        <v>11</v>
      </c>
      <c r="B19" s="98" t="s">
        <v>366</v>
      </c>
      <c r="C19" s="96">
        <f t="shared" si="0"/>
        <v>2018</v>
      </c>
      <c r="D19" s="107">
        <v>4925000</v>
      </c>
      <c r="E19" s="107">
        <v>0</v>
      </c>
      <c r="F19" s="107">
        <f t="shared" si="1"/>
        <v>46756722.099999964</v>
      </c>
    </row>
    <row r="20" spans="1:6" ht="15.75">
      <c r="A20" s="96">
        <v>12</v>
      </c>
      <c r="B20" s="98" t="s">
        <v>367</v>
      </c>
      <c r="C20" s="96">
        <f t="shared" si="0"/>
        <v>2018</v>
      </c>
      <c r="D20" s="107">
        <v>4925000</v>
      </c>
      <c r="E20" s="107">
        <v>0</v>
      </c>
      <c r="F20" s="107">
        <f t="shared" si="1"/>
        <v>46907859.509999961</v>
      </c>
    </row>
    <row r="21" spans="1:6" ht="17.25">
      <c r="A21" s="96">
        <v>13</v>
      </c>
      <c r="B21" s="98" t="s">
        <v>356</v>
      </c>
      <c r="C21" s="96">
        <f t="shared" si="0"/>
        <v>2018</v>
      </c>
      <c r="D21" s="192">
        <v>4925000</v>
      </c>
      <c r="E21" s="110">
        <v>0</v>
      </c>
      <c r="F21" s="192">
        <f t="shared" si="1"/>
        <v>47058996.919999957</v>
      </c>
    </row>
    <row r="22" spans="1:6">
      <c r="A22" s="96">
        <v>14</v>
      </c>
      <c r="B22" s="90"/>
      <c r="C22" s="90"/>
      <c r="D22" s="90"/>
      <c r="E22" s="90"/>
      <c r="F22" s="138"/>
    </row>
    <row r="23" spans="1:6" ht="17.25">
      <c r="A23" s="96">
        <v>15</v>
      </c>
      <c r="B23" s="92" t="s">
        <v>368</v>
      </c>
      <c r="C23" s="99"/>
      <c r="D23" s="128">
        <f>SUM(D9:D21)/13</f>
        <v>5234615.384615385</v>
      </c>
      <c r="E23" s="128">
        <f>SUM(E9:E21)/13</f>
        <v>0</v>
      </c>
      <c r="F23" s="128">
        <f>SUM(F9:F21)/13</f>
        <v>46152172.459999971</v>
      </c>
    </row>
    <row r="24" spans="1:6">
      <c r="A24" s="90"/>
      <c r="B24" s="90"/>
      <c r="C24" s="90"/>
      <c r="D24" s="90"/>
      <c r="E24" s="90"/>
      <c r="F24" s="139"/>
    </row>
    <row r="25" spans="1:6">
      <c r="A25" s="90"/>
      <c r="B25" s="105" t="s">
        <v>433</v>
      </c>
      <c r="C25" s="105"/>
      <c r="D25" s="105" t="s">
        <v>434</v>
      </c>
      <c r="E25" s="105" t="s">
        <v>435</v>
      </c>
      <c r="F25" s="140" t="s">
        <v>436</v>
      </c>
    </row>
    <row r="26" spans="1:6">
      <c r="A26" s="90"/>
      <c r="B26" s="106"/>
      <c r="C26" s="90"/>
      <c r="D26" s="90"/>
      <c r="E26" s="90"/>
      <c r="F26" s="106"/>
    </row>
    <row r="27" spans="1:6">
      <c r="A27" s="90"/>
      <c r="B27" s="106"/>
      <c r="C27" s="106"/>
      <c r="D27" s="106"/>
      <c r="E27" s="106"/>
      <c r="F27" s="106"/>
    </row>
    <row r="28" spans="1:6">
      <c r="A28" s="90"/>
      <c r="B28" s="90"/>
      <c r="C28" s="90"/>
      <c r="D28" s="90"/>
      <c r="E28" s="90"/>
      <c r="F28" s="90"/>
    </row>
  </sheetData>
  <mergeCells count="4">
    <mergeCell ref="A1:F1"/>
    <mergeCell ref="A2:F2"/>
    <mergeCell ref="A3:F3"/>
    <mergeCell ref="A4:F4"/>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7" workbookViewId="0">
      <selection activeCell="E38" sqref="E38"/>
    </sheetView>
  </sheetViews>
  <sheetFormatPr defaultRowHeight="15"/>
  <cols>
    <col min="1" max="1" width="61.77734375" customWidth="1"/>
    <col min="2" max="2" width="7.88671875" customWidth="1"/>
    <col min="3" max="3" width="13.5546875" customWidth="1"/>
    <col min="7" max="7" width="9.6640625" customWidth="1"/>
    <col min="9" max="9" width="10.88671875" bestFit="1" customWidth="1"/>
    <col min="11" max="11" width="12.77734375" customWidth="1"/>
  </cols>
  <sheetData>
    <row r="1" spans="1:9" s="183" customFormat="1" ht="18.75">
      <c r="A1" s="568" t="s">
        <v>330</v>
      </c>
      <c r="B1" s="568"/>
      <c r="C1" s="568"/>
      <c r="D1" s="568"/>
      <c r="E1" s="72"/>
      <c r="F1" s="72"/>
      <c r="G1" s="72"/>
      <c r="H1" s="72"/>
    </row>
    <row r="2" spans="1:9" s="183" customFormat="1" ht="18.75">
      <c r="A2" s="568" t="s">
        <v>332</v>
      </c>
      <c r="B2" s="568"/>
      <c r="C2" s="568"/>
      <c r="D2" s="568"/>
      <c r="E2" s="72"/>
      <c r="F2" s="72"/>
    </row>
    <row r="3" spans="1:9" s="182" customFormat="1" ht="18.75">
      <c r="A3" s="568" t="s">
        <v>580</v>
      </c>
      <c r="B3" s="568"/>
      <c r="C3" s="568"/>
      <c r="D3" s="568"/>
      <c r="E3" s="72"/>
      <c r="F3" s="72"/>
    </row>
    <row r="4" spans="1:9" s="182" customFormat="1" ht="18.75">
      <c r="A4" s="569">
        <f>Coversheet!E7</f>
        <v>43465</v>
      </c>
      <c r="B4" s="569"/>
      <c r="C4" s="569"/>
      <c r="D4" s="569"/>
      <c r="E4" s="43"/>
      <c r="F4" s="43"/>
    </row>
    <row r="5" spans="1:9" ht="18.75" customHeight="1">
      <c r="A5" s="130"/>
      <c r="B5" s="122"/>
      <c r="C5" s="160"/>
      <c r="D5" s="121"/>
      <c r="E5" s="89"/>
      <c r="F5" s="89"/>
      <c r="G5" s="89"/>
      <c r="H5" s="89"/>
    </row>
    <row r="6" spans="1:9" ht="18.75">
      <c r="A6" s="130"/>
      <c r="B6" s="42"/>
      <c r="C6" s="160"/>
      <c r="D6" s="121"/>
      <c r="E6" s="89"/>
      <c r="F6" s="89"/>
      <c r="G6" s="89"/>
      <c r="H6" s="89"/>
    </row>
    <row r="7" spans="1:9" ht="15.75">
      <c r="A7" s="89"/>
      <c r="B7" s="89"/>
      <c r="C7" s="161"/>
      <c r="D7" s="89"/>
      <c r="E7" s="89"/>
      <c r="F7" s="89"/>
      <c r="G7" s="89"/>
      <c r="H7" s="89"/>
    </row>
    <row r="8" spans="1:9" ht="15.75">
      <c r="A8" s="54" t="s">
        <v>437</v>
      </c>
      <c r="B8" s="89"/>
      <c r="C8" s="54" t="s">
        <v>7</v>
      </c>
      <c r="D8" s="89"/>
      <c r="E8" s="89"/>
      <c r="F8" s="89"/>
      <c r="G8" s="188"/>
      <c r="H8" s="89"/>
    </row>
    <row r="9" spans="1:9" ht="15.75">
      <c r="A9" s="226" t="s">
        <v>369</v>
      </c>
      <c r="B9" s="112"/>
      <c r="C9" s="161"/>
      <c r="D9" s="89"/>
      <c r="E9" s="89"/>
      <c r="F9" s="89"/>
      <c r="G9" s="188"/>
      <c r="H9" s="89"/>
    </row>
    <row r="10" spans="1:9" ht="15.75">
      <c r="A10" s="227" t="s">
        <v>438</v>
      </c>
      <c r="B10" s="112"/>
      <c r="C10" s="162">
        <v>82745</v>
      </c>
      <c r="D10" s="89"/>
      <c r="E10" s="89"/>
      <c r="F10" s="89"/>
      <c r="G10" s="188"/>
      <c r="H10" s="89"/>
    </row>
    <row r="11" spans="1:9" ht="15.75">
      <c r="A11" s="227" t="s">
        <v>439</v>
      </c>
      <c r="B11" s="112"/>
      <c r="C11" s="162">
        <v>0</v>
      </c>
      <c r="D11" s="89"/>
      <c r="E11" s="89"/>
      <c r="F11" s="89"/>
      <c r="G11" s="188"/>
      <c r="H11" s="89"/>
    </row>
    <row r="12" spans="1:9" ht="15.75">
      <c r="A12" s="227" t="s">
        <v>440</v>
      </c>
      <c r="B12" s="112"/>
      <c r="C12" s="163">
        <v>0</v>
      </c>
      <c r="D12" s="89" t="s">
        <v>441</v>
      </c>
      <c r="E12" s="89"/>
      <c r="F12" s="89"/>
      <c r="G12" s="188"/>
      <c r="H12" s="89"/>
    </row>
    <row r="13" spans="1:9" ht="15.75">
      <c r="A13" s="227" t="s">
        <v>442</v>
      </c>
      <c r="B13" s="112"/>
      <c r="C13" s="163">
        <v>0</v>
      </c>
      <c r="D13" s="89" t="s">
        <v>441</v>
      </c>
      <c r="E13" s="89"/>
      <c r="F13" s="89"/>
      <c r="G13" s="188"/>
      <c r="H13" s="89"/>
    </row>
    <row r="14" spans="1:9" ht="15.75">
      <c r="A14" s="227" t="s">
        <v>443</v>
      </c>
      <c r="B14" s="112"/>
      <c r="C14" s="163">
        <v>0</v>
      </c>
      <c r="D14" s="89" t="s">
        <v>441</v>
      </c>
      <c r="E14" s="89"/>
      <c r="F14" s="89"/>
      <c r="G14" s="188"/>
      <c r="H14" s="89"/>
    </row>
    <row r="15" spans="1:9" ht="15.75">
      <c r="A15" s="227" t="s">
        <v>444</v>
      </c>
      <c r="B15" s="112"/>
      <c r="C15" s="163">
        <v>0</v>
      </c>
      <c r="D15" s="89" t="s">
        <v>445</v>
      </c>
      <c r="E15" s="89"/>
      <c r="F15" s="89"/>
      <c r="G15" s="573" t="s">
        <v>278</v>
      </c>
      <c r="H15" s="573"/>
      <c r="I15" s="573"/>
    </row>
    <row r="16" spans="1:9" ht="15.75">
      <c r="A16" s="227" t="s">
        <v>446</v>
      </c>
      <c r="B16" s="112"/>
      <c r="C16" s="162">
        <v>32432</v>
      </c>
      <c r="D16" s="89"/>
      <c r="E16" s="89"/>
      <c r="F16" s="89"/>
      <c r="G16" s="573"/>
      <c r="H16" s="573"/>
      <c r="I16" s="573"/>
    </row>
    <row r="17" spans="1:10" ht="15.75">
      <c r="A17" s="227" t="s">
        <v>447</v>
      </c>
      <c r="B17" s="112"/>
      <c r="C17" s="162"/>
      <c r="D17" s="89"/>
      <c r="E17" s="89"/>
      <c r="F17" s="89"/>
      <c r="G17" s="573"/>
      <c r="H17" s="573"/>
      <c r="I17" s="573"/>
    </row>
    <row r="18" spans="1:10" ht="15.75">
      <c r="A18" s="227" t="s">
        <v>448</v>
      </c>
      <c r="B18" s="112"/>
      <c r="C18" s="162"/>
      <c r="D18" s="89"/>
      <c r="E18" s="89"/>
      <c r="F18" s="89"/>
      <c r="G18" s="573"/>
      <c r="H18" s="573"/>
      <c r="I18" s="573"/>
    </row>
    <row r="19" spans="1:10" ht="15.75">
      <c r="A19" s="227" t="s">
        <v>449</v>
      </c>
      <c r="B19" s="112"/>
      <c r="C19" s="163">
        <v>0</v>
      </c>
      <c r="D19" s="89" t="s">
        <v>445</v>
      </c>
      <c r="E19" s="89"/>
      <c r="F19" s="89"/>
      <c r="G19" s="573"/>
      <c r="H19" s="573"/>
      <c r="I19" s="573"/>
    </row>
    <row r="20" spans="1:10" ht="15.75">
      <c r="A20" s="227" t="s">
        <v>450</v>
      </c>
      <c r="B20" s="112"/>
      <c r="C20" s="162">
        <v>47788</v>
      </c>
      <c r="D20" s="89"/>
      <c r="E20" s="89"/>
      <c r="F20" s="89"/>
      <c r="G20" s="573"/>
      <c r="H20" s="573"/>
      <c r="I20" s="573"/>
    </row>
    <row r="21" spans="1:10" ht="15.75">
      <c r="A21" s="227" t="s">
        <v>451</v>
      </c>
      <c r="B21" s="112"/>
      <c r="C21" s="162">
        <v>31519</v>
      </c>
      <c r="D21" s="89"/>
      <c r="E21" s="89"/>
      <c r="F21" s="89"/>
      <c r="G21" s="188"/>
      <c r="H21" s="89"/>
    </row>
    <row r="22" spans="1:10" ht="15.75">
      <c r="A22" s="227" t="s">
        <v>452</v>
      </c>
      <c r="B22" s="112"/>
      <c r="C22" s="162"/>
      <c r="D22" s="89"/>
      <c r="E22" s="89"/>
      <c r="F22" s="89"/>
      <c r="G22" s="188"/>
      <c r="H22" s="89"/>
    </row>
    <row r="23" spans="1:10" ht="15.75">
      <c r="A23" s="227" t="s">
        <v>453</v>
      </c>
      <c r="B23" s="112"/>
      <c r="C23" s="164">
        <v>2880000</v>
      </c>
      <c r="D23" s="89" t="s">
        <v>454</v>
      </c>
      <c r="E23" s="89"/>
      <c r="F23" s="89"/>
      <c r="G23" s="188"/>
      <c r="H23" s="188"/>
    </row>
    <row r="24" spans="1:10" ht="15.75">
      <c r="A24" s="227" t="s">
        <v>455</v>
      </c>
      <c r="B24" s="112"/>
      <c r="C24" s="162">
        <v>16905</v>
      </c>
      <c r="D24" s="89"/>
      <c r="E24" s="89"/>
      <c r="F24" s="89"/>
      <c r="G24" s="188"/>
      <c r="H24" s="188"/>
      <c r="I24" s="488"/>
      <c r="J24" s="488"/>
    </row>
    <row r="25" spans="1:10" ht="16.5" thickBot="1">
      <c r="A25" s="227" t="s">
        <v>456</v>
      </c>
      <c r="B25" s="112"/>
      <c r="C25" s="165">
        <v>0</v>
      </c>
      <c r="D25" s="89"/>
      <c r="E25" s="89"/>
      <c r="F25" s="89"/>
      <c r="G25" s="188"/>
      <c r="H25" s="188"/>
      <c r="I25" s="488"/>
      <c r="J25" s="488"/>
    </row>
    <row r="26" spans="1:10" ht="15.75">
      <c r="A26" s="228" t="s">
        <v>457</v>
      </c>
      <c r="B26" s="112"/>
      <c r="C26" s="162">
        <f>SUM(C10:C25)</f>
        <v>3091389</v>
      </c>
      <c r="D26" s="193"/>
      <c r="E26" s="89"/>
      <c r="F26" s="89"/>
      <c r="G26" s="188"/>
      <c r="H26" s="188"/>
      <c r="I26" s="488"/>
      <c r="J26" s="488"/>
    </row>
    <row r="27" spans="1:10" ht="15.75">
      <c r="A27" s="226" t="s">
        <v>370</v>
      </c>
      <c r="B27" s="112"/>
      <c r="C27" s="162"/>
      <c r="D27" s="89"/>
      <c r="E27" s="89"/>
      <c r="F27" s="89"/>
      <c r="G27" s="188"/>
      <c r="H27" s="188"/>
      <c r="I27" s="488"/>
      <c r="J27" s="488"/>
    </row>
    <row r="28" spans="1:10" ht="15.75">
      <c r="A28" s="227" t="s">
        <v>458</v>
      </c>
      <c r="B28" s="112"/>
      <c r="C28" s="162">
        <v>0</v>
      </c>
      <c r="D28" s="89"/>
      <c r="E28" s="89"/>
      <c r="F28" s="89"/>
      <c r="G28" s="188"/>
      <c r="H28" s="188"/>
      <c r="I28" s="488"/>
      <c r="J28" s="488"/>
    </row>
    <row r="29" spans="1:10" ht="15.75">
      <c r="A29" s="227" t="s">
        <v>459</v>
      </c>
      <c r="B29" s="112"/>
      <c r="C29" s="162">
        <v>0</v>
      </c>
      <c r="D29" s="89"/>
      <c r="E29" s="89"/>
      <c r="F29" s="89"/>
      <c r="G29" s="188"/>
      <c r="H29" s="188"/>
      <c r="I29" s="488"/>
      <c r="J29" s="488"/>
    </row>
    <row r="30" spans="1:10" ht="15.75">
      <c r="A30" s="227" t="s">
        <v>460</v>
      </c>
      <c r="B30" s="112"/>
      <c r="C30" s="162">
        <v>0</v>
      </c>
      <c r="D30" s="89"/>
      <c r="E30" s="89"/>
      <c r="F30" s="89"/>
      <c r="G30" s="188"/>
      <c r="H30" s="188"/>
      <c r="I30" s="488"/>
      <c r="J30" s="488"/>
    </row>
    <row r="31" spans="1:10" ht="15.75">
      <c r="A31" s="227" t="s">
        <v>461</v>
      </c>
      <c r="B31" s="112"/>
      <c r="C31" s="162">
        <v>0</v>
      </c>
      <c r="D31" s="89"/>
      <c r="E31" s="89"/>
      <c r="F31" s="89"/>
      <c r="G31" s="188"/>
      <c r="H31" s="188"/>
      <c r="I31" s="488"/>
      <c r="J31" s="488"/>
    </row>
    <row r="32" spans="1:10" ht="15.75">
      <c r="A32" s="227" t="s">
        <v>462</v>
      </c>
      <c r="B32" s="112"/>
      <c r="C32" s="162">
        <v>0</v>
      </c>
      <c r="D32" s="89"/>
      <c r="E32" s="89"/>
      <c r="F32" s="89"/>
      <c r="G32" s="188"/>
      <c r="H32" s="188"/>
      <c r="I32" s="488"/>
      <c r="J32" s="488"/>
    </row>
    <row r="33" spans="1:8" ht="15.75">
      <c r="A33" s="227" t="s">
        <v>463</v>
      </c>
      <c r="B33" s="112"/>
      <c r="C33" s="162">
        <v>0</v>
      </c>
      <c r="D33" s="89"/>
      <c r="E33" s="89"/>
      <c r="F33" s="89"/>
      <c r="G33" s="578"/>
      <c r="H33" s="89"/>
    </row>
    <row r="34" spans="1:8" ht="15.75">
      <c r="A34" s="227" t="s">
        <v>464</v>
      </c>
      <c r="B34" s="112"/>
      <c r="C34" s="162">
        <v>0</v>
      </c>
      <c r="D34" s="89"/>
      <c r="E34" s="89"/>
      <c r="F34" s="89"/>
      <c r="G34" s="578"/>
      <c r="H34" s="89"/>
    </row>
    <row r="35" spans="1:8" ht="15.75">
      <c r="A35" s="227" t="s">
        <v>465</v>
      </c>
      <c r="B35" s="112"/>
      <c r="C35" s="162">
        <v>0</v>
      </c>
      <c r="D35" s="89"/>
      <c r="E35" s="89"/>
      <c r="F35" s="89"/>
      <c r="G35" s="578"/>
      <c r="H35" s="89"/>
    </row>
    <row r="36" spans="1:8" ht="15.75">
      <c r="A36" s="227" t="s">
        <v>466</v>
      </c>
      <c r="B36" s="112"/>
      <c r="C36" s="162">
        <v>82206</v>
      </c>
      <c r="D36" s="89"/>
      <c r="E36" s="89"/>
      <c r="F36" s="89"/>
      <c r="G36" s="578"/>
      <c r="H36" s="89"/>
    </row>
    <row r="37" spans="1:8" ht="17.25">
      <c r="A37" s="227" t="s">
        <v>467</v>
      </c>
      <c r="B37" s="112"/>
      <c r="C37" s="166">
        <v>19437</v>
      </c>
      <c r="D37" s="89"/>
      <c r="E37" s="89"/>
      <c r="F37" s="89"/>
      <c r="G37" s="188"/>
      <c r="H37" s="89"/>
    </row>
    <row r="38" spans="1:8" ht="17.25">
      <c r="A38" s="228" t="s">
        <v>468</v>
      </c>
      <c r="B38" s="112"/>
      <c r="C38" s="166">
        <f>SUM(C28:C37)</f>
        <v>101643</v>
      </c>
      <c r="D38" s="89"/>
      <c r="E38" s="89"/>
      <c r="F38" s="89"/>
      <c r="G38" s="188"/>
      <c r="H38" s="89"/>
    </row>
    <row r="39" spans="1:8" ht="17.25">
      <c r="A39" s="227"/>
      <c r="B39" s="112"/>
      <c r="C39" s="166"/>
      <c r="D39" s="89"/>
      <c r="E39" s="89"/>
      <c r="F39" s="89"/>
      <c r="G39" s="188"/>
      <c r="H39" s="89"/>
    </row>
    <row r="40" spans="1:8" ht="15.75">
      <c r="A40" s="89"/>
      <c r="B40" s="89"/>
      <c r="C40" s="167"/>
      <c r="D40" s="89"/>
      <c r="E40" s="89"/>
      <c r="F40" s="89"/>
      <c r="G40" s="188"/>
      <c r="H40" s="89"/>
    </row>
    <row r="41" spans="1:8" ht="15.75">
      <c r="A41" s="113" t="s">
        <v>469</v>
      </c>
      <c r="B41" s="89"/>
      <c r="C41" s="168">
        <f>C26+C38</f>
        <v>3193032</v>
      </c>
      <c r="D41" s="89" t="s">
        <v>470</v>
      </c>
      <c r="E41" s="89"/>
      <c r="F41" s="89"/>
      <c r="G41" s="188"/>
      <c r="H41" s="89"/>
    </row>
    <row r="42" spans="1:8" ht="15.75">
      <c r="A42" s="89"/>
      <c r="B42" s="89"/>
      <c r="C42" s="167"/>
      <c r="D42" s="89"/>
      <c r="E42" s="89"/>
      <c r="F42" s="89"/>
      <c r="G42" s="188"/>
      <c r="H42" s="89"/>
    </row>
    <row r="43" spans="1:8" ht="15.75">
      <c r="A43" s="89"/>
      <c r="B43" s="127"/>
      <c r="C43" s="169"/>
      <c r="D43" s="127"/>
      <c r="E43" s="89"/>
      <c r="F43" s="89"/>
      <c r="G43" s="188"/>
      <c r="H43" s="89"/>
    </row>
    <row r="44" spans="1:8" ht="15.75">
      <c r="A44" s="114" t="s">
        <v>471</v>
      </c>
      <c r="B44" s="89"/>
      <c r="C44" s="161"/>
      <c r="D44" s="89"/>
      <c r="E44" s="89"/>
      <c r="F44" s="89"/>
      <c r="G44" s="89"/>
      <c r="H44" s="89"/>
    </row>
    <row r="45" spans="1:8" ht="15.75">
      <c r="A45" s="141" t="s">
        <v>472</v>
      </c>
      <c r="B45" s="127"/>
      <c r="C45" s="207"/>
      <c r="D45" s="127"/>
      <c r="E45" s="89"/>
      <c r="F45" s="89"/>
      <c r="G45" s="89"/>
      <c r="H45" s="89"/>
    </row>
    <row r="46" spans="1:8" ht="15.75">
      <c r="A46" s="208" t="s">
        <v>598</v>
      </c>
      <c r="B46" s="127"/>
      <c r="C46" s="207"/>
      <c r="D46" s="127"/>
      <c r="E46" s="89"/>
      <c r="F46" s="89"/>
      <c r="G46" s="89"/>
      <c r="H46" s="89"/>
    </row>
    <row r="47" spans="1:8" ht="15.75">
      <c r="A47" s="141" t="s">
        <v>473</v>
      </c>
      <c r="B47" s="127"/>
      <c r="C47" s="207"/>
      <c r="D47" s="127"/>
      <c r="E47" s="89"/>
      <c r="F47" s="89"/>
      <c r="G47" s="89"/>
      <c r="H47" s="89"/>
    </row>
    <row r="48" spans="1:8" ht="45">
      <c r="A48" s="209" t="s">
        <v>599</v>
      </c>
      <c r="B48" s="127"/>
      <c r="C48" s="207"/>
      <c r="D48" s="127"/>
      <c r="E48" s="89"/>
      <c r="F48" s="89"/>
      <c r="G48" s="89"/>
      <c r="H48" s="89"/>
    </row>
    <row r="49" spans="1:8" ht="15.75">
      <c r="A49" s="210" t="s">
        <v>600</v>
      </c>
      <c r="B49" s="127"/>
      <c r="C49" s="207"/>
      <c r="D49" s="127"/>
      <c r="E49" s="89"/>
      <c r="F49" s="89"/>
      <c r="G49" s="89"/>
      <c r="H49" s="89"/>
    </row>
    <row r="50" spans="1:8" ht="15.75">
      <c r="A50" s="211" t="s">
        <v>601</v>
      </c>
      <c r="B50" s="127"/>
      <c r="C50" s="207"/>
      <c r="D50" s="127"/>
      <c r="E50" s="89"/>
      <c r="F50" s="89"/>
      <c r="G50" s="89"/>
      <c r="H50" s="89"/>
    </row>
    <row r="51" spans="1:8" ht="15.75">
      <c r="A51" s="210" t="s">
        <v>602</v>
      </c>
      <c r="B51" s="127"/>
      <c r="C51" s="207"/>
      <c r="D51" s="127"/>
      <c r="E51" s="89"/>
      <c r="F51" s="89"/>
      <c r="G51" s="89"/>
      <c r="H51" s="89"/>
    </row>
    <row r="52" spans="1:8" ht="15.75">
      <c r="A52" s="212" t="s">
        <v>603</v>
      </c>
      <c r="B52" s="127"/>
      <c r="C52" s="207"/>
      <c r="D52" s="127"/>
      <c r="E52" s="89"/>
      <c r="F52" s="89"/>
      <c r="G52" s="89"/>
      <c r="H52" s="89"/>
    </row>
    <row r="53" spans="1:8" ht="15.75">
      <c r="A53" s="213" t="s">
        <v>606</v>
      </c>
      <c r="B53" s="127"/>
      <c r="C53" s="207"/>
      <c r="D53" s="127"/>
      <c r="E53" s="89"/>
      <c r="F53" s="89"/>
      <c r="G53" s="89"/>
      <c r="H53" s="89"/>
    </row>
    <row r="54" spans="1:8" ht="15.75">
      <c r="A54" s="129"/>
      <c r="B54" s="89"/>
      <c r="C54" s="161"/>
      <c r="D54" s="89"/>
      <c r="E54" s="89"/>
      <c r="F54" s="89"/>
      <c r="G54" s="89"/>
      <c r="H54" s="89"/>
    </row>
    <row r="55" spans="1:8" ht="15.75">
      <c r="B55" s="89"/>
      <c r="C55" s="161"/>
      <c r="D55" s="89"/>
      <c r="E55" s="89"/>
      <c r="F55" s="89"/>
      <c r="G55" s="89"/>
      <c r="H55" s="89"/>
    </row>
    <row r="56" spans="1:8" ht="15.75">
      <c r="A56" s="129"/>
      <c r="B56" s="89"/>
      <c r="C56" s="161"/>
      <c r="D56" s="89"/>
      <c r="E56" s="89"/>
      <c r="F56" s="89"/>
      <c r="G56" s="89"/>
      <c r="H56" s="89"/>
    </row>
    <row r="57" spans="1:8" ht="15.75">
      <c r="A57" s="113"/>
      <c r="B57" s="89"/>
      <c r="C57" s="161"/>
      <c r="D57" s="89"/>
      <c r="E57" s="89"/>
      <c r="F57" s="89"/>
      <c r="G57" s="89"/>
      <c r="H57" s="89"/>
    </row>
    <row r="58" spans="1:8" ht="15.75">
      <c r="A58" s="113"/>
      <c r="B58" s="89"/>
      <c r="C58" s="161"/>
      <c r="D58" s="89"/>
      <c r="E58" s="89"/>
      <c r="F58" s="89"/>
      <c r="G58" s="89"/>
      <c r="H58" s="89"/>
    </row>
  </sheetData>
  <mergeCells count="5">
    <mergeCell ref="A1:D1"/>
    <mergeCell ref="A2:D2"/>
    <mergeCell ref="A3:D3"/>
    <mergeCell ref="A4:D4"/>
    <mergeCell ref="G15:I20"/>
  </mergeCells>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2"/>
  <sheetViews>
    <sheetView workbookViewId="0">
      <selection sqref="A1:C4"/>
    </sheetView>
  </sheetViews>
  <sheetFormatPr defaultRowHeight="15"/>
  <cols>
    <col min="1" max="1" width="54.88671875" customWidth="1"/>
    <col min="2" max="2" width="10.33203125" customWidth="1"/>
    <col min="3" max="3" width="13.21875" customWidth="1"/>
    <col min="4" max="4" width="9.5546875" bestFit="1" customWidth="1"/>
  </cols>
  <sheetData>
    <row r="1" spans="1:9" s="184" customFormat="1" ht="18.75" customHeight="1">
      <c r="A1" s="568" t="s">
        <v>330</v>
      </c>
      <c r="B1" s="568"/>
      <c r="C1" s="568"/>
      <c r="D1" s="72"/>
      <c r="E1" s="72"/>
      <c r="F1" s="72"/>
    </row>
    <row r="2" spans="1:9" s="184" customFormat="1" ht="18.75">
      <c r="A2" s="568" t="s">
        <v>332</v>
      </c>
      <c r="B2" s="568"/>
      <c r="C2" s="568"/>
      <c r="D2" s="72"/>
      <c r="E2" s="72"/>
      <c r="F2" s="72"/>
    </row>
    <row r="3" spans="1:9" s="184" customFormat="1" ht="18.75">
      <c r="A3" s="568" t="s">
        <v>581</v>
      </c>
      <c r="B3" s="568"/>
      <c r="C3" s="568"/>
      <c r="D3" s="72"/>
      <c r="E3" s="72"/>
      <c r="F3" s="72"/>
    </row>
    <row r="4" spans="1:9" ht="18.75">
      <c r="A4" s="569">
        <f>Coversheet!E7</f>
        <v>43465</v>
      </c>
      <c r="B4" s="569"/>
      <c r="C4" s="569"/>
      <c r="D4" s="43"/>
      <c r="E4" s="43"/>
      <c r="F4" s="43"/>
      <c r="G4" s="89"/>
      <c r="H4" s="89"/>
      <c r="I4" s="89"/>
    </row>
    <row r="5" spans="1:9" ht="18.75">
      <c r="A5" s="88"/>
      <c r="B5" s="89"/>
      <c r="C5" s="170"/>
      <c r="D5" s="89"/>
      <c r="E5" s="89"/>
      <c r="F5" s="89"/>
      <c r="G5" s="89"/>
      <c r="H5" s="89"/>
      <c r="I5" s="89"/>
    </row>
    <row r="6" spans="1:9" ht="18.75">
      <c r="A6" s="88"/>
      <c r="B6" s="89"/>
      <c r="C6" s="170"/>
      <c r="D6" s="89"/>
      <c r="E6" s="89"/>
      <c r="F6" s="89"/>
      <c r="G6" s="89"/>
      <c r="H6" s="89"/>
      <c r="I6" s="89"/>
    </row>
    <row r="7" spans="1:9" ht="15.75">
      <c r="A7" s="54" t="s">
        <v>474</v>
      </c>
      <c r="B7" s="89"/>
      <c r="C7" s="237" t="s">
        <v>7</v>
      </c>
      <c r="D7" s="89"/>
      <c r="E7" s="89"/>
      <c r="F7" s="89"/>
      <c r="G7" s="89"/>
      <c r="H7" s="89"/>
      <c r="I7" s="89"/>
    </row>
    <row r="8" spans="1:9" ht="18">
      <c r="A8" s="54"/>
      <c r="B8" s="89"/>
      <c r="C8" s="238" t="s">
        <v>597</v>
      </c>
      <c r="D8" s="111"/>
      <c r="E8" s="89"/>
      <c r="F8" s="89"/>
      <c r="G8" s="89"/>
      <c r="H8" s="89"/>
      <c r="I8" s="89"/>
    </row>
    <row r="9" spans="1:9" ht="15.75">
      <c r="A9" s="135" t="s">
        <v>475</v>
      </c>
      <c r="B9" s="112"/>
      <c r="C9" s="239"/>
      <c r="D9" s="89"/>
      <c r="E9" s="89"/>
      <c r="F9" s="89"/>
      <c r="G9" s="89"/>
      <c r="H9" s="89"/>
      <c r="I9" s="89"/>
    </row>
    <row r="10" spans="1:9" ht="15.75">
      <c r="A10" s="235" t="s">
        <v>476</v>
      </c>
      <c r="B10" s="112"/>
      <c r="C10" s="239">
        <f>71500*0.77</f>
        <v>55055</v>
      </c>
      <c r="D10" s="89"/>
      <c r="E10" s="89"/>
      <c r="F10" s="89"/>
      <c r="G10" s="89"/>
      <c r="H10" s="89"/>
      <c r="I10" s="89"/>
    </row>
    <row r="11" spans="1:9" ht="15.75">
      <c r="A11" s="235" t="s">
        <v>477</v>
      </c>
      <c r="B11" s="112"/>
      <c r="C11" s="239">
        <f>234200*0.77</f>
        <v>180334</v>
      </c>
      <c r="D11" s="249">
        <f>C10+C11</f>
        <v>235389</v>
      </c>
      <c r="E11" s="247" t="s">
        <v>482</v>
      </c>
      <c r="F11" s="247"/>
      <c r="G11" s="247"/>
      <c r="H11" s="89"/>
      <c r="I11" s="89"/>
    </row>
    <row r="12" spans="1:9" ht="15.75">
      <c r="A12" s="235" t="s">
        <v>478</v>
      </c>
      <c r="B12" s="112"/>
      <c r="C12" s="239">
        <f>316500*0.77</f>
        <v>243705</v>
      </c>
      <c r="D12" s="247"/>
      <c r="E12" s="247"/>
      <c r="F12" s="247"/>
      <c r="G12" s="247"/>
      <c r="H12" s="89"/>
      <c r="I12" s="89"/>
    </row>
    <row r="13" spans="1:9" ht="15.75">
      <c r="A13" s="235" t="s">
        <v>479</v>
      </c>
      <c r="B13" s="112"/>
      <c r="C13" s="239">
        <f>35000*0.77</f>
        <v>26950</v>
      </c>
      <c r="D13" s="247"/>
      <c r="E13" s="247"/>
      <c r="F13" s="247"/>
      <c r="G13" s="247"/>
      <c r="H13" s="89"/>
      <c r="I13" s="89"/>
    </row>
    <row r="14" spans="1:9" ht="15.75">
      <c r="A14" s="235" t="s">
        <v>480</v>
      </c>
      <c r="B14" s="112"/>
      <c r="C14" s="240">
        <f>429956*0.77</f>
        <v>331066.12</v>
      </c>
      <c r="D14" s="249">
        <f>C12+C13+C14</f>
        <v>601721.12</v>
      </c>
      <c r="E14" s="247" t="s">
        <v>482</v>
      </c>
      <c r="F14" s="247"/>
      <c r="G14" s="247"/>
      <c r="H14" s="89"/>
      <c r="I14" s="89"/>
    </row>
    <row r="15" spans="1:9" ht="15.75">
      <c r="A15" s="236" t="s">
        <v>481</v>
      </c>
      <c r="B15" s="112"/>
      <c r="C15" s="239">
        <f>SUM(C9:C14)</f>
        <v>837110.12</v>
      </c>
      <c r="D15" s="250"/>
      <c r="E15" s="250"/>
      <c r="F15" s="248"/>
      <c r="G15" s="247"/>
      <c r="H15" s="89"/>
      <c r="I15" s="89"/>
    </row>
    <row r="16" spans="1:9" ht="15.75">
      <c r="A16" s="235"/>
      <c r="B16" s="112"/>
      <c r="C16" s="239"/>
      <c r="D16" s="247"/>
      <c r="E16" s="247"/>
      <c r="F16" s="247"/>
      <c r="G16" s="247"/>
      <c r="H16" s="89"/>
      <c r="I16" s="89"/>
    </row>
    <row r="17" spans="1:9" ht="15.75">
      <c r="A17" s="116" t="s">
        <v>483</v>
      </c>
      <c r="B17" s="112"/>
      <c r="C17" s="239"/>
      <c r="D17" s="247"/>
      <c r="E17" s="247"/>
      <c r="F17" s="247"/>
      <c r="G17" s="247"/>
      <c r="H17" s="89"/>
      <c r="I17" s="89"/>
    </row>
    <row r="18" spans="1:9" ht="15.75">
      <c r="A18" s="227" t="s">
        <v>484</v>
      </c>
      <c r="B18" s="112"/>
      <c r="C18" s="239">
        <v>0</v>
      </c>
      <c r="D18" s="247"/>
      <c r="E18" s="247"/>
      <c r="F18" s="247"/>
      <c r="G18" s="247"/>
      <c r="H18" s="89"/>
      <c r="I18" s="89"/>
    </row>
    <row r="19" spans="1:9" ht="15.75">
      <c r="A19" s="227" t="s">
        <v>485</v>
      </c>
      <c r="B19" s="112"/>
      <c r="C19" s="239">
        <v>0</v>
      </c>
      <c r="D19" s="247"/>
      <c r="E19" s="247"/>
      <c r="F19" s="247"/>
      <c r="G19" s="247"/>
      <c r="H19" s="89"/>
      <c r="I19" s="89"/>
    </row>
    <row r="20" spans="1:9" ht="15.75">
      <c r="A20" s="227" t="s">
        <v>486</v>
      </c>
      <c r="B20" s="112"/>
      <c r="C20" s="239">
        <v>0</v>
      </c>
      <c r="D20" s="247"/>
      <c r="E20" s="247"/>
      <c r="F20" s="247"/>
      <c r="G20" s="247"/>
      <c r="H20" s="89"/>
      <c r="I20" s="89"/>
    </row>
    <row r="21" spans="1:9" ht="18">
      <c r="A21" s="227" t="s">
        <v>487</v>
      </c>
      <c r="B21" s="112"/>
      <c r="C21" s="241">
        <v>0</v>
      </c>
      <c r="D21" s="247"/>
      <c r="E21" s="247"/>
      <c r="F21" s="247"/>
      <c r="G21" s="247"/>
      <c r="H21" s="89"/>
      <c r="I21" s="89"/>
    </row>
    <row r="22" spans="1:9" ht="15.75">
      <c r="A22" s="229" t="s">
        <v>488</v>
      </c>
      <c r="B22" s="112"/>
      <c r="C22" s="239">
        <f>SUM(C18:C21)</f>
        <v>0</v>
      </c>
      <c r="D22" s="247"/>
      <c r="E22" s="247"/>
      <c r="F22" s="247"/>
      <c r="G22" s="247"/>
      <c r="H22" s="89"/>
      <c r="I22" s="89"/>
    </row>
    <row r="23" spans="1:9" ht="15.75">
      <c r="A23" s="227"/>
      <c r="B23" s="112"/>
      <c r="C23" s="239"/>
      <c r="D23" s="247"/>
      <c r="E23" s="247"/>
      <c r="F23" s="247"/>
      <c r="G23" s="247"/>
      <c r="H23" s="89"/>
      <c r="I23" s="89"/>
    </row>
    <row r="24" spans="1:9" ht="15.75">
      <c r="A24" s="230" t="s">
        <v>489</v>
      </c>
      <c r="B24" s="112"/>
      <c r="C24" s="239"/>
      <c r="D24" s="247"/>
      <c r="E24" s="247"/>
      <c r="F24" s="247"/>
      <c r="G24" s="247"/>
      <c r="H24" s="89"/>
      <c r="I24" s="89"/>
    </row>
    <row r="25" spans="1:9" ht="15.75">
      <c r="A25" s="227" t="s">
        <v>490</v>
      </c>
      <c r="B25" s="112"/>
      <c r="C25" s="239">
        <v>0</v>
      </c>
      <c r="D25" s="247"/>
      <c r="E25" s="247"/>
      <c r="F25" s="247"/>
      <c r="G25" s="247"/>
      <c r="H25" s="89"/>
      <c r="I25" s="89"/>
    </row>
    <row r="26" spans="1:9" ht="15.75">
      <c r="A26" s="227" t="s">
        <v>491</v>
      </c>
      <c r="B26" s="112"/>
      <c r="C26" s="239">
        <v>0</v>
      </c>
      <c r="D26" s="247"/>
      <c r="E26" s="247"/>
      <c r="F26" s="247"/>
      <c r="G26" s="247"/>
      <c r="H26" s="89"/>
      <c r="I26" s="89"/>
    </row>
    <row r="27" spans="1:9" ht="15.75">
      <c r="A27" s="227" t="s">
        <v>492</v>
      </c>
      <c r="B27" s="112"/>
      <c r="C27" s="239">
        <v>0</v>
      </c>
      <c r="D27" s="247"/>
      <c r="E27" s="247"/>
      <c r="F27" s="247"/>
      <c r="G27" s="247"/>
      <c r="H27" s="89"/>
      <c r="I27" s="89"/>
    </row>
    <row r="28" spans="1:9" ht="18">
      <c r="A28" s="227" t="s">
        <v>493</v>
      </c>
      <c r="B28" s="112"/>
      <c r="C28" s="241">
        <v>0</v>
      </c>
      <c r="D28" s="247"/>
      <c r="E28" s="247"/>
      <c r="F28" s="247"/>
      <c r="G28" s="247"/>
      <c r="H28" s="89"/>
      <c r="I28" s="89"/>
    </row>
    <row r="29" spans="1:9" ht="15.75">
      <c r="A29" s="230" t="s">
        <v>489</v>
      </c>
      <c r="B29" s="112"/>
      <c r="C29" s="242">
        <f>SUM(C25:C28)</f>
        <v>0</v>
      </c>
      <c r="D29" s="247" t="s">
        <v>494</v>
      </c>
      <c r="E29" s="247"/>
      <c r="F29" s="247"/>
      <c r="G29" s="247"/>
      <c r="H29" s="89"/>
      <c r="I29" s="89"/>
    </row>
    <row r="30" spans="1:9" ht="15.75">
      <c r="A30" s="227"/>
      <c r="B30" s="112"/>
      <c r="C30" s="239"/>
      <c r="D30" s="247"/>
      <c r="E30" s="247"/>
      <c r="F30" s="247"/>
      <c r="G30" s="247"/>
      <c r="H30" s="89"/>
      <c r="I30" s="89"/>
    </row>
    <row r="31" spans="1:9" ht="15.75">
      <c r="A31" s="230" t="s">
        <v>495</v>
      </c>
      <c r="B31" s="112"/>
      <c r="C31" s="239"/>
      <c r="D31" s="247"/>
      <c r="E31" s="247"/>
      <c r="F31" s="247"/>
      <c r="G31" s="247"/>
      <c r="H31" s="89"/>
      <c r="I31" s="89"/>
    </row>
    <row r="32" spans="1:9" ht="15.75">
      <c r="A32" s="231" t="s">
        <v>496</v>
      </c>
      <c r="B32" s="112"/>
      <c r="C32" s="239">
        <v>707071</v>
      </c>
      <c r="D32" s="247"/>
      <c r="E32" s="247"/>
      <c r="F32" s="247"/>
      <c r="G32" s="247"/>
      <c r="H32" s="89"/>
      <c r="I32" s="89"/>
    </row>
    <row r="33" spans="1:16" ht="15.75">
      <c r="A33" s="227" t="s">
        <v>497</v>
      </c>
      <c r="B33" s="112"/>
      <c r="C33" s="239">
        <v>377718</v>
      </c>
      <c r="D33" s="248"/>
      <c r="E33" s="248"/>
      <c r="F33" s="248"/>
      <c r="G33" s="248"/>
      <c r="H33" s="127"/>
      <c r="I33" s="127"/>
      <c r="J33" s="49"/>
      <c r="K33" s="49"/>
      <c r="L33" s="49"/>
      <c r="M33" s="49"/>
      <c r="N33" s="49"/>
      <c r="O33" s="49"/>
      <c r="P33" s="49"/>
    </row>
    <row r="34" spans="1:16" ht="15.75">
      <c r="A34" s="227" t="s">
        <v>498</v>
      </c>
      <c r="B34" s="112"/>
      <c r="C34" s="239">
        <v>-484534</v>
      </c>
      <c r="D34" s="248"/>
      <c r="E34" s="248"/>
      <c r="F34" s="248"/>
      <c r="G34" s="248"/>
      <c r="H34" s="127"/>
      <c r="I34" s="127"/>
      <c r="J34" s="49"/>
      <c r="K34" s="49"/>
      <c r="L34" s="49"/>
      <c r="M34" s="49"/>
      <c r="N34" s="49"/>
      <c r="O34" s="49"/>
      <c r="P34" s="49"/>
    </row>
    <row r="35" spans="1:16" ht="15.75">
      <c r="A35" s="227" t="s">
        <v>499</v>
      </c>
      <c r="B35" s="112"/>
      <c r="C35" s="239">
        <v>211818</v>
      </c>
      <c r="D35" s="248"/>
      <c r="E35" s="248"/>
      <c r="F35" s="248"/>
      <c r="G35" s="248"/>
      <c r="H35" s="127"/>
      <c r="I35" s="127"/>
      <c r="J35" s="49"/>
      <c r="K35" s="49"/>
      <c r="L35" s="49"/>
      <c r="M35" s="49"/>
      <c r="N35" s="49"/>
      <c r="O35" s="49"/>
      <c r="P35" s="49"/>
    </row>
    <row r="36" spans="1:16" ht="15.75">
      <c r="A36" s="227" t="s">
        <v>500</v>
      </c>
      <c r="B36" s="112"/>
      <c r="C36" s="239">
        <v>340684</v>
      </c>
      <c r="D36" s="248"/>
      <c r="E36" s="248"/>
      <c r="F36" s="248"/>
      <c r="G36" s="248"/>
      <c r="H36" s="127"/>
      <c r="I36" s="127"/>
      <c r="J36" s="49"/>
      <c r="K36" s="49"/>
      <c r="L36" s="49"/>
      <c r="M36" s="49"/>
      <c r="N36" s="49"/>
      <c r="O36" s="49"/>
      <c r="P36" s="49"/>
    </row>
    <row r="37" spans="1:16" ht="15.75">
      <c r="A37" s="227" t="s">
        <v>501</v>
      </c>
      <c r="B37" s="112"/>
      <c r="C37" s="239">
        <v>122739</v>
      </c>
      <c r="D37" s="248"/>
      <c r="E37" s="248"/>
      <c r="F37" s="248"/>
      <c r="G37" s="248"/>
      <c r="H37" s="127"/>
      <c r="I37" s="127"/>
      <c r="J37" s="49"/>
      <c r="K37" s="49"/>
      <c r="L37" s="49"/>
      <c r="M37" s="49"/>
      <c r="N37" s="49"/>
      <c r="O37" s="49"/>
      <c r="P37" s="49"/>
    </row>
    <row r="38" spans="1:16" ht="15.75">
      <c r="A38" s="227" t="s">
        <v>502</v>
      </c>
      <c r="B38" s="112"/>
      <c r="C38" s="239">
        <v>1970838</v>
      </c>
      <c r="D38" s="248"/>
      <c r="E38" s="248"/>
      <c r="F38" s="248"/>
      <c r="G38" s="248"/>
      <c r="H38" s="127"/>
      <c r="I38" s="127"/>
      <c r="J38" s="49"/>
      <c r="K38" s="49"/>
      <c r="L38" s="49"/>
      <c r="M38" s="49"/>
      <c r="N38" s="49"/>
      <c r="O38" s="49"/>
      <c r="P38" s="49"/>
    </row>
    <row r="39" spans="1:16" ht="15.75">
      <c r="A39" s="227" t="s">
        <v>503</v>
      </c>
      <c r="B39" s="112"/>
      <c r="C39" s="239"/>
      <c r="D39" s="248"/>
      <c r="E39" s="248"/>
      <c r="F39" s="248"/>
      <c r="G39" s="248"/>
      <c r="H39" s="127"/>
      <c r="I39" s="127"/>
      <c r="J39" s="49"/>
      <c r="K39" s="49"/>
      <c r="L39" s="49"/>
      <c r="M39" s="49"/>
      <c r="N39" s="49"/>
      <c r="O39" s="49"/>
      <c r="P39" s="49"/>
    </row>
    <row r="40" spans="1:16" ht="15.75">
      <c r="A40" s="227" t="s">
        <v>504</v>
      </c>
      <c r="B40" s="112"/>
      <c r="C40" s="239"/>
      <c r="D40" s="248"/>
      <c r="E40" s="248"/>
      <c r="F40" s="248"/>
      <c r="G40" s="248"/>
      <c r="H40" s="127"/>
      <c r="I40" s="127"/>
      <c r="J40" s="49"/>
      <c r="K40" s="49"/>
      <c r="L40" s="49"/>
      <c r="M40" s="49"/>
      <c r="N40" s="49"/>
      <c r="O40" s="49"/>
      <c r="P40" s="49"/>
    </row>
    <row r="41" spans="1:16" ht="15.75">
      <c r="A41" s="227" t="s">
        <v>505</v>
      </c>
      <c r="B41" s="112"/>
      <c r="C41" s="239"/>
      <c r="D41" s="248"/>
      <c r="E41" s="248"/>
      <c r="F41" s="248"/>
      <c r="G41" s="248"/>
      <c r="H41" s="127"/>
      <c r="I41" s="127"/>
      <c r="J41" s="49"/>
      <c r="K41" s="49"/>
      <c r="L41" s="49"/>
      <c r="M41" s="49"/>
      <c r="N41" s="49"/>
      <c r="O41" s="49"/>
      <c r="P41" s="49"/>
    </row>
    <row r="42" spans="1:16" ht="15.75">
      <c r="A42" s="227" t="s">
        <v>506</v>
      </c>
      <c r="B42" s="112"/>
      <c r="C42" s="242"/>
      <c r="D42" s="248"/>
      <c r="E42" s="248"/>
      <c r="F42" s="248"/>
      <c r="G42" s="248"/>
      <c r="H42" s="127"/>
      <c r="I42" s="127"/>
      <c r="J42" s="49"/>
      <c r="K42" s="49"/>
      <c r="L42" s="49"/>
      <c r="M42" s="49"/>
      <c r="N42" s="49"/>
      <c r="O42" s="49"/>
      <c r="P42" s="49"/>
    </row>
    <row r="43" spans="1:16" ht="15.75">
      <c r="A43" s="227" t="s">
        <v>507</v>
      </c>
      <c r="B43" s="89"/>
      <c r="C43" s="242">
        <v>35234</v>
      </c>
      <c r="D43" s="248"/>
      <c r="E43" s="248"/>
      <c r="F43" s="248"/>
      <c r="G43" s="248"/>
      <c r="H43" s="127"/>
      <c r="I43" s="127"/>
      <c r="J43" s="49"/>
      <c r="K43" s="49"/>
      <c r="L43" s="49"/>
      <c r="M43" s="49"/>
      <c r="N43" s="49"/>
      <c r="O43" s="49"/>
      <c r="P43" s="49"/>
    </row>
    <row r="44" spans="1:16" ht="15.75">
      <c r="A44" s="227" t="s">
        <v>508</v>
      </c>
      <c r="B44" s="89"/>
      <c r="C44" s="243"/>
      <c r="D44" s="248"/>
      <c r="E44" s="248"/>
      <c r="F44" s="248"/>
      <c r="G44" s="248"/>
      <c r="H44" s="127"/>
      <c r="I44" s="127"/>
      <c r="J44" s="49"/>
      <c r="K44" s="49"/>
      <c r="L44" s="49"/>
      <c r="M44" s="49"/>
      <c r="N44" s="49"/>
      <c r="O44" s="49"/>
      <c r="P44" s="49"/>
    </row>
    <row r="45" spans="1:16" ht="15.75">
      <c r="A45" s="227" t="s">
        <v>509</v>
      </c>
      <c r="B45" s="89"/>
      <c r="C45" s="244">
        <v>271684</v>
      </c>
      <c r="D45" s="248"/>
      <c r="E45" s="248"/>
      <c r="F45" s="248"/>
      <c r="G45" s="248"/>
      <c r="H45" s="188"/>
      <c r="I45" s="127"/>
      <c r="J45" s="49"/>
      <c r="K45" s="49"/>
      <c r="L45" s="49"/>
      <c r="M45" s="49"/>
      <c r="N45" s="49"/>
      <c r="O45" s="49"/>
      <c r="P45" s="49"/>
    </row>
    <row r="46" spans="1:16" ht="15.75">
      <c r="A46" s="230" t="s">
        <v>495</v>
      </c>
      <c r="B46" s="89"/>
      <c r="C46" s="245">
        <f>SUM(C32:C45)</f>
        <v>3553252</v>
      </c>
      <c r="D46" s="247" t="s">
        <v>510</v>
      </c>
      <c r="E46" s="247"/>
      <c r="F46" s="247"/>
      <c r="G46" s="247"/>
      <c r="H46" s="188"/>
      <c r="I46" s="173"/>
    </row>
    <row r="47" spans="1:16" ht="15.75">
      <c r="A47" s="232"/>
      <c r="B47" s="89"/>
      <c r="C47" s="246"/>
      <c r="D47" s="247"/>
      <c r="E47" s="247"/>
      <c r="F47" s="247"/>
      <c r="G47" s="247"/>
      <c r="H47" s="188"/>
      <c r="I47" s="173"/>
    </row>
    <row r="48" spans="1:16" ht="15.75">
      <c r="A48" s="232"/>
      <c r="B48" s="89"/>
      <c r="C48" s="246"/>
      <c r="D48" s="247"/>
      <c r="E48" s="247"/>
      <c r="F48" s="247"/>
      <c r="G48" s="247"/>
      <c r="H48" s="89"/>
      <c r="I48" s="173"/>
    </row>
    <row r="49" spans="1:9" ht="15.75">
      <c r="A49" s="233" t="s">
        <v>511</v>
      </c>
      <c r="B49" s="89"/>
      <c r="C49" s="246"/>
      <c r="D49" s="247"/>
      <c r="E49" s="247"/>
      <c r="F49" s="247"/>
      <c r="G49" s="247"/>
      <c r="H49" s="89"/>
      <c r="I49" s="117"/>
    </row>
    <row r="50" spans="1:9" ht="15.75">
      <c r="A50" s="232" t="s">
        <v>512</v>
      </c>
      <c r="B50" s="89"/>
      <c r="C50" s="246"/>
      <c r="D50" s="247"/>
      <c r="E50" s="247"/>
      <c r="F50" s="247"/>
      <c r="G50" s="247"/>
      <c r="H50" s="89"/>
      <c r="I50" s="89"/>
    </row>
    <row r="51" spans="1:9" ht="15.75">
      <c r="A51" s="214" t="s">
        <v>593</v>
      </c>
      <c r="B51" s="89"/>
      <c r="C51" s="246"/>
      <c r="D51" s="247"/>
      <c r="E51" s="247"/>
      <c r="F51" s="247"/>
      <c r="G51" s="247"/>
      <c r="H51" s="89"/>
      <c r="I51" s="89"/>
    </row>
    <row r="52" spans="1:9" ht="15.75">
      <c r="A52" s="234" t="s">
        <v>612</v>
      </c>
      <c r="B52" s="89"/>
      <c r="C52" s="246"/>
      <c r="D52" s="247"/>
      <c r="E52" s="247"/>
      <c r="F52" s="247"/>
      <c r="G52" s="247"/>
      <c r="H52" s="89"/>
      <c r="I52" s="89"/>
    </row>
    <row r="53" spans="1:9" ht="63" customHeight="1">
      <c r="A53" s="215" t="s">
        <v>594</v>
      </c>
      <c r="B53" s="89"/>
      <c r="C53" s="246"/>
      <c r="D53" s="247"/>
      <c r="E53" s="247"/>
      <c r="F53" s="247"/>
      <c r="G53" s="247"/>
      <c r="H53" s="89"/>
      <c r="I53" s="89"/>
    </row>
    <row r="54" spans="1:9" ht="15.75">
      <c r="A54" s="234" t="s">
        <v>613</v>
      </c>
      <c r="B54" s="117"/>
      <c r="C54" s="246"/>
      <c r="D54" s="247"/>
      <c r="E54" s="247"/>
      <c r="F54" s="247"/>
      <c r="G54" s="247"/>
      <c r="H54" s="89"/>
      <c r="I54" s="89"/>
    </row>
    <row r="55" spans="1:9" ht="15.75">
      <c r="A55" s="216" t="s">
        <v>595</v>
      </c>
      <c r="B55" s="117"/>
      <c r="C55" s="246"/>
      <c r="D55" s="247"/>
      <c r="E55" s="247"/>
      <c r="F55" s="247"/>
      <c r="G55" s="247"/>
      <c r="H55" s="89"/>
      <c r="I55" s="89"/>
    </row>
    <row r="56" spans="1:9" ht="15.75">
      <c r="A56" s="234" t="s">
        <v>513</v>
      </c>
      <c r="B56" s="89"/>
      <c r="C56" s="246"/>
      <c r="D56" s="247"/>
      <c r="E56" s="247"/>
      <c r="F56" s="247"/>
      <c r="G56" s="247"/>
      <c r="H56" s="89"/>
      <c r="I56" s="89"/>
    </row>
    <row r="57" spans="1:9" ht="45">
      <c r="A57" s="217" t="s">
        <v>596</v>
      </c>
      <c r="B57" s="89"/>
      <c r="C57" s="246"/>
      <c r="D57" s="247"/>
      <c r="E57" s="247"/>
      <c r="F57" s="247"/>
      <c r="G57" s="247"/>
      <c r="H57" s="89"/>
      <c r="I57" s="89"/>
    </row>
    <row r="58" spans="1:9" ht="15.75">
      <c r="A58" s="227"/>
      <c r="B58" s="89"/>
      <c r="C58" s="246"/>
      <c r="D58" s="247"/>
      <c r="E58" s="247"/>
      <c r="F58" s="247"/>
      <c r="G58" s="247"/>
      <c r="H58" s="89"/>
      <c r="I58" s="89"/>
    </row>
    <row r="59" spans="1:9" ht="15.75">
      <c r="A59" s="230"/>
      <c r="B59" s="89"/>
      <c r="C59" s="246"/>
      <c r="D59" s="247"/>
      <c r="E59" s="247"/>
      <c r="F59" s="247"/>
      <c r="G59" s="247"/>
      <c r="H59" s="89"/>
      <c r="I59" s="89"/>
    </row>
    <row r="60" spans="1:9" ht="15.75">
      <c r="A60" s="227"/>
      <c r="B60" s="89"/>
      <c r="C60" s="246"/>
      <c r="D60" s="247"/>
      <c r="E60" s="247"/>
      <c r="F60" s="247"/>
      <c r="G60" s="247"/>
      <c r="H60" s="89"/>
      <c r="I60" s="89"/>
    </row>
    <row r="61" spans="1:9" ht="15.75">
      <c r="A61" s="227"/>
      <c r="B61" s="89"/>
      <c r="C61" s="246"/>
      <c r="D61" s="89"/>
      <c r="E61" s="89"/>
      <c r="F61" s="89"/>
      <c r="G61" s="89"/>
      <c r="H61" s="89"/>
      <c r="I61" s="89"/>
    </row>
    <row r="62" spans="1:9" ht="15.75">
      <c r="A62" s="227"/>
      <c r="B62" s="89"/>
      <c r="C62" s="246"/>
      <c r="D62" s="89"/>
      <c r="E62" s="89"/>
      <c r="F62" s="89"/>
      <c r="G62" s="89"/>
      <c r="H62" s="89"/>
      <c r="I62" s="89"/>
    </row>
  </sheetData>
  <mergeCells count="4">
    <mergeCell ref="A1:C1"/>
    <mergeCell ref="A2:C2"/>
    <mergeCell ref="A3:C3"/>
    <mergeCell ref="A4:C4"/>
  </mergeCells>
  <pageMargins left="0.7" right="0.7" top="0.75" bottom="0.75" header="0.3" footer="0.3"/>
  <pageSetup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A20" sqref="A20"/>
    </sheetView>
  </sheetViews>
  <sheetFormatPr defaultRowHeight="15"/>
  <cols>
    <col min="1" max="1" width="56.109375" bestFit="1" customWidth="1"/>
    <col min="2" max="2" width="8.109375" customWidth="1"/>
    <col min="3" max="3" width="11.33203125" customWidth="1"/>
  </cols>
  <sheetData>
    <row r="1" spans="1:6" s="185" customFormat="1" ht="18.75" customHeight="1">
      <c r="A1" s="568" t="s">
        <v>330</v>
      </c>
      <c r="B1" s="568"/>
      <c r="C1" s="568"/>
      <c r="D1" s="202"/>
      <c r="E1" s="202"/>
      <c r="F1" s="202"/>
    </row>
    <row r="2" spans="1:6" s="185" customFormat="1" ht="18.75">
      <c r="A2" s="568" t="s">
        <v>332</v>
      </c>
      <c r="B2" s="568"/>
      <c r="C2" s="568"/>
      <c r="D2" s="72"/>
      <c r="E2" s="72"/>
      <c r="F2" s="203"/>
    </row>
    <row r="3" spans="1:6" s="185" customFormat="1" ht="18.75">
      <c r="A3" s="568" t="s">
        <v>582</v>
      </c>
      <c r="B3" s="568"/>
      <c r="C3" s="568"/>
      <c r="D3" s="72"/>
      <c r="E3" s="72"/>
      <c r="F3" s="72"/>
    </row>
    <row r="4" spans="1:6" ht="18.75">
      <c r="A4" s="569">
        <f>Coversheet!E7</f>
        <v>43465</v>
      </c>
      <c r="B4" s="569"/>
      <c r="C4" s="569"/>
      <c r="D4" s="43"/>
      <c r="E4" s="43"/>
      <c r="F4" s="43"/>
    </row>
    <row r="5" spans="1:6" s="186" customFormat="1" ht="18.75">
      <c r="A5" s="190"/>
      <c r="B5" s="251"/>
      <c r="C5" s="251"/>
      <c r="D5" s="252"/>
      <c r="E5" s="43"/>
      <c r="F5" s="43"/>
    </row>
    <row r="6" spans="1:6" ht="15.75">
      <c r="A6" s="189" t="s">
        <v>514</v>
      </c>
      <c r="B6" s="135"/>
      <c r="C6" s="135"/>
      <c r="D6" s="253"/>
    </row>
    <row r="7" spans="1:6" ht="15.75">
      <c r="A7" s="118"/>
      <c r="B7" s="254" t="s">
        <v>515</v>
      </c>
      <c r="C7" s="132"/>
      <c r="D7" s="253"/>
    </row>
    <row r="8" spans="1:6" ht="15.75">
      <c r="A8" s="111" t="s">
        <v>516</v>
      </c>
      <c r="B8" s="54" t="s">
        <v>517</v>
      </c>
      <c r="C8" s="54" t="s">
        <v>7</v>
      </c>
      <c r="D8" s="253"/>
    </row>
    <row r="9" spans="1:6" ht="15.75">
      <c r="A9" s="89"/>
      <c r="B9" s="132"/>
      <c r="C9" s="132"/>
      <c r="D9" s="253"/>
    </row>
    <row r="10" spans="1:6" ht="15.75">
      <c r="A10" s="115" t="s">
        <v>518</v>
      </c>
      <c r="B10" s="126">
        <v>0</v>
      </c>
      <c r="C10" s="261">
        <v>0</v>
      </c>
      <c r="D10" s="253"/>
    </row>
    <row r="11" spans="1:6" ht="15.75">
      <c r="A11" s="115" t="s">
        <v>519</v>
      </c>
      <c r="B11" s="260">
        <v>565.03</v>
      </c>
      <c r="C11" s="445">
        <v>18000</v>
      </c>
      <c r="D11" s="253"/>
    </row>
    <row r="12" spans="1:6" ht="18">
      <c r="A12" s="115" t="s">
        <v>520</v>
      </c>
      <c r="B12" s="255">
        <v>0</v>
      </c>
      <c r="C12" s="241">
        <v>0</v>
      </c>
      <c r="D12" s="253"/>
    </row>
    <row r="13" spans="1:6" ht="15.75">
      <c r="A13" s="89"/>
      <c r="B13" s="132"/>
      <c r="C13" s="132"/>
      <c r="D13" s="253"/>
    </row>
    <row r="14" spans="1:6" ht="15.75">
      <c r="A14" s="115" t="s">
        <v>9</v>
      </c>
      <c r="B14" s="256"/>
      <c r="C14" s="249">
        <f>SUM(C10:C13)</f>
        <v>18000</v>
      </c>
      <c r="D14" s="253"/>
    </row>
    <row r="15" spans="1:6" ht="15.75">
      <c r="A15" s="89"/>
      <c r="B15" s="132"/>
      <c r="C15" s="132"/>
      <c r="D15" s="253"/>
    </row>
    <row r="16" spans="1:6">
      <c r="A16" s="218"/>
      <c r="B16" s="253"/>
      <c r="C16" s="253"/>
      <c r="D16" s="253"/>
    </row>
    <row r="17" spans="1:4">
      <c r="A17" s="574" t="s">
        <v>607</v>
      </c>
      <c r="B17" s="253"/>
      <c r="C17" s="253"/>
      <c r="D17" s="253"/>
    </row>
    <row r="18" spans="1:4" ht="15.75">
      <c r="A18" s="574"/>
      <c r="B18" s="575"/>
      <c r="C18" s="575"/>
      <c r="D18" s="253"/>
    </row>
    <row r="19" spans="1:4" ht="15.75">
      <c r="A19" s="218"/>
      <c r="B19" s="257"/>
      <c r="C19" s="258"/>
      <c r="D19" s="253"/>
    </row>
    <row r="20" spans="1:4" ht="15.75">
      <c r="A20" s="444" t="s">
        <v>620</v>
      </c>
      <c r="B20" s="257"/>
      <c r="C20" s="258"/>
      <c r="D20" s="253"/>
    </row>
    <row r="21" spans="1:4" ht="15.75" customHeight="1">
      <c r="B21" s="257"/>
      <c r="C21" s="258"/>
      <c r="D21" s="253"/>
    </row>
    <row r="22" spans="1:4" ht="15.75">
      <c r="B22" s="259"/>
      <c r="C22" s="258"/>
      <c r="D22" s="253"/>
    </row>
    <row r="23" spans="1:4" ht="15.75">
      <c r="B23" s="259"/>
      <c r="C23" s="258"/>
      <c r="D23" s="253"/>
    </row>
    <row r="24" spans="1:4" ht="15.75">
      <c r="B24" s="259"/>
      <c r="C24" s="258"/>
      <c r="D24" s="253"/>
    </row>
    <row r="25" spans="1:4" ht="15.75">
      <c r="B25" s="259"/>
      <c r="C25" s="258"/>
      <c r="D25" s="253"/>
    </row>
    <row r="26" spans="1:4" ht="15.75">
      <c r="B26" s="259"/>
      <c r="C26" s="258"/>
      <c r="D26" s="253"/>
    </row>
    <row r="27" spans="1:4" ht="15.75">
      <c r="B27" s="259"/>
      <c r="C27" s="258"/>
      <c r="D27" s="253"/>
    </row>
    <row r="28" spans="1:4" ht="15.75">
      <c r="B28" s="259"/>
      <c r="C28" s="258"/>
      <c r="D28" s="253"/>
    </row>
    <row r="29" spans="1:4" ht="15.75">
      <c r="B29" s="259"/>
      <c r="C29" s="258"/>
      <c r="D29" s="253"/>
    </row>
    <row r="30" spans="1:4" ht="15.75">
      <c r="B30" s="259"/>
      <c r="C30" s="258"/>
      <c r="D30" s="253"/>
    </row>
    <row r="31" spans="1:4" ht="15.75">
      <c r="B31" s="257"/>
      <c r="C31" s="258"/>
      <c r="D31" s="253"/>
    </row>
    <row r="32" spans="1:4">
      <c r="B32" s="253"/>
      <c r="C32" s="253"/>
      <c r="D32" s="253"/>
    </row>
    <row r="33" spans="2:4">
      <c r="B33" s="253"/>
      <c r="C33" s="253"/>
      <c r="D33" s="253"/>
    </row>
    <row r="34" spans="2:4">
      <c r="B34" s="253"/>
      <c r="C34" s="253"/>
      <c r="D34" s="253"/>
    </row>
    <row r="35" spans="2:4">
      <c r="B35" s="253"/>
      <c r="C35" s="253"/>
      <c r="D35" s="253"/>
    </row>
  </sheetData>
  <mergeCells count="6">
    <mergeCell ref="A17:A18"/>
    <mergeCell ref="B18:C18"/>
    <mergeCell ref="A1:C1"/>
    <mergeCell ref="A2:C2"/>
    <mergeCell ref="A3:C3"/>
    <mergeCell ref="A4:C4"/>
  </mergeCells>
  <pageMargins left="0.7" right="0.7" top="0.75" bottom="0.75" header="0.3" footer="0.3"/>
  <pageSetup orientation="landscape" horizontalDpi="4294967293" vertic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workbookViewId="0">
      <selection activeCell="A26" sqref="A26"/>
    </sheetView>
  </sheetViews>
  <sheetFormatPr defaultRowHeight="15"/>
  <cols>
    <col min="1" max="1" width="57.6640625" customWidth="1"/>
    <col min="2" max="2" width="9.77734375" bestFit="1" customWidth="1"/>
    <col min="3" max="3" width="9" bestFit="1" customWidth="1"/>
  </cols>
  <sheetData>
    <row r="1" spans="1:9" ht="18.75">
      <c r="A1" s="568" t="s">
        <v>330</v>
      </c>
      <c r="B1" s="568"/>
      <c r="C1" s="568"/>
      <c r="D1" s="188"/>
      <c r="E1" s="89"/>
    </row>
    <row r="2" spans="1:9" ht="18.75">
      <c r="A2" s="568" t="s">
        <v>332</v>
      </c>
      <c r="B2" s="568"/>
      <c r="C2" s="568"/>
      <c r="D2" s="112"/>
      <c r="E2" s="89"/>
    </row>
    <row r="3" spans="1:9" ht="18.75">
      <c r="A3" s="568" t="s">
        <v>583</v>
      </c>
      <c r="B3" s="568"/>
      <c r="C3" s="568"/>
      <c r="D3" s="89"/>
      <c r="E3" s="89"/>
    </row>
    <row r="4" spans="1:9" ht="18.75">
      <c r="A4" s="569">
        <f>Coversheet!E7</f>
        <v>43465</v>
      </c>
      <c r="B4" s="569"/>
      <c r="C4" s="569"/>
      <c r="D4" s="89"/>
      <c r="E4" s="89"/>
    </row>
    <row r="5" spans="1:9" ht="15.75">
      <c r="A5" s="132"/>
      <c r="B5" s="132"/>
      <c r="C5" s="132"/>
      <c r="D5" s="132"/>
      <c r="E5" s="132"/>
      <c r="F5" s="250"/>
      <c r="G5" s="250"/>
      <c r="H5" s="250"/>
      <c r="I5" s="250"/>
    </row>
    <row r="6" spans="1:9" ht="15.75">
      <c r="A6" s="132"/>
      <c r="B6" s="132"/>
      <c r="C6" s="132"/>
      <c r="D6" s="132"/>
      <c r="E6" s="132"/>
      <c r="F6" s="250"/>
      <c r="G6" s="250"/>
      <c r="H6" s="250"/>
      <c r="I6" s="250"/>
    </row>
    <row r="7" spans="1:9" ht="15.75">
      <c r="A7" s="132" t="s">
        <v>521</v>
      </c>
      <c r="B7" s="261">
        <v>0</v>
      </c>
      <c r="C7" s="132" t="s">
        <v>522</v>
      </c>
      <c r="D7" s="132"/>
      <c r="E7" s="132"/>
      <c r="F7" s="250"/>
      <c r="G7" s="250"/>
      <c r="H7" s="250"/>
      <c r="I7" s="250"/>
    </row>
    <row r="8" spans="1:9" ht="15.75">
      <c r="A8" s="132"/>
      <c r="B8" s="132"/>
      <c r="C8" s="132"/>
      <c r="D8" s="132"/>
      <c r="E8" s="132"/>
      <c r="F8" s="250"/>
      <c r="G8" s="250"/>
      <c r="H8" s="250"/>
      <c r="I8" s="250"/>
    </row>
    <row r="9" spans="1:9" ht="15.75">
      <c r="A9" s="132"/>
      <c r="B9" s="132"/>
      <c r="C9" s="132"/>
      <c r="D9" s="132"/>
      <c r="E9" s="132"/>
      <c r="F9" s="250"/>
      <c r="G9" s="250"/>
      <c r="H9" s="250"/>
      <c r="I9" s="250"/>
    </row>
    <row r="10" spans="1:9" ht="15.75">
      <c r="A10" s="132"/>
      <c r="B10" s="132"/>
      <c r="C10" s="132"/>
      <c r="D10" s="132"/>
      <c r="E10" s="132"/>
      <c r="F10" s="250"/>
      <c r="G10" s="250"/>
      <c r="H10" s="250"/>
      <c r="I10" s="250"/>
    </row>
    <row r="11" spans="1:9" ht="15.75">
      <c r="A11" s="132"/>
      <c r="B11" s="132"/>
      <c r="C11" s="132"/>
      <c r="D11" s="132"/>
      <c r="E11" s="132"/>
      <c r="F11" s="250"/>
      <c r="G11" s="250"/>
      <c r="H11" s="250"/>
      <c r="I11" s="250"/>
    </row>
    <row r="12" spans="1:9" ht="15.75">
      <c r="A12" s="262" t="s">
        <v>585</v>
      </c>
      <c r="B12" s="132"/>
      <c r="C12" s="132"/>
      <c r="D12" s="132"/>
      <c r="E12" s="132"/>
      <c r="F12" s="250"/>
      <c r="G12" s="250"/>
      <c r="H12" s="250"/>
      <c r="I12" s="250"/>
    </row>
    <row r="13" spans="1:9" s="186" customFormat="1" ht="15.75">
      <c r="A13" s="263" t="s">
        <v>584</v>
      </c>
      <c r="B13" s="132"/>
      <c r="C13" s="132"/>
      <c r="D13" s="132"/>
      <c r="E13" s="132"/>
      <c r="F13" s="250"/>
      <c r="G13" s="250"/>
      <c r="H13" s="250"/>
      <c r="I13" s="250"/>
    </row>
    <row r="14" spans="1:9" ht="15.75">
      <c r="A14" s="264" t="s">
        <v>523</v>
      </c>
      <c r="B14" s="301">
        <v>2500</v>
      </c>
      <c r="C14" s="265" t="s">
        <v>591</v>
      </c>
      <c r="D14" s="132"/>
      <c r="E14" s="132"/>
      <c r="F14" s="250"/>
      <c r="G14" s="250"/>
      <c r="H14" s="250"/>
      <c r="I14" s="250"/>
    </row>
    <row r="15" spans="1:9" ht="15.75">
      <c r="A15" s="264" t="s">
        <v>524</v>
      </c>
      <c r="B15" s="240">
        <v>0</v>
      </c>
      <c r="C15" s="132" t="s">
        <v>525</v>
      </c>
      <c r="D15" s="132"/>
      <c r="E15" s="132"/>
      <c r="F15" s="250"/>
      <c r="G15" s="250"/>
      <c r="H15" s="250"/>
      <c r="I15" s="250"/>
    </row>
    <row r="16" spans="1:9" ht="15.75">
      <c r="A16" s="132"/>
      <c r="B16" s="242">
        <f>SUM(B14:B15)</f>
        <v>2500</v>
      </c>
      <c r="C16" s="132"/>
      <c r="D16" s="132"/>
      <c r="E16" s="132"/>
      <c r="F16" s="250"/>
      <c r="G16" s="250"/>
      <c r="H16" s="250"/>
      <c r="I16" s="250"/>
    </row>
    <row r="17" spans="1:9" ht="15.75">
      <c r="A17" s="132"/>
      <c r="B17" s="132"/>
      <c r="C17" s="132"/>
      <c r="D17" s="132"/>
      <c r="E17" s="132"/>
      <c r="F17" s="250"/>
      <c r="G17" s="250"/>
      <c r="H17" s="250"/>
      <c r="I17" s="250"/>
    </row>
    <row r="18" spans="1:9" ht="15.75">
      <c r="A18" s="132"/>
      <c r="B18" s="132"/>
      <c r="C18" s="132"/>
      <c r="D18" s="132"/>
      <c r="E18" s="132"/>
      <c r="F18" s="250"/>
      <c r="G18" s="250"/>
      <c r="H18" s="250"/>
      <c r="I18" s="250"/>
    </row>
    <row r="19" spans="1:9" ht="15.75">
      <c r="A19" s="132" t="s">
        <v>526</v>
      </c>
      <c r="B19" s="132"/>
      <c r="C19" s="132"/>
      <c r="D19" s="132"/>
      <c r="E19" s="132"/>
      <c r="F19" s="250"/>
      <c r="G19" s="250"/>
      <c r="H19" s="250"/>
      <c r="I19" s="250"/>
    </row>
    <row r="20" spans="1:9" ht="15.75">
      <c r="A20" s="266" t="s">
        <v>527</v>
      </c>
      <c r="B20" s="261">
        <f>'[1]Admin &amp; General'!C40</f>
        <v>0</v>
      </c>
      <c r="C20" s="265" t="s">
        <v>528</v>
      </c>
      <c r="D20" s="132"/>
      <c r="E20" s="132"/>
      <c r="F20" s="250"/>
      <c r="G20" s="250"/>
      <c r="H20" s="250"/>
      <c r="I20" s="250"/>
    </row>
    <row r="21" spans="1:9" ht="15.75">
      <c r="A21" s="266" t="s">
        <v>529</v>
      </c>
      <c r="B21" s="240">
        <v>0</v>
      </c>
      <c r="C21" s="132" t="s">
        <v>530</v>
      </c>
      <c r="D21" s="132"/>
      <c r="E21" s="132"/>
      <c r="F21" s="250"/>
      <c r="G21" s="250"/>
      <c r="H21" s="250"/>
      <c r="I21" s="250"/>
    </row>
    <row r="22" spans="1:9" ht="15.75">
      <c r="A22" s="132"/>
      <c r="B22" s="239">
        <f>SUM(B20:B21)</f>
        <v>0</v>
      </c>
      <c r="C22" s="132"/>
      <c r="D22" s="132"/>
      <c r="E22" s="132"/>
      <c r="F22" s="250"/>
      <c r="G22" s="250"/>
      <c r="H22" s="250"/>
      <c r="I22" s="250"/>
    </row>
    <row r="23" spans="1:9" ht="15.75">
      <c r="A23" s="250"/>
      <c r="B23" s="250"/>
      <c r="C23" s="250"/>
      <c r="D23" s="250"/>
      <c r="E23" s="250"/>
      <c r="F23" s="250"/>
      <c r="G23" s="250"/>
      <c r="H23" s="250"/>
      <c r="I23" s="250"/>
    </row>
    <row r="24" spans="1:9" ht="15.75">
      <c r="A24" s="267"/>
      <c r="B24" s="250"/>
      <c r="C24" s="250"/>
      <c r="D24" s="250"/>
      <c r="E24" s="250"/>
      <c r="F24" s="250"/>
      <c r="G24" s="250"/>
      <c r="H24" s="250"/>
      <c r="I24" s="250"/>
    </row>
    <row r="25" spans="1:9" ht="15.75">
      <c r="A25" s="250"/>
      <c r="B25" s="250"/>
      <c r="C25" s="250"/>
      <c r="D25" s="250"/>
      <c r="E25" s="250"/>
      <c r="F25" s="250"/>
      <c r="G25" s="250"/>
      <c r="H25" s="250"/>
      <c r="I25" s="250"/>
    </row>
    <row r="26" spans="1:9" ht="15.75">
      <c r="A26" s="444" t="s">
        <v>620</v>
      </c>
      <c r="B26" s="250"/>
      <c r="C26" s="250"/>
      <c r="D26" s="250"/>
      <c r="E26" s="250"/>
      <c r="F26" s="250"/>
      <c r="G26" s="250"/>
      <c r="H26" s="250"/>
      <c r="I26" s="250"/>
    </row>
    <row r="27" spans="1:9" ht="15.75">
      <c r="B27" s="250"/>
      <c r="C27" s="250"/>
      <c r="D27" s="250"/>
      <c r="E27" s="250"/>
      <c r="F27" s="250"/>
      <c r="G27" s="250"/>
      <c r="H27" s="250"/>
      <c r="I27" s="250"/>
    </row>
    <row r="28" spans="1:9" ht="15.75">
      <c r="A28" s="250"/>
      <c r="B28" s="250"/>
      <c r="C28" s="250"/>
      <c r="D28" s="250"/>
      <c r="E28" s="250"/>
      <c r="F28" s="250"/>
      <c r="G28" s="250"/>
      <c r="H28" s="250"/>
      <c r="I28" s="250"/>
    </row>
    <row r="29" spans="1:9" ht="15.75">
      <c r="A29" s="250"/>
      <c r="B29" s="250"/>
      <c r="C29" s="250"/>
      <c r="D29" s="250"/>
      <c r="E29" s="250"/>
      <c r="F29" s="250"/>
      <c r="G29" s="250"/>
      <c r="H29" s="250"/>
      <c r="I29" s="250"/>
    </row>
    <row r="30" spans="1:9" ht="15.75">
      <c r="A30" s="250"/>
      <c r="B30" s="250"/>
      <c r="C30" s="250"/>
      <c r="D30" s="250"/>
      <c r="E30" s="250"/>
      <c r="F30" s="250"/>
      <c r="G30" s="250"/>
      <c r="H30" s="250"/>
      <c r="I30" s="250"/>
    </row>
    <row r="31" spans="1:9" ht="15.75">
      <c r="A31" s="250"/>
      <c r="B31" s="250"/>
      <c r="C31" s="250"/>
      <c r="D31" s="250"/>
      <c r="E31" s="250"/>
      <c r="F31" s="250"/>
      <c r="G31" s="250"/>
      <c r="H31" s="250"/>
      <c r="I31" s="250"/>
    </row>
  </sheetData>
  <mergeCells count="4">
    <mergeCell ref="A1:C1"/>
    <mergeCell ref="A2:C2"/>
    <mergeCell ref="A3:C3"/>
    <mergeCell ref="A4:C4"/>
  </mergeCells>
  <pageMargins left="0.7" right="0.7" top="0.75" bottom="0.75" header="0.3" footer="0.3"/>
  <pageSetup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C7" sqref="C7:C14"/>
    </sheetView>
  </sheetViews>
  <sheetFormatPr defaultRowHeight="15"/>
  <cols>
    <col min="1" max="1" width="2.77734375" style="86" customWidth="1"/>
    <col min="2" max="2" width="32.33203125" bestFit="1" customWidth="1"/>
    <col min="3" max="3" width="14" customWidth="1"/>
    <col min="4" max="4" width="2.109375" customWidth="1"/>
  </cols>
  <sheetData>
    <row r="1" spans="2:12" s="186" customFormat="1" ht="18.75">
      <c r="B1" s="568" t="s">
        <v>330</v>
      </c>
      <c r="C1" s="568"/>
      <c r="D1" s="568"/>
      <c r="E1" s="568"/>
      <c r="F1" s="568"/>
      <c r="G1" s="568"/>
      <c r="H1" s="568"/>
      <c r="I1" s="568"/>
      <c r="J1" s="203"/>
      <c r="K1" s="203"/>
      <c r="L1" s="203"/>
    </row>
    <row r="2" spans="2:12" s="186" customFormat="1" ht="18.75">
      <c r="B2" s="568" t="s">
        <v>332</v>
      </c>
      <c r="C2" s="568"/>
      <c r="D2" s="568"/>
      <c r="E2" s="568"/>
      <c r="F2" s="568"/>
      <c r="G2" s="568"/>
      <c r="H2" s="568"/>
      <c r="I2" s="568"/>
      <c r="L2" s="203"/>
    </row>
    <row r="3" spans="2:12" ht="18.75">
      <c r="B3" s="568" t="s">
        <v>586</v>
      </c>
      <c r="C3" s="568"/>
      <c r="D3" s="568"/>
      <c r="E3" s="568"/>
      <c r="F3" s="568"/>
      <c r="G3" s="568"/>
      <c r="H3" s="568"/>
      <c r="I3" s="568"/>
    </row>
    <row r="4" spans="2:12" ht="18.75">
      <c r="B4" s="569">
        <f>Coversheet!E7</f>
        <v>43465</v>
      </c>
      <c r="C4" s="569"/>
      <c r="D4" s="569"/>
      <c r="E4" s="569"/>
      <c r="F4" s="569"/>
      <c r="G4" s="569"/>
      <c r="H4" s="569"/>
      <c r="I4" s="569"/>
    </row>
    <row r="5" spans="2:12" ht="15.75">
      <c r="B5" s="71"/>
      <c r="C5" s="65"/>
      <c r="D5" s="65"/>
      <c r="E5" s="65"/>
      <c r="F5" s="65"/>
      <c r="G5" s="65"/>
      <c r="H5" s="65"/>
      <c r="I5" s="65"/>
    </row>
    <row r="6" spans="2:12" ht="15.75">
      <c r="B6" s="65"/>
      <c r="C6" s="65"/>
      <c r="D6" s="65"/>
      <c r="E6" s="65"/>
      <c r="F6" s="65"/>
      <c r="G6" s="65"/>
      <c r="H6" s="65"/>
      <c r="I6" s="65"/>
    </row>
    <row r="7" spans="2:12" ht="15.75">
      <c r="B7" s="132" t="s">
        <v>335</v>
      </c>
      <c r="C7" s="301">
        <v>250000</v>
      </c>
      <c r="D7" s="132"/>
      <c r="E7" s="132" t="s">
        <v>336</v>
      </c>
      <c r="F7" s="132"/>
      <c r="G7" s="132"/>
      <c r="H7" s="132"/>
      <c r="I7" s="268"/>
    </row>
    <row r="8" spans="2:12" ht="15.75">
      <c r="B8" s="132" t="s">
        <v>337</v>
      </c>
      <c r="C8" s="579"/>
      <c r="D8" s="132"/>
      <c r="E8" s="132" t="s">
        <v>338</v>
      </c>
      <c r="F8" s="132"/>
      <c r="G8" s="132"/>
      <c r="H8" s="132"/>
      <c r="I8" s="268"/>
    </row>
    <row r="9" spans="2:12" ht="15.75">
      <c r="B9" s="132" t="s">
        <v>339</v>
      </c>
      <c r="C9" s="579"/>
      <c r="D9" s="132"/>
      <c r="E9" s="132" t="s">
        <v>340</v>
      </c>
      <c r="F9" s="132"/>
      <c r="G9" s="132"/>
      <c r="H9" s="132"/>
      <c r="I9" s="132"/>
    </row>
    <row r="10" spans="2:12" ht="15.75">
      <c r="B10" s="132" t="s">
        <v>341</v>
      </c>
      <c r="C10" s="579"/>
      <c r="D10" s="132"/>
      <c r="E10" s="132" t="s">
        <v>342</v>
      </c>
      <c r="F10" s="132"/>
      <c r="G10" s="132"/>
      <c r="H10" s="132"/>
      <c r="I10" s="132"/>
    </row>
    <row r="11" spans="2:12" ht="15.75">
      <c r="B11" s="132" t="s">
        <v>343</v>
      </c>
      <c r="C11" s="579"/>
      <c r="D11" s="132"/>
      <c r="E11" s="132" t="s">
        <v>344</v>
      </c>
      <c r="F11" s="132"/>
      <c r="G11" s="132"/>
      <c r="H11" s="132"/>
      <c r="I11" s="132"/>
    </row>
    <row r="12" spans="2:12" ht="15.75">
      <c r="B12" s="269" t="s">
        <v>334</v>
      </c>
      <c r="C12" s="580">
        <v>1923157.8</v>
      </c>
      <c r="D12" s="132"/>
      <c r="E12" s="132" t="s">
        <v>345</v>
      </c>
      <c r="F12" s="132"/>
      <c r="G12" s="132"/>
      <c r="H12" s="132"/>
      <c r="I12" s="132"/>
    </row>
    <row r="13" spans="2:12" ht="15.75">
      <c r="B13" s="132" t="s">
        <v>346</v>
      </c>
      <c r="C13" s="581">
        <v>0</v>
      </c>
      <c r="D13" s="132"/>
      <c r="E13" s="132" t="s">
        <v>347</v>
      </c>
      <c r="F13" s="132"/>
      <c r="G13" s="132"/>
      <c r="H13" s="132"/>
      <c r="I13" s="132"/>
    </row>
    <row r="14" spans="2:12" ht="15.75">
      <c r="B14" s="132" t="s">
        <v>9</v>
      </c>
      <c r="C14" s="261">
        <f>SUM(C7:C13)</f>
        <v>2173157.7999999998</v>
      </c>
      <c r="D14" s="132"/>
      <c r="E14" s="132" t="s">
        <v>348</v>
      </c>
      <c r="F14" s="132"/>
      <c r="G14" s="132"/>
      <c r="H14" s="132"/>
      <c r="I14" s="132"/>
    </row>
    <row r="15" spans="2:12" ht="15.75">
      <c r="B15" s="132"/>
      <c r="C15" s="132"/>
      <c r="D15" s="132"/>
      <c r="E15" s="132" t="s">
        <v>349</v>
      </c>
      <c r="F15" s="132"/>
      <c r="G15" s="132"/>
      <c r="H15" s="132"/>
      <c r="I15" s="132"/>
    </row>
    <row r="16" spans="2:12" ht="15.75">
      <c r="B16" s="132"/>
      <c r="C16" s="132"/>
      <c r="D16" s="132"/>
      <c r="E16" s="132" t="s">
        <v>350</v>
      </c>
      <c r="F16" s="132"/>
      <c r="G16" s="132"/>
      <c r="H16" s="132"/>
      <c r="I16" s="132"/>
    </row>
    <row r="17" spans="2:9" ht="15.75">
      <c r="B17" s="132"/>
      <c r="C17" s="132"/>
      <c r="D17" s="132"/>
      <c r="E17" s="132" t="s">
        <v>351</v>
      </c>
      <c r="F17" s="132"/>
      <c r="G17" s="132"/>
      <c r="H17" s="132"/>
      <c r="I17" s="132"/>
    </row>
    <row r="18" spans="2:9" ht="15.75">
      <c r="B18" s="250"/>
      <c r="C18" s="250"/>
      <c r="D18" s="250"/>
      <c r="E18" s="250"/>
      <c r="F18" s="250"/>
      <c r="G18" s="250"/>
      <c r="H18" s="250"/>
      <c r="I18" s="250"/>
    </row>
    <row r="19" spans="2:9" ht="15.75">
      <c r="B19" s="250"/>
      <c r="C19" s="250"/>
      <c r="D19" s="250"/>
      <c r="E19" s="250"/>
      <c r="F19" s="250"/>
      <c r="G19" s="250"/>
      <c r="H19" s="250"/>
      <c r="I19" s="250"/>
    </row>
    <row r="20" spans="2:9" ht="15.75">
      <c r="B20" s="270"/>
      <c r="C20" s="271"/>
      <c r="D20" s="272"/>
      <c r="E20" s="250"/>
      <c r="F20" s="250"/>
      <c r="G20" s="250"/>
      <c r="H20" s="250"/>
      <c r="I20" s="250"/>
    </row>
    <row r="21" spans="2:9" ht="15.75">
      <c r="B21" s="273"/>
      <c r="C21" s="274"/>
      <c r="D21" s="250"/>
      <c r="E21" s="250"/>
      <c r="F21" s="250"/>
      <c r="G21" s="250"/>
      <c r="H21" s="250"/>
      <c r="I21" s="250"/>
    </row>
  </sheetData>
  <mergeCells count="4">
    <mergeCell ref="B1:I1"/>
    <mergeCell ref="B2:I2"/>
    <mergeCell ref="B3:I3"/>
    <mergeCell ref="B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workbookViewId="0">
      <selection activeCell="B22" sqref="B22:E22"/>
    </sheetView>
  </sheetViews>
  <sheetFormatPr defaultRowHeight="15"/>
  <cols>
    <col min="1" max="1" width="2.6640625" style="86" customWidth="1"/>
    <col min="2" max="2" width="35.21875" customWidth="1"/>
    <col min="3" max="3" width="13.109375" customWidth="1"/>
    <col min="4" max="4" width="4.44140625" customWidth="1"/>
  </cols>
  <sheetData>
    <row r="1" spans="2:13" ht="18.75" customHeight="1">
      <c r="B1" s="568" t="s">
        <v>330</v>
      </c>
      <c r="C1" s="568"/>
      <c r="D1" s="568"/>
      <c r="E1" s="568"/>
      <c r="F1" s="568"/>
      <c r="G1" s="568"/>
      <c r="H1" s="568"/>
      <c r="I1" s="568"/>
      <c r="J1" s="187"/>
      <c r="K1" s="87"/>
      <c r="L1" s="187"/>
      <c r="M1" s="87"/>
    </row>
    <row r="2" spans="2:13" ht="18.75">
      <c r="B2" s="568" t="s">
        <v>332</v>
      </c>
      <c r="C2" s="568"/>
      <c r="D2" s="568"/>
      <c r="E2" s="568"/>
      <c r="F2" s="568"/>
      <c r="G2" s="568"/>
      <c r="H2" s="568"/>
      <c r="I2" s="568"/>
      <c r="J2" s="87"/>
      <c r="K2" s="87"/>
      <c r="L2" s="187"/>
      <c r="M2" s="187"/>
    </row>
    <row r="3" spans="2:13" ht="18.75">
      <c r="B3" s="568" t="s">
        <v>587</v>
      </c>
      <c r="C3" s="568"/>
      <c r="D3" s="568"/>
      <c r="E3" s="568"/>
      <c r="F3" s="568"/>
      <c r="G3" s="568"/>
      <c r="H3" s="568"/>
      <c r="I3" s="568"/>
      <c r="J3" s="87"/>
      <c r="K3" s="87"/>
      <c r="L3" s="87"/>
      <c r="M3" s="87"/>
    </row>
    <row r="4" spans="2:13" ht="18.75">
      <c r="B4" s="569">
        <f>Coversheet!E7</f>
        <v>43465</v>
      </c>
      <c r="C4" s="569"/>
      <c r="D4" s="569"/>
      <c r="E4" s="569"/>
      <c r="F4" s="569"/>
      <c r="G4" s="569"/>
      <c r="H4" s="569"/>
      <c r="I4" s="569"/>
      <c r="J4" s="87"/>
      <c r="K4" s="87"/>
      <c r="L4" s="87"/>
      <c r="M4" s="87"/>
    </row>
    <row r="5" spans="2:13">
      <c r="B5" s="87"/>
      <c r="C5" s="87"/>
      <c r="D5" s="87"/>
      <c r="E5" s="87"/>
      <c r="F5" s="87"/>
      <c r="G5" s="87"/>
      <c r="H5" s="87"/>
      <c r="I5" s="87"/>
      <c r="J5" s="87"/>
      <c r="K5" s="87"/>
      <c r="L5" s="87"/>
      <c r="M5" s="87"/>
    </row>
    <row r="6" spans="2:13">
      <c r="B6" s="87"/>
      <c r="C6" s="87"/>
      <c r="D6" s="87"/>
      <c r="E6" s="87"/>
      <c r="F6" s="87"/>
      <c r="G6" s="87"/>
      <c r="H6" s="87"/>
      <c r="I6" s="87"/>
      <c r="J6" s="87"/>
      <c r="K6" s="87"/>
      <c r="L6" s="87"/>
      <c r="M6" s="87"/>
    </row>
    <row r="7" spans="2:13" ht="15.75">
      <c r="B7" s="269" t="s">
        <v>383</v>
      </c>
      <c r="C7" s="243">
        <f>793512+435346</f>
        <v>1228858</v>
      </c>
      <c r="D7" s="269"/>
      <c r="E7" s="269" t="s">
        <v>531</v>
      </c>
      <c r="F7" s="269"/>
      <c r="G7" s="269"/>
      <c r="H7" s="269"/>
      <c r="I7" s="269"/>
      <c r="J7" s="269"/>
      <c r="K7" s="269"/>
      <c r="L7" s="269"/>
      <c r="M7" s="87"/>
    </row>
    <row r="8" spans="2:13" ht="15.75">
      <c r="B8" s="269" t="s">
        <v>45</v>
      </c>
      <c r="C8" s="243">
        <f>115177+14183</f>
        <v>129360</v>
      </c>
      <c r="D8" s="269"/>
      <c r="E8" s="269" t="s">
        <v>532</v>
      </c>
      <c r="F8" s="269"/>
      <c r="G8" s="269"/>
      <c r="H8" s="269"/>
      <c r="I8" s="269"/>
      <c r="J8" s="269"/>
      <c r="K8" s="269"/>
      <c r="L8" s="269"/>
      <c r="M8" s="87"/>
    </row>
    <row r="9" spans="2:13" ht="15.75">
      <c r="B9" s="269" t="s">
        <v>384</v>
      </c>
      <c r="C9" s="243">
        <f>461924+438821</f>
        <v>900745</v>
      </c>
      <c r="D9" s="269"/>
      <c r="E9" s="269" t="s">
        <v>533</v>
      </c>
      <c r="F9" s="269"/>
      <c r="G9" s="269"/>
      <c r="H9" s="269"/>
      <c r="I9" s="269"/>
      <c r="J9" s="269"/>
      <c r="K9" s="269"/>
      <c r="L9" s="269"/>
      <c r="M9" s="87"/>
    </row>
    <row r="10" spans="2:13" ht="18">
      <c r="B10" s="269" t="s">
        <v>534</v>
      </c>
      <c r="C10" s="275">
        <f>(101911+472000)*0.77</f>
        <v>441911.47000000003</v>
      </c>
      <c r="D10" s="269"/>
      <c r="E10" s="269" t="s">
        <v>535</v>
      </c>
      <c r="F10" s="269"/>
      <c r="G10" s="269"/>
      <c r="H10" s="269"/>
      <c r="I10" s="269"/>
      <c r="J10" s="269"/>
      <c r="K10" s="269"/>
      <c r="L10" s="269"/>
      <c r="M10" s="87"/>
    </row>
    <row r="11" spans="2:13" ht="15.75">
      <c r="B11" s="269"/>
      <c r="C11" s="239">
        <f>SUM(C7:C10)</f>
        <v>2700874.47</v>
      </c>
      <c r="D11" s="269"/>
      <c r="E11" s="269" t="s">
        <v>536</v>
      </c>
      <c r="F11" s="269"/>
      <c r="G11" s="269"/>
      <c r="H11" s="269"/>
      <c r="I11" s="269"/>
      <c r="J11" s="269"/>
      <c r="K11" s="269"/>
      <c r="L11" s="269"/>
      <c r="M11" s="87"/>
    </row>
    <row r="12" spans="2:13" ht="15.75">
      <c r="B12" s="269"/>
      <c r="C12" s="269"/>
      <c r="D12" s="269"/>
      <c r="E12" s="269" t="s">
        <v>537</v>
      </c>
      <c r="F12" s="269"/>
      <c r="G12" s="269"/>
      <c r="H12" s="269"/>
      <c r="I12" s="269"/>
      <c r="J12" s="269"/>
      <c r="K12" s="269"/>
      <c r="L12" s="269"/>
      <c r="M12" s="87"/>
    </row>
    <row r="13" spans="2:13" ht="15.75">
      <c r="B13" s="269"/>
      <c r="C13" s="269"/>
      <c r="D13" s="269"/>
      <c r="E13" s="276" t="s">
        <v>538</v>
      </c>
      <c r="F13" s="269"/>
      <c r="G13" s="269"/>
      <c r="H13" s="269"/>
      <c r="I13" s="269"/>
      <c r="J13" s="269"/>
      <c r="K13" s="269"/>
      <c r="L13" s="269"/>
      <c r="M13" s="87"/>
    </row>
    <row r="14" spans="2:13" ht="15.75">
      <c r="B14" s="269"/>
      <c r="C14" s="269"/>
      <c r="D14" s="269"/>
      <c r="E14" s="277"/>
      <c r="F14" s="269"/>
      <c r="G14" s="269"/>
      <c r="H14" s="269"/>
      <c r="I14" s="269"/>
      <c r="J14" s="269"/>
      <c r="K14" s="269"/>
      <c r="L14" s="269"/>
      <c r="M14" s="87"/>
    </row>
    <row r="15" spans="2:13" ht="15.75">
      <c r="B15" s="269"/>
      <c r="C15" s="269"/>
      <c r="D15" s="269"/>
      <c r="E15" s="278"/>
      <c r="F15" s="269"/>
      <c r="G15" s="269"/>
      <c r="H15" s="269"/>
      <c r="I15" s="269"/>
      <c r="J15" s="269"/>
      <c r="K15" s="269"/>
      <c r="L15" s="269"/>
      <c r="M15" s="87"/>
    </row>
    <row r="16" spans="2:13" ht="15.75">
      <c r="B16" s="279" t="s">
        <v>539</v>
      </c>
      <c r="C16" s="279"/>
      <c r="D16" s="280" t="s">
        <v>605</v>
      </c>
      <c r="E16" s="269"/>
      <c r="F16" s="269"/>
      <c r="G16" s="269"/>
      <c r="H16" s="269"/>
      <c r="I16" s="269"/>
      <c r="J16" s="269"/>
      <c r="K16" s="269"/>
      <c r="L16" s="269"/>
      <c r="M16" s="87"/>
    </row>
    <row r="17" spans="2:13" ht="15.75">
      <c r="B17" s="279" t="s">
        <v>540</v>
      </c>
      <c r="C17" s="279"/>
      <c r="D17" s="280" t="s">
        <v>605</v>
      </c>
      <c r="E17" s="269"/>
      <c r="F17" s="269"/>
      <c r="G17" s="269"/>
      <c r="H17" s="269"/>
      <c r="I17" s="269"/>
      <c r="J17" s="269"/>
      <c r="K17" s="269"/>
      <c r="L17" s="269"/>
      <c r="M17" s="87"/>
    </row>
    <row r="18" spans="2:13" ht="15.75">
      <c r="B18" s="279"/>
      <c r="C18" s="269"/>
      <c r="D18" s="269"/>
      <c r="E18" s="269"/>
      <c r="F18" s="269"/>
      <c r="G18" s="269"/>
      <c r="H18" s="269"/>
      <c r="I18" s="269"/>
      <c r="J18" s="269"/>
      <c r="K18" s="269"/>
      <c r="L18" s="269"/>
      <c r="M18" s="87"/>
    </row>
    <row r="19" spans="2:13" ht="15.75">
      <c r="B19" s="269" t="s">
        <v>541</v>
      </c>
      <c r="C19" s="269"/>
      <c r="D19" s="269"/>
      <c r="E19" s="269"/>
      <c r="F19" s="269"/>
      <c r="G19" s="269"/>
      <c r="H19" s="269"/>
      <c r="I19" s="269"/>
      <c r="J19" s="269"/>
      <c r="K19" s="269"/>
      <c r="L19" s="269"/>
      <c r="M19" s="87"/>
    </row>
    <row r="20" spans="2:13" ht="15.75">
      <c r="B20" s="281" t="s">
        <v>542</v>
      </c>
      <c r="C20" s="269"/>
      <c r="D20" s="269"/>
      <c r="E20" s="269"/>
      <c r="F20" s="269"/>
      <c r="G20" s="269"/>
      <c r="H20" s="269"/>
      <c r="I20" s="269"/>
      <c r="J20" s="269"/>
      <c r="K20" s="269"/>
      <c r="L20" s="269"/>
      <c r="M20" s="87"/>
    </row>
    <row r="21" spans="2:13" ht="15.75">
      <c r="B21" s="269"/>
      <c r="C21" s="269"/>
      <c r="D21" s="269"/>
      <c r="E21" s="269"/>
      <c r="F21" s="269"/>
      <c r="G21" s="269"/>
      <c r="H21" s="269"/>
      <c r="I21" s="269"/>
      <c r="J21" s="269"/>
      <c r="K21" s="269"/>
      <c r="L21" s="269"/>
      <c r="M21" s="87"/>
    </row>
    <row r="22" spans="2:13">
      <c r="B22" s="576" t="s">
        <v>619</v>
      </c>
      <c r="C22" s="576"/>
      <c r="D22" s="576"/>
      <c r="E22" s="576"/>
    </row>
  </sheetData>
  <mergeCells count="5">
    <mergeCell ref="B1:I1"/>
    <mergeCell ref="B2:I2"/>
    <mergeCell ref="B3:I3"/>
    <mergeCell ref="B4:I4"/>
    <mergeCell ref="B22:E22"/>
  </mergeCells>
  <pageMargins left="0.7" right="0.7" top="0.75" bottom="0.75" header="0.3" footer="0.3"/>
  <pageSetup orientation="portrait" horizontalDpi="4294967293" vertic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selection activeCell="E15" sqref="E15"/>
    </sheetView>
  </sheetViews>
  <sheetFormatPr defaultRowHeight="15"/>
  <cols>
    <col min="1" max="1" width="2.33203125" style="86" customWidth="1"/>
    <col min="2" max="2" width="32.109375" customWidth="1"/>
    <col min="3" max="3" width="12.88671875" customWidth="1"/>
    <col min="4" max="4" width="2.33203125" customWidth="1"/>
    <col min="5" max="11" width="9.33203125" customWidth="1"/>
  </cols>
  <sheetData>
    <row r="1" spans="2:10" s="186" customFormat="1" ht="18.75">
      <c r="B1" s="568" t="s">
        <v>330</v>
      </c>
      <c r="C1" s="568"/>
      <c r="D1" s="568"/>
      <c r="E1" s="568"/>
      <c r="F1" s="568"/>
      <c r="G1" s="72"/>
      <c r="H1" s="72"/>
      <c r="I1" s="72"/>
      <c r="J1" s="202"/>
    </row>
    <row r="2" spans="2:10" s="186" customFormat="1" ht="18.75">
      <c r="B2" s="568" t="s">
        <v>332</v>
      </c>
      <c r="C2" s="568"/>
      <c r="D2" s="568"/>
      <c r="E2" s="568"/>
      <c r="F2" s="568"/>
      <c r="G2" s="72"/>
      <c r="H2" s="72"/>
      <c r="I2" s="72"/>
    </row>
    <row r="3" spans="2:10" s="186" customFormat="1" ht="18.75">
      <c r="B3" s="568" t="s">
        <v>588</v>
      </c>
      <c r="C3" s="568"/>
      <c r="D3" s="568"/>
      <c r="E3" s="568"/>
      <c r="F3" s="568"/>
      <c r="G3" s="72"/>
      <c r="H3" s="72"/>
      <c r="I3" s="72"/>
    </row>
    <row r="4" spans="2:10" ht="18.75">
      <c r="B4" s="569">
        <f>Coversheet!E7</f>
        <v>43465</v>
      </c>
      <c r="C4" s="569"/>
      <c r="D4" s="569"/>
      <c r="E4" s="569"/>
      <c r="F4" s="569"/>
      <c r="G4" s="43"/>
      <c r="H4" s="43"/>
      <c r="I4" s="43"/>
      <c r="J4" s="89"/>
    </row>
    <row r="5" spans="2:10" ht="15.75">
      <c r="B5" s="134"/>
      <c r="C5" s="133"/>
      <c r="D5" s="112"/>
      <c r="E5" s="89"/>
      <c r="F5" s="112"/>
      <c r="G5" s="89"/>
      <c r="H5" s="89"/>
      <c r="I5" s="89"/>
      <c r="J5" s="89"/>
    </row>
    <row r="6" spans="2:10" ht="15.75">
      <c r="B6" s="135" t="s">
        <v>543</v>
      </c>
      <c r="C6" s="132"/>
      <c r="D6" s="247"/>
      <c r="E6" s="247"/>
      <c r="F6" s="247"/>
      <c r="G6" s="247"/>
      <c r="H6" s="247"/>
      <c r="I6" s="247"/>
      <c r="J6" s="247"/>
    </row>
    <row r="7" spans="2:10" ht="15.75">
      <c r="B7" s="135" t="s">
        <v>544</v>
      </c>
      <c r="C7" s="135"/>
      <c r="D7" s="114"/>
      <c r="E7" s="247"/>
      <c r="F7" s="247"/>
      <c r="G7" s="247"/>
      <c r="H7" s="247"/>
      <c r="I7" s="247"/>
      <c r="J7" s="247"/>
    </row>
    <row r="8" spans="2:10" ht="15.75">
      <c r="B8" s="247"/>
      <c r="C8" s="247"/>
      <c r="D8" s="247"/>
      <c r="E8" s="247"/>
      <c r="F8" s="247"/>
      <c r="G8" s="247"/>
      <c r="H8" s="247"/>
      <c r="I8" s="247"/>
      <c r="J8" s="247"/>
    </row>
    <row r="9" spans="2:10" ht="15.75">
      <c r="B9" s="120" t="s">
        <v>545</v>
      </c>
      <c r="C9" s="111" t="s">
        <v>7</v>
      </c>
      <c r="D9" s="247"/>
      <c r="E9" s="247"/>
      <c r="F9" s="247"/>
      <c r="G9" s="247"/>
      <c r="H9" s="247"/>
      <c r="I9" s="247"/>
      <c r="J9" s="247"/>
    </row>
    <row r="10" spans="2:10" ht="15.75">
      <c r="B10" s="247"/>
      <c r="C10" s="247"/>
      <c r="D10" s="247"/>
      <c r="E10" s="247"/>
      <c r="F10" s="247"/>
      <c r="G10" s="247"/>
      <c r="H10" s="247"/>
      <c r="I10" s="247"/>
      <c r="J10" s="247"/>
    </row>
    <row r="11" spans="2:10" ht="15.75">
      <c r="B11" s="247" t="s">
        <v>546</v>
      </c>
      <c r="C11" s="261">
        <v>0</v>
      </c>
      <c r="D11" s="247"/>
      <c r="E11" s="247" t="s">
        <v>408</v>
      </c>
      <c r="F11" s="247"/>
      <c r="G11" s="247"/>
      <c r="H11" s="247"/>
      <c r="I11" s="247"/>
      <c r="J11" s="247"/>
    </row>
    <row r="12" spans="2:10" ht="15.75">
      <c r="B12" s="247" t="s">
        <v>546</v>
      </c>
      <c r="C12" s="285">
        <v>0</v>
      </c>
      <c r="D12" s="247"/>
      <c r="E12" s="247"/>
      <c r="F12" s="247"/>
      <c r="G12" s="247"/>
      <c r="H12" s="247"/>
      <c r="I12" s="247"/>
      <c r="J12" s="247"/>
    </row>
    <row r="13" spans="2:10" ht="15.75">
      <c r="B13" s="247" t="s">
        <v>546</v>
      </c>
      <c r="C13" s="286">
        <v>0</v>
      </c>
      <c r="D13" s="247"/>
      <c r="E13" s="247"/>
      <c r="F13" s="247"/>
      <c r="G13" s="247"/>
      <c r="H13" s="247"/>
      <c r="I13" s="247"/>
      <c r="J13" s="247"/>
    </row>
    <row r="14" spans="2:10" ht="15.75">
      <c r="B14" s="247" t="s">
        <v>546</v>
      </c>
      <c r="C14" s="282">
        <v>0</v>
      </c>
      <c r="D14" s="247"/>
      <c r="E14" s="247"/>
      <c r="F14" s="247"/>
      <c r="G14" s="247"/>
      <c r="H14" s="247"/>
      <c r="I14" s="247"/>
      <c r="J14" s="247"/>
    </row>
    <row r="15" spans="2:10" ht="15.75">
      <c r="B15" s="247" t="s">
        <v>547</v>
      </c>
      <c r="C15" s="283">
        <f>SUM(C11:C14)</f>
        <v>0</v>
      </c>
      <c r="D15" s="247"/>
      <c r="E15" s="248" t="s">
        <v>548</v>
      </c>
      <c r="F15" s="247"/>
      <c r="G15" s="247"/>
      <c r="H15" s="247"/>
      <c r="I15" s="247"/>
      <c r="J15" s="247"/>
    </row>
    <row r="16" spans="2:10" ht="15.75">
      <c r="B16" s="247"/>
      <c r="C16" s="247"/>
      <c r="D16" s="247"/>
      <c r="E16" s="577" t="s">
        <v>549</v>
      </c>
      <c r="F16" s="577"/>
      <c r="G16" s="577" t="s">
        <v>550</v>
      </c>
      <c r="H16" s="577"/>
      <c r="I16" s="577"/>
      <c r="J16" s="577"/>
    </row>
    <row r="17" spans="2:12" ht="15.75">
      <c r="B17" s="464" t="s">
        <v>544</v>
      </c>
      <c r="C17" s="247"/>
      <c r="D17" s="247"/>
      <c r="E17" s="247" t="s">
        <v>551</v>
      </c>
      <c r="F17" s="247"/>
      <c r="G17" s="247"/>
      <c r="H17" s="247"/>
      <c r="I17" s="247"/>
      <c r="J17" s="247"/>
    </row>
    <row r="18" spans="2:12" ht="15.75">
      <c r="B18" s="247"/>
      <c r="C18" s="247"/>
      <c r="D18" s="247"/>
      <c r="E18" s="247" t="s">
        <v>552</v>
      </c>
      <c r="F18" s="247"/>
      <c r="G18" s="284"/>
      <c r="H18" s="247"/>
      <c r="I18" s="247"/>
      <c r="J18" s="247"/>
    </row>
    <row r="19" spans="2:12" ht="15.75">
      <c r="B19" s="461" t="s">
        <v>408</v>
      </c>
      <c r="C19" s="247"/>
      <c r="D19" s="247"/>
      <c r="E19" s="247" t="s">
        <v>553</v>
      </c>
      <c r="F19" s="247"/>
      <c r="G19" s="247"/>
      <c r="H19" s="247"/>
      <c r="I19" s="247"/>
      <c r="J19" s="247"/>
    </row>
    <row r="20" spans="2:12" ht="15.75">
      <c r="B20" s="247"/>
      <c r="C20" s="247"/>
      <c r="D20" s="247"/>
      <c r="E20" s="247" t="s">
        <v>554</v>
      </c>
      <c r="F20" s="247"/>
      <c r="G20" s="247"/>
      <c r="H20" s="247"/>
      <c r="I20" s="247"/>
      <c r="J20" s="247"/>
    </row>
    <row r="21" spans="2:12" ht="15.75">
      <c r="B21" s="247"/>
      <c r="C21" s="247"/>
      <c r="D21" s="247"/>
      <c r="E21" s="247"/>
      <c r="F21" s="247"/>
      <c r="G21" s="247"/>
      <c r="H21" s="247"/>
      <c r="I21" s="247"/>
      <c r="J21" s="247"/>
    </row>
    <row r="22" spans="2:12" ht="15.75">
      <c r="B22" s="247"/>
      <c r="C22" s="247"/>
      <c r="D22" s="247"/>
      <c r="E22" s="247"/>
      <c r="F22" s="247"/>
      <c r="G22" s="247"/>
      <c r="H22" s="247"/>
      <c r="I22" s="247"/>
      <c r="J22" s="247"/>
    </row>
    <row r="23" spans="2:12" ht="15.75">
      <c r="B23" s="250"/>
      <c r="C23" s="250"/>
      <c r="D23" s="250"/>
      <c r="E23" s="250"/>
      <c r="F23" s="250"/>
      <c r="G23" s="250"/>
      <c r="H23" s="250"/>
      <c r="I23" s="250"/>
      <c r="J23" s="250"/>
    </row>
    <row r="24" spans="2:12" ht="15.75">
      <c r="B24" s="250"/>
      <c r="C24" s="250"/>
      <c r="D24" s="250"/>
      <c r="E24" s="250"/>
      <c r="F24" s="250"/>
      <c r="G24" s="250"/>
      <c r="H24" s="250"/>
      <c r="I24" s="250"/>
      <c r="J24" s="250"/>
    </row>
    <row r="25" spans="2:12" ht="15.75">
      <c r="B25" s="250"/>
      <c r="C25" s="250"/>
      <c r="D25" s="250"/>
      <c r="E25" s="250"/>
      <c r="F25" s="250"/>
      <c r="G25" s="250"/>
      <c r="H25" s="250"/>
      <c r="I25" s="250"/>
      <c r="J25" s="250"/>
    </row>
    <row r="26" spans="2:12" ht="15.75">
      <c r="B26" s="250"/>
      <c r="C26" s="250"/>
      <c r="D26" s="250"/>
      <c r="E26" s="250"/>
      <c r="F26" s="250"/>
      <c r="G26" s="250"/>
      <c r="H26" s="250"/>
      <c r="I26" s="250"/>
      <c r="J26" s="250"/>
    </row>
    <row r="29" spans="2:12">
      <c r="E29" s="187"/>
      <c r="F29" s="187"/>
      <c r="G29" s="187"/>
      <c r="H29" s="187"/>
      <c r="I29" s="187"/>
      <c r="J29" s="187"/>
      <c r="K29" s="187"/>
      <c r="L29" s="187"/>
    </row>
  </sheetData>
  <mergeCells count="5">
    <mergeCell ref="E16:J16"/>
    <mergeCell ref="B1:F1"/>
    <mergeCell ref="B2:F2"/>
    <mergeCell ref="B3:F3"/>
    <mergeCell ref="B4:F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B4" sqref="B4:G4"/>
    </sheetView>
  </sheetViews>
  <sheetFormatPr defaultRowHeight="15"/>
  <cols>
    <col min="1" max="1" width="2.44140625" customWidth="1"/>
    <col min="2" max="2" width="45.6640625" customWidth="1"/>
    <col min="3" max="3" width="17.5546875" customWidth="1"/>
    <col min="4" max="4" width="2" customWidth="1"/>
    <col min="5" max="5" width="8.44140625" customWidth="1"/>
    <col min="8" max="8" width="12.33203125" bestFit="1" customWidth="1"/>
  </cols>
  <sheetData>
    <row r="1" spans="1:8" ht="18.75">
      <c r="A1" s="89"/>
      <c r="B1" s="568" t="s">
        <v>330</v>
      </c>
      <c r="C1" s="568"/>
      <c r="D1" s="568"/>
      <c r="E1" s="568"/>
      <c r="F1" s="568"/>
      <c r="G1" s="568"/>
      <c r="H1" s="202"/>
    </row>
    <row r="2" spans="1:8" ht="18.75">
      <c r="A2" s="89"/>
      <c r="B2" s="568" t="s">
        <v>332</v>
      </c>
      <c r="C2" s="568"/>
      <c r="D2" s="568"/>
      <c r="E2" s="568"/>
      <c r="F2" s="568"/>
      <c r="G2" s="568"/>
    </row>
    <row r="3" spans="1:8" ht="18.75">
      <c r="A3" s="119"/>
      <c r="B3" s="568" t="s">
        <v>589</v>
      </c>
      <c r="C3" s="568"/>
      <c r="D3" s="568"/>
      <c r="E3" s="568"/>
      <c r="F3" s="568"/>
      <c r="G3" s="568"/>
    </row>
    <row r="4" spans="1:8" ht="18.75">
      <c r="A4" s="112"/>
      <c r="B4" s="569">
        <f>Coversheet!E7</f>
        <v>43465</v>
      </c>
      <c r="C4" s="569"/>
      <c r="D4" s="569"/>
      <c r="E4" s="569"/>
      <c r="F4" s="569"/>
      <c r="G4" s="569"/>
    </row>
    <row r="5" spans="1:8" ht="15.75">
      <c r="A5" s="112"/>
      <c r="B5" s="287"/>
      <c r="C5" s="123"/>
      <c r="D5" s="133"/>
      <c r="E5" s="133"/>
      <c r="F5" s="288"/>
      <c r="G5" s="288"/>
    </row>
    <row r="6" spans="1:8" ht="15.75">
      <c r="A6" s="112"/>
      <c r="B6" s="133"/>
      <c r="C6" s="132"/>
      <c r="D6" s="136"/>
      <c r="E6" s="133"/>
      <c r="F6" s="288"/>
      <c r="G6" s="288"/>
    </row>
    <row r="7" spans="1:8" ht="15.75">
      <c r="A7" s="112"/>
      <c r="B7" s="131" t="s">
        <v>555</v>
      </c>
      <c r="C7" s="134" t="s">
        <v>590</v>
      </c>
      <c r="D7" s="289"/>
      <c r="E7" s="133"/>
      <c r="F7" s="250"/>
      <c r="G7" s="250"/>
    </row>
    <row r="8" spans="1:8" ht="15.75">
      <c r="A8" s="112"/>
      <c r="B8" s="133" t="s">
        <v>556</v>
      </c>
      <c r="C8" s="291">
        <v>23000</v>
      </c>
      <c r="D8" s="133"/>
      <c r="E8" s="133"/>
      <c r="F8" s="250"/>
      <c r="G8" s="250"/>
    </row>
    <row r="9" spans="1:8" ht="15.75">
      <c r="A9" s="112"/>
      <c r="B9" s="133" t="s">
        <v>557</v>
      </c>
      <c r="C9" s="291">
        <v>1900000</v>
      </c>
      <c r="D9" s="133"/>
      <c r="E9" s="133"/>
      <c r="F9" s="250"/>
      <c r="G9" s="250"/>
    </row>
    <row r="10" spans="1:8" ht="15.75">
      <c r="A10" s="112"/>
      <c r="B10" s="133" t="s">
        <v>558</v>
      </c>
      <c r="C10" s="440">
        <v>0</v>
      </c>
      <c r="D10" s="133"/>
      <c r="E10" s="133"/>
      <c r="F10" s="250"/>
      <c r="G10" s="250"/>
    </row>
    <row r="11" spans="1:8" ht="15.75">
      <c r="A11" s="112"/>
      <c r="B11" s="133" t="s">
        <v>559</v>
      </c>
      <c r="C11" s="440">
        <v>0</v>
      </c>
      <c r="D11" s="133"/>
      <c r="E11" s="133"/>
      <c r="F11" s="250"/>
      <c r="G11" s="250"/>
      <c r="H11" s="186"/>
    </row>
    <row r="12" spans="1:8" ht="15.75">
      <c r="A12" s="112"/>
      <c r="B12" s="133" t="s">
        <v>560</v>
      </c>
      <c r="C12" s="440">
        <v>0</v>
      </c>
      <c r="D12" s="133"/>
      <c r="E12" s="133"/>
      <c r="F12" s="250"/>
      <c r="G12" s="250"/>
      <c r="H12" s="186"/>
    </row>
    <row r="13" spans="1:8" ht="15.75">
      <c r="A13" s="112"/>
      <c r="B13" s="133" t="s">
        <v>561</v>
      </c>
      <c r="C13" s="440">
        <v>0</v>
      </c>
      <c r="D13" s="133"/>
      <c r="E13" s="133"/>
      <c r="F13" s="250"/>
      <c r="G13" s="250"/>
    </row>
    <row r="14" spans="1:8" ht="15.75">
      <c r="A14" s="112"/>
      <c r="B14" s="133" t="s">
        <v>562</v>
      </c>
      <c r="C14" s="440">
        <v>0</v>
      </c>
      <c r="D14" s="133"/>
      <c r="E14" s="290"/>
      <c r="F14" s="250"/>
      <c r="G14" s="250"/>
    </row>
    <row r="15" spans="1:8" ht="15.75">
      <c r="A15" s="112"/>
      <c r="B15" s="133" t="s">
        <v>563</v>
      </c>
      <c r="C15" s="440">
        <v>0</v>
      </c>
      <c r="D15" s="133"/>
      <c r="E15" s="290"/>
      <c r="F15" s="250"/>
      <c r="G15" s="250"/>
    </row>
    <row r="16" spans="1:8" ht="15.75">
      <c r="A16" s="112"/>
      <c r="B16" s="133" t="s">
        <v>563</v>
      </c>
      <c r="C16" s="440">
        <v>0</v>
      </c>
      <c r="D16" s="133"/>
      <c r="E16" s="290"/>
      <c r="F16" s="250"/>
      <c r="G16" s="250"/>
    </row>
    <row r="17" spans="1:8" ht="24.75" customHeight="1">
      <c r="A17" s="112"/>
      <c r="B17" s="133" t="s">
        <v>564</v>
      </c>
      <c r="C17" s="292">
        <f>SUM(C8:C16)</f>
        <v>1923000</v>
      </c>
      <c r="D17" s="133"/>
      <c r="E17" s="290"/>
      <c r="F17" s="250"/>
      <c r="G17" s="250"/>
    </row>
    <row r="18" spans="1:8" ht="15.75">
      <c r="A18" s="112"/>
      <c r="B18" s="133"/>
      <c r="C18" s="293"/>
      <c r="D18" s="133"/>
      <c r="E18" s="290"/>
      <c r="F18" s="250"/>
      <c r="G18" s="250"/>
    </row>
    <row r="19" spans="1:8" ht="15.75">
      <c r="A19" s="112"/>
      <c r="B19" s="133"/>
      <c r="C19" s="294"/>
      <c r="D19" s="133"/>
      <c r="E19" s="290"/>
      <c r="F19" s="250"/>
      <c r="G19" s="250"/>
    </row>
    <row r="20" spans="1:8" ht="29.25" customHeight="1">
      <c r="A20" s="124"/>
      <c r="B20" s="295" t="s">
        <v>135</v>
      </c>
      <c r="C20" s="294">
        <f>C17</f>
        <v>1923000</v>
      </c>
      <c r="D20" s="133"/>
      <c r="E20" s="290" t="s">
        <v>565</v>
      </c>
      <c r="F20" s="250"/>
      <c r="G20" s="250"/>
      <c r="H20" s="202"/>
    </row>
    <row r="21" spans="1:8" ht="29.25" customHeight="1">
      <c r="A21" s="124"/>
      <c r="B21" s="296" t="s">
        <v>566</v>
      </c>
      <c r="C21" s="294">
        <f>C10+C11+C9+C12</f>
        <v>1900000</v>
      </c>
      <c r="D21" s="133"/>
      <c r="E21" s="290" t="s">
        <v>567</v>
      </c>
      <c r="F21" s="250"/>
      <c r="G21" s="250"/>
      <c r="H21" s="202"/>
    </row>
    <row r="22" spans="1:8" ht="29.25" customHeight="1">
      <c r="A22" s="125"/>
      <c r="B22" s="297" t="s">
        <v>281</v>
      </c>
      <c r="C22" s="294">
        <f>C13</f>
        <v>0</v>
      </c>
      <c r="D22" s="133"/>
      <c r="E22" s="290" t="s">
        <v>568</v>
      </c>
      <c r="F22" s="250"/>
      <c r="G22" s="250"/>
      <c r="H22" s="202"/>
    </row>
    <row r="23" spans="1:8" ht="29.25" customHeight="1">
      <c r="A23" s="125"/>
      <c r="B23" s="297" t="s">
        <v>282</v>
      </c>
      <c r="C23" s="294">
        <f>C14</f>
        <v>0</v>
      </c>
      <c r="D23" s="133"/>
      <c r="E23" s="290" t="s">
        <v>569</v>
      </c>
      <c r="F23" s="250"/>
      <c r="G23" s="250"/>
      <c r="H23" s="202"/>
    </row>
    <row r="24" spans="1:8" ht="29.25" customHeight="1">
      <c r="A24" s="124"/>
      <c r="B24" s="297" t="s">
        <v>570</v>
      </c>
      <c r="C24" s="298">
        <f>C20-C21-C22-C23</f>
        <v>23000</v>
      </c>
      <c r="D24" s="133"/>
      <c r="E24" s="290" t="s">
        <v>571</v>
      </c>
      <c r="F24" s="250"/>
      <c r="G24" s="250"/>
      <c r="H24" s="202"/>
    </row>
    <row r="25" spans="1:8" ht="15.75">
      <c r="B25" s="250"/>
      <c r="C25" s="250"/>
      <c r="D25" s="250"/>
      <c r="E25" s="250"/>
      <c r="F25" s="250"/>
      <c r="G25" s="250"/>
      <c r="H25" s="202"/>
    </row>
    <row r="26" spans="1:8" ht="15.75">
      <c r="B26" s="250"/>
      <c r="C26" s="250"/>
      <c r="D26" s="250"/>
      <c r="E26" s="250"/>
      <c r="F26" s="250"/>
      <c r="G26" s="250"/>
    </row>
    <row r="27" spans="1:8" ht="15.75">
      <c r="B27" s="250"/>
      <c r="C27" s="250"/>
      <c r="D27" s="250"/>
      <c r="E27" s="250"/>
      <c r="F27" s="250"/>
      <c r="G27" s="250"/>
    </row>
    <row r="28" spans="1:8" ht="15.75">
      <c r="B28" s="250"/>
      <c r="C28" s="250"/>
      <c r="D28" s="250"/>
      <c r="E28" s="250"/>
      <c r="F28" s="250"/>
      <c r="G28" s="250"/>
    </row>
  </sheetData>
  <mergeCells count="4">
    <mergeCell ref="B1:G1"/>
    <mergeCell ref="B2:G2"/>
    <mergeCell ref="B3:G3"/>
    <mergeCell ref="B4:G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6"/>
  <sheetViews>
    <sheetView zoomScale="90" zoomScaleNormal="90" zoomScaleSheetLayoutView="85" workbookViewId="0"/>
  </sheetViews>
  <sheetFormatPr defaultRowHeight="15.75"/>
  <cols>
    <col min="1" max="1" width="6" style="302" customWidth="1"/>
    <col min="2" max="2" width="28.44140625" style="302" customWidth="1"/>
    <col min="3" max="3" width="47" style="302" bestFit="1" customWidth="1"/>
    <col min="4" max="4" width="11.88671875" style="302" customWidth="1"/>
    <col min="5" max="5" width="4.88671875" style="302" customWidth="1"/>
    <col min="6" max="6" width="4.6640625" style="302" customWidth="1"/>
    <col min="7" max="7" width="8" style="302" customWidth="1"/>
    <col min="8" max="8" width="3.88671875" style="302" customWidth="1"/>
    <col min="9" max="9" width="10.88671875" style="302" customWidth="1"/>
    <col min="10" max="10" width="2.109375" style="302" customWidth="1"/>
    <col min="11" max="11" width="9.21875" style="302" customWidth="1"/>
    <col min="12" max="13" width="8.88671875" style="302"/>
    <col min="14" max="14" width="16.77734375" style="302" customWidth="1"/>
    <col min="15" max="16384" width="8.88671875" style="302"/>
  </cols>
  <sheetData>
    <row r="1" spans="1:16" ht="15.75" customHeight="1">
      <c r="K1" s="303" t="s">
        <v>303</v>
      </c>
      <c r="N1" s="4"/>
      <c r="O1" s="4"/>
    </row>
    <row r="2" spans="1:16">
      <c r="B2" s="2"/>
      <c r="C2" s="2"/>
      <c r="D2" s="3"/>
      <c r="E2" s="2"/>
      <c r="F2" s="2"/>
      <c r="G2" s="2"/>
      <c r="H2" s="4"/>
      <c r="I2" s="4"/>
      <c r="K2" s="304" t="s">
        <v>179</v>
      </c>
      <c r="L2" s="4"/>
      <c r="N2" s="4"/>
      <c r="O2" s="4"/>
      <c r="P2" s="4"/>
    </row>
    <row r="3" spans="1:16">
      <c r="B3" s="2"/>
      <c r="C3" s="2"/>
      <c r="D3" s="3"/>
      <c r="E3" s="2"/>
      <c r="F3" s="2"/>
      <c r="G3" s="2"/>
      <c r="H3" s="4"/>
      <c r="I3" s="4"/>
      <c r="J3" s="4"/>
      <c r="K3" s="1"/>
      <c r="L3" s="4"/>
      <c r="N3" s="4"/>
      <c r="O3" s="4"/>
      <c r="P3" s="4"/>
    </row>
    <row r="4" spans="1:16">
      <c r="B4" s="2" t="s">
        <v>0</v>
      </c>
      <c r="C4" s="2"/>
      <c r="D4" s="3" t="s">
        <v>1</v>
      </c>
      <c r="E4" s="2"/>
      <c r="F4" s="2"/>
      <c r="G4" s="2"/>
      <c r="H4" s="27"/>
      <c r="I4" s="305"/>
      <c r="J4" s="27"/>
      <c r="K4" s="5" t="s">
        <v>658</v>
      </c>
      <c r="L4" s="4"/>
      <c r="N4" s="4"/>
      <c r="O4" s="4"/>
      <c r="P4" s="4"/>
    </row>
    <row r="5" spans="1:16">
      <c r="B5" s="2"/>
      <c r="C5" s="306" t="s">
        <v>2</v>
      </c>
      <c r="D5" s="306" t="s">
        <v>3</v>
      </c>
      <c r="E5" s="306"/>
      <c r="F5" s="306"/>
      <c r="G5" s="306"/>
      <c r="H5" s="4"/>
      <c r="I5" s="4"/>
      <c r="J5" s="4"/>
      <c r="K5" s="4"/>
      <c r="L5" s="4"/>
      <c r="N5" s="4"/>
      <c r="O5" s="4"/>
      <c r="P5" s="4"/>
    </row>
    <row r="6" spans="1:16">
      <c r="B6" s="4"/>
      <c r="C6" s="4"/>
      <c r="D6" s="4"/>
      <c r="E6" s="4"/>
      <c r="F6" s="4"/>
      <c r="G6" s="4"/>
      <c r="H6" s="4"/>
      <c r="I6" s="4"/>
      <c r="J6" s="4"/>
      <c r="K6" s="4"/>
      <c r="L6" s="4"/>
      <c r="N6" s="4"/>
      <c r="O6" s="4"/>
      <c r="P6" s="4"/>
    </row>
    <row r="7" spans="1:16">
      <c r="A7" s="1"/>
      <c r="B7" s="4"/>
      <c r="C7" s="4"/>
      <c r="D7" s="307" t="s">
        <v>294</v>
      </c>
      <c r="E7" s="27"/>
      <c r="F7" s="4"/>
      <c r="G7" s="4"/>
      <c r="H7" s="4"/>
      <c r="I7" s="4"/>
      <c r="J7" s="4"/>
      <c r="K7" s="4"/>
      <c r="L7" s="4"/>
      <c r="N7" s="4"/>
      <c r="O7" s="4"/>
      <c r="P7" s="4"/>
    </row>
    <row r="8" spans="1:16">
      <c r="A8" s="1"/>
      <c r="B8" s="4"/>
      <c r="C8" s="4"/>
      <c r="D8" s="308"/>
      <c r="E8" s="4"/>
      <c r="F8" s="4"/>
      <c r="G8" s="4"/>
      <c r="H8" s="4"/>
      <c r="I8" s="4"/>
      <c r="J8" s="4"/>
      <c r="K8" s="4"/>
      <c r="L8" s="4"/>
      <c r="N8" s="4"/>
      <c r="O8" s="4"/>
      <c r="P8" s="4"/>
    </row>
    <row r="9" spans="1:16">
      <c r="A9" s="1" t="s">
        <v>4</v>
      </c>
      <c r="B9" s="4"/>
      <c r="C9" s="4"/>
      <c r="D9" s="308"/>
      <c r="E9" s="4"/>
      <c r="F9" s="4"/>
      <c r="G9" s="4"/>
      <c r="H9" s="4"/>
      <c r="I9" s="1" t="s">
        <v>5</v>
      </c>
      <c r="J9" s="4"/>
      <c r="K9" s="4"/>
      <c r="L9" s="4"/>
      <c r="N9" s="4"/>
      <c r="O9" s="4"/>
      <c r="P9" s="4"/>
    </row>
    <row r="10" spans="1:16" ht="16.5" thickBot="1">
      <c r="A10" s="6" t="s">
        <v>6</v>
      </c>
      <c r="B10" s="4"/>
      <c r="C10" s="4"/>
      <c r="D10" s="4"/>
      <c r="E10" s="4"/>
      <c r="F10" s="4"/>
      <c r="G10" s="4"/>
      <c r="H10" s="4"/>
      <c r="I10" s="6" t="s">
        <v>7</v>
      </c>
      <c r="J10" s="4"/>
      <c r="K10" s="4"/>
      <c r="L10" s="4"/>
      <c r="N10" s="4"/>
      <c r="O10" s="4"/>
      <c r="P10" s="4"/>
    </row>
    <row r="11" spans="1:16">
      <c r="A11" s="1">
        <v>1</v>
      </c>
      <c r="B11" s="4" t="s">
        <v>241</v>
      </c>
      <c r="C11" s="4"/>
      <c r="D11" s="23"/>
      <c r="E11" s="4"/>
      <c r="F11" s="4"/>
      <c r="G11" s="4"/>
      <c r="H11" s="4"/>
      <c r="I11" s="309">
        <f>+I206</f>
        <v>1639745.7601700192</v>
      </c>
      <c r="J11" s="4"/>
      <c r="K11" s="4"/>
      <c r="L11" s="4"/>
      <c r="N11" s="4"/>
      <c r="O11" s="4"/>
      <c r="P11" s="4"/>
    </row>
    <row r="12" spans="1:16">
      <c r="A12" s="1"/>
      <c r="B12" s="4"/>
      <c r="C12" s="4"/>
      <c r="D12" s="4"/>
      <c r="E12" s="4"/>
      <c r="F12" s="4"/>
      <c r="G12" s="4"/>
      <c r="H12" s="4"/>
      <c r="I12" s="23"/>
      <c r="J12" s="4"/>
      <c r="K12" s="4"/>
      <c r="L12" s="4"/>
      <c r="N12" s="4"/>
      <c r="O12" s="4"/>
      <c r="P12" s="4"/>
    </row>
    <row r="13" spans="1:16" ht="16.5" thickBot="1">
      <c r="A13" s="1" t="s">
        <v>2</v>
      </c>
      <c r="B13" s="2" t="s">
        <v>8</v>
      </c>
      <c r="C13" s="306" t="s">
        <v>170</v>
      </c>
      <c r="D13" s="6" t="s">
        <v>9</v>
      </c>
      <c r="E13" s="306"/>
      <c r="F13" s="7" t="s">
        <v>10</v>
      </c>
      <c r="G13" s="7"/>
      <c r="H13" s="4"/>
      <c r="I13" s="23"/>
      <c r="J13" s="4"/>
      <c r="K13" s="4"/>
      <c r="L13" s="4"/>
      <c r="N13" s="4"/>
      <c r="O13" s="4"/>
      <c r="P13" s="4"/>
    </row>
    <row r="14" spans="1:16">
      <c r="A14" s="1">
        <v>2</v>
      </c>
      <c r="B14" s="2" t="s">
        <v>11</v>
      </c>
      <c r="C14" s="306" t="s">
        <v>163</v>
      </c>
      <c r="D14" s="310">
        <f>I266</f>
        <v>0</v>
      </c>
      <c r="E14" s="306"/>
      <c r="F14" s="306" t="s">
        <v>12</v>
      </c>
      <c r="G14" s="311">
        <f>I225</f>
        <v>1</v>
      </c>
      <c r="H14" s="306"/>
      <c r="I14" s="310">
        <f>+G14*D14</f>
        <v>0</v>
      </c>
      <c r="J14" s="4"/>
      <c r="K14" s="4"/>
      <c r="L14" s="4"/>
      <c r="N14" s="4"/>
      <c r="O14" s="4"/>
      <c r="P14" s="4"/>
    </row>
    <row r="15" spans="1:16">
      <c r="A15" s="1">
        <v>3</v>
      </c>
      <c r="B15" s="2" t="s">
        <v>187</v>
      </c>
      <c r="C15" s="306" t="s">
        <v>164</v>
      </c>
      <c r="D15" s="310">
        <f>I273</f>
        <v>23000</v>
      </c>
      <c r="E15" s="306"/>
      <c r="F15" s="310" t="str">
        <f>+F14</f>
        <v>TP</v>
      </c>
      <c r="G15" s="311">
        <f>+G14</f>
        <v>1</v>
      </c>
      <c r="H15" s="306"/>
      <c r="I15" s="310">
        <f>+G15*D15</f>
        <v>23000</v>
      </c>
      <c r="J15" s="4"/>
      <c r="K15" s="4"/>
      <c r="N15" s="4"/>
      <c r="O15" s="4"/>
      <c r="P15" s="4"/>
    </row>
    <row r="16" spans="1:16">
      <c r="A16" s="1">
        <v>4</v>
      </c>
      <c r="B16" s="2" t="s">
        <v>13</v>
      </c>
      <c r="C16" s="306"/>
      <c r="D16" s="312">
        <v>0</v>
      </c>
      <c r="E16" s="306"/>
      <c r="F16" s="306" t="s">
        <v>12</v>
      </c>
      <c r="G16" s="311">
        <f>+G14</f>
        <v>1</v>
      </c>
      <c r="H16" s="306"/>
      <c r="I16" s="310">
        <f>+G16*D16</f>
        <v>0</v>
      </c>
      <c r="J16" s="4"/>
      <c r="K16" s="4"/>
      <c r="L16" s="313"/>
      <c r="N16" s="4"/>
      <c r="O16" s="4"/>
      <c r="P16" s="4"/>
    </row>
    <row r="17" spans="1:16" ht="16.5" thickBot="1">
      <c r="A17" s="1">
        <v>5</v>
      </c>
      <c r="B17" s="2" t="s">
        <v>14</v>
      </c>
      <c r="C17" s="306"/>
      <c r="D17" s="312">
        <v>0</v>
      </c>
      <c r="E17" s="306"/>
      <c r="F17" s="306" t="s">
        <v>12</v>
      </c>
      <c r="G17" s="311">
        <f>+G14</f>
        <v>1</v>
      </c>
      <c r="H17" s="306"/>
      <c r="I17" s="314">
        <f>+G17*D17</f>
        <v>0</v>
      </c>
      <c r="J17" s="4"/>
      <c r="K17" s="4"/>
      <c r="L17" s="313"/>
      <c r="N17" s="4"/>
      <c r="O17" s="4"/>
      <c r="P17" s="4"/>
    </row>
    <row r="18" spans="1:16">
      <c r="A18" s="1">
        <v>6</v>
      </c>
      <c r="B18" s="2" t="s">
        <v>15</v>
      </c>
      <c r="C18" s="4"/>
      <c r="D18" s="315" t="s">
        <v>2</v>
      </c>
      <c r="E18" s="306"/>
      <c r="F18" s="306"/>
      <c r="G18" s="316"/>
      <c r="H18" s="306"/>
      <c r="I18" s="310">
        <f>SUM(I14:I17)</f>
        <v>23000</v>
      </c>
      <c r="J18" s="4"/>
      <c r="K18" s="4"/>
      <c r="L18" s="4"/>
      <c r="N18" s="4"/>
      <c r="O18" s="4"/>
      <c r="P18" s="4"/>
    </row>
    <row r="19" spans="1:16">
      <c r="A19" s="1"/>
      <c r="B19" s="2"/>
      <c r="C19" s="4"/>
      <c r="D19" s="315"/>
      <c r="E19" s="306"/>
      <c r="F19" s="306"/>
      <c r="G19" s="316"/>
      <c r="H19" s="306"/>
      <c r="I19" s="306"/>
      <c r="J19" s="4"/>
      <c r="K19" s="4"/>
      <c r="L19" s="4"/>
      <c r="N19" s="4"/>
      <c r="O19" s="4"/>
      <c r="P19" s="4"/>
    </row>
    <row r="20" spans="1:16">
      <c r="A20" s="1" t="s">
        <v>286</v>
      </c>
      <c r="B20" s="2" t="s">
        <v>299</v>
      </c>
      <c r="C20" s="4"/>
      <c r="D20" s="315"/>
      <c r="E20" s="306"/>
      <c r="F20" s="306"/>
      <c r="G20" s="316"/>
      <c r="H20" s="306"/>
      <c r="I20" s="317">
        <v>0</v>
      </c>
      <c r="J20" s="4"/>
      <c r="K20" s="4"/>
      <c r="L20" s="4"/>
      <c r="N20" s="4"/>
      <c r="O20" s="4"/>
      <c r="P20" s="4"/>
    </row>
    <row r="21" spans="1:16" ht="16.5" thickBot="1">
      <c r="A21" s="1" t="s">
        <v>287</v>
      </c>
      <c r="B21" s="2" t="s">
        <v>300</v>
      </c>
      <c r="C21" s="4"/>
      <c r="D21" s="315"/>
      <c r="E21" s="306"/>
      <c r="F21" s="306"/>
      <c r="G21" s="316"/>
      <c r="H21" s="306"/>
      <c r="I21" s="318">
        <v>0</v>
      </c>
      <c r="J21" s="4"/>
      <c r="K21" s="4"/>
      <c r="L21" s="4"/>
      <c r="N21" s="4"/>
      <c r="O21" s="4"/>
      <c r="P21" s="4"/>
    </row>
    <row r="22" spans="1:16">
      <c r="A22" s="1" t="s">
        <v>288</v>
      </c>
      <c r="B22" s="2" t="s">
        <v>304</v>
      </c>
      <c r="C22" s="319"/>
      <c r="D22" s="315"/>
      <c r="E22" s="306"/>
      <c r="F22" s="306"/>
      <c r="G22" s="316"/>
      <c r="H22" s="306"/>
      <c r="I22" s="320">
        <f>+I20+I21</f>
        <v>0</v>
      </c>
      <c r="J22" s="4"/>
      <c r="K22" s="4"/>
      <c r="L22" s="4"/>
      <c r="N22" s="4"/>
      <c r="O22" s="4"/>
      <c r="P22" s="4"/>
    </row>
    <row r="23" spans="1:16">
      <c r="A23" s="38"/>
      <c r="B23" s="321"/>
      <c r="C23" s="319"/>
      <c r="D23" s="315"/>
      <c r="E23" s="306"/>
      <c r="F23" s="306"/>
      <c r="G23" s="316"/>
      <c r="H23" s="306"/>
      <c r="I23" s="306"/>
      <c r="J23" s="4"/>
      <c r="K23" s="4"/>
      <c r="L23" s="4"/>
      <c r="N23" s="4"/>
      <c r="O23" s="4"/>
      <c r="P23" s="4"/>
    </row>
    <row r="24" spans="1:16">
      <c r="A24" s="1" t="s">
        <v>289</v>
      </c>
      <c r="B24" s="2" t="s">
        <v>307</v>
      </c>
      <c r="C24" s="319"/>
      <c r="I24" s="312">
        <f>'Weighted True-Up'!E12</f>
        <v>1719745</v>
      </c>
      <c r="J24" s="4"/>
      <c r="K24" s="4"/>
      <c r="L24" s="4"/>
      <c r="N24" s="4"/>
      <c r="O24" s="4"/>
      <c r="P24" s="4"/>
    </row>
    <row r="25" spans="1:16">
      <c r="A25" s="1" t="s">
        <v>290</v>
      </c>
      <c r="B25" s="2" t="s">
        <v>308</v>
      </c>
      <c r="C25" s="319"/>
      <c r="I25" s="312">
        <f>'Weighted True-Up'!E14</f>
        <v>1744879.82</v>
      </c>
      <c r="J25" s="4"/>
      <c r="K25" s="489"/>
      <c r="L25" s="4"/>
      <c r="N25" s="4"/>
      <c r="O25" s="4"/>
      <c r="P25" s="4"/>
    </row>
    <row r="26" spans="1:16">
      <c r="A26" s="1" t="s">
        <v>291</v>
      </c>
      <c r="B26" s="2" t="s">
        <v>305</v>
      </c>
      <c r="C26" s="319"/>
      <c r="I26" s="322">
        <f>I24-I25</f>
        <v>-25134.820000000065</v>
      </c>
      <c r="J26" s="4"/>
      <c r="K26" s="4"/>
      <c r="L26" s="4"/>
      <c r="N26" s="4"/>
      <c r="O26" s="4"/>
      <c r="P26" s="4"/>
    </row>
    <row r="27" spans="1:16">
      <c r="A27" s="1" t="s">
        <v>292</v>
      </c>
      <c r="B27" s="2" t="s">
        <v>293</v>
      </c>
      <c r="C27" s="319"/>
      <c r="I27" s="312">
        <f>'Weighted True-Up'!E21</f>
        <v>-1762</v>
      </c>
      <c r="J27" s="4"/>
      <c r="K27" s="4"/>
      <c r="L27" s="4"/>
      <c r="N27" s="4"/>
      <c r="O27" s="4"/>
      <c r="P27" s="4"/>
    </row>
    <row r="28" spans="1:16">
      <c r="A28" s="1"/>
      <c r="B28" s="2"/>
      <c r="C28" s="4"/>
      <c r="I28" s="306"/>
      <c r="J28" s="4"/>
      <c r="K28" s="4"/>
      <c r="L28" s="4"/>
      <c r="N28" s="4"/>
      <c r="O28" s="4"/>
      <c r="P28" s="4"/>
    </row>
    <row r="29" spans="1:16" ht="16.5" thickBot="1">
      <c r="A29" s="1">
        <v>7</v>
      </c>
      <c r="B29" s="2" t="s">
        <v>16</v>
      </c>
      <c r="C29" s="4" t="s">
        <v>315</v>
      </c>
      <c r="D29" s="315" t="s">
        <v>2</v>
      </c>
      <c r="E29" s="306"/>
      <c r="F29" s="306"/>
      <c r="G29" s="306"/>
      <c r="H29" s="306"/>
      <c r="I29" s="323">
        <f>+I11-I18+I22+I26+I27</f>
        <v>1589848.9401700192</v>
      </c>
      <c r="J29" s="4"/>
      <c r="K29" s="4"/>
      <c r="L29" s="4"/>
      <c r="N29" s="4"/>
      <c r="O29" s="4"/>
      <c r="P29" s="4"/>
    </row>
    <row r="30" spans="1:16" ht="16.5" thickTop="1">
      <c r="A30" s="1"/>
      <c r="B30" s="2"/>
      <c r="C30" s="306"/>
      <c r="I30" s="306"/>
      <c r="J30" s="4"/>
      <c r="K30" s="4"/>
      <c r="L30" s="4"/>
      <c r="N30" s="4"/>
      <c r="O30" s="4"/>
      <c r="P30" s="4"/>
    </row>
    <row r="31" spans="1:16">
      <c r="A31" s="1" t="s">
        <v>2</v>
      </c>
      <c r="B31" s="2" t="s">
        <v>17</v>
      </c>
      <c r="C31" s="4"/>
      <c r="D31" s="23"/>
      <c r="E31" s="4"/>
      <c r="F31" s="4"/>
      <c r="G31" s="4"/>
      <c r="H31" s="4"/>
      <c r="I31" s="23"/>
      <c r="J31" s="4"/>
      <c r="K31" s="4"/>
      <c r="L31" s="4"/>
      <c r="N31" s="4"/>
      <c r="O31" s="4"/>
      <c r="P31" s="4"/>
    </row>
    <row r="32" spans="1:16">
      <c r="A32" s="1">
        <v>8</v>
      </c>
      <c r="B32" s="2" t="s">
        <v>18</v>
      </c>
      <c r="D32" s="23"/>
      <c r="E32" s="4"/>
      <c r="F32" s="4"/>
      <c r="G32" s="4" t="s">
        <v>19</v>
      </c>
      <c r="H32" s="4"/>
      <c r="I32" s="312">
        <f>Divisor!E22</f>
        <v>42070</v>
      </c>
      <c r="J32" s="4"/>
      <c r="K32" s="4"/>
      <c r="L32" s="324"/>
      <c r="O32" s="4"/>
      <c r="P32" s="4"/>
    </row>
    <row r="33" spans="1:16">
      <c r="A33" s="1">
        <v>9</v>
      </c>
      <c r="B33" s="2" t="s">
        <v>20</v>
      </c>
      <c r="C33" s="306"/>
      <c r="D33" s="306"/>
      <c r="E33" s="306"/>
      <c r="F33" s="306"/>
      <c r="G33" s="306" t="s">
        <v>21</v>
      </c>
      <c r="H33" s="306"/>
      <c r="I33" s="312">
        <v>0</v>
      </c>
      <c r="J33" s="4"/>
      <c r="K33" s="4"/>
      <c r="L33" s="4"/>
      <c r="O33" s="4"/>
      <c r="P33" s="4"/>
    </row>
    <row r="34" spans="1:16">
      <c r="A34" s="1">
        <v>10</v>
      </c>
      <c r="B34" s="2" t="s">
        <v>22</v>
      </c>
      <c r="C34" s="4"/>
      <c r="D34" s="4"/>
      <c r="E34" s="4"/>
      <c r="F34" s="4"/>
      <c r="G34" s="4" t="s">
        <v>23</v>
      </c>
      <c r="H34" s="4"/>
      <c r="I34" s="312">
        <v>0</v>
      </c>
      <c r="J34" s="4"/>
      <c r="K34" s="4"/>
      <c r="L34" s="4"/>
      <c r="O34" s="4"/>
      <c r="P34" s="4"/>
    </row>
    <row r="35" spans="1:16">
      <c r="A35" s="1">
        <v>11</v>
      </c>
      <c r="B35" s="325" t="s">
        <v>24</v>
      </c>
      <c r="C35" s="4"/>
      <c r="D35" s="4"/>
      <c r="E35" s="4"/>
      <c r="F35" s="4"/>
      <c r="G35" s="4" t="s">
        <v>25</v>
      </c>
      <c r="H35" s="4"/>
      <c r="I35" s="312">
        <v>0</v>
      </c>
      <c r="J35" s="4"/>
      <c r="K35" s="4"/>
      <c r="L35" s="4"/>
      <c r="O35" s="4"/>
      <c r="P35" s="4"/>
    </row>
    <row r="36" spans="1:16">
      <c r="A36" s="1">
        <v>12</v>
      </c>
      <c r="B36" s="325" t="s">
        <v>26</v>
      </c>
      <c r="C36" s="4"/>
      <c r="D36" s="4"/>
      <c r="E36" s="4"/>
      <c r="F36" s="4"/>
      <c r="G36" s="4"/>
      <c r="H36" s="4"/>
      <c r="I36" s="312">
        <v>0</v>
      </c>
      <c r="J36" s="4"/>
      <c r="K36" s="4"/>
      <c r="L36" s="4"/>
      <c r="O36" s="4"/>
      <c r="P36" s="4"/>
    </row>
    <row r="37" spans="1:16">
      <c r="A37" s="1">
        <v>13</v>
      </c>
      <c r="B37" s="325" t="s">
        <v>171</v>
      </c>
      <c r="C37" s="4"/>
      <c r="D37" s="4"/>
      <c r="E37" s="4"/>
      <c r="F37" s="4"/>
      <c r="G37" s="4"/>
      <c r="H37" s="4"/>
      <c r="I37" s="317">
        <f>-Divisor!E39</f>
        <v>-4750</v>
      </c>
      <c r="J37" s="4"/>
      <c r="K37" s="4"/>
      <c r="L37" s="4"/>
      <c r="O37" s="4"/>
      <c r="P37" s="4"/>
    </row>
    <row r="38" spans="1:16" ht="16.5" thickBot="1">
      <c r="A38" s="1">
        <v>14</v>
      </c>
      <c r="B38" s="2" t="s">
        <v>165</v>
      </c>
      <c r="C38" s="4"/>
      <c r="D38" s="4"/>
      <c r="E38" s="4"/>
      <c r="F38" s="4"/>
      <c r="G38" s="4"/>
      <c r="H38" s="4"/>
      <c r="I38" s="318">
        <v>0</v>
      </c>
      <c r="J38" s="4"/>
      <c r="K38" s="4"/>
      <c r="L38" s="4"/>
      <c r="O38" s="4"/>
      <c r="P38" s="4"/>
    </row>
    <row r="39" spans="1:16">
      <c r="A39" s="1">
        <v>15</v>
      </c>
      <c r="B39" s="2" t="s">
        <v>204</v>
      </c>
      <c r="C39" s="4"/>
      <c r="D39" s="4"/>
      <c r="E39" s="4"/>
      <c r="F39" s="4"/>
      <c r="G39" s="4"/>
      <c r="H39" s="4"/>
      <c r="I39" s="320">
        <f>SUM(I32:I38)</f>
        <v>37320</v>
      </c>
      <c r="J39" s="4"/>
      <c r="K39" s="4"/>
      <c r="L39" s="4"/>
      <c r="O39" s="4"/>
      <c r="P39" s="4"/>
    </row>
    <row r="40" spans="1:16">
      <c r="A40" s="1"/>
      <c r="B40" s="2"/>
      <c r="C40" s="4"/>
      <c r="D40" s="4"/>
      <c r="E40" s="4"/>
      <c r="F40" s="4"/>
      <c r="G40" s="4"/>
      <c r="H40" s="4"/>
      <c r="I40" s="23"/>
      <c r="J40" s="4"/>
      <c r="K40" s="4"/>
      <c r="L40" s="4"/>
      <c r="N40" s="4"/>
      <c r="O40" s="4"/>
      <c r="P40" s="4"/>
    </row>
    <row r="41" spans="1:16">
      <c r="A41" s="1">
        <v>16</v>
      </c>
      <c r="B41" s="2" t="s">
        <v>27</v>
      </c>
      <c r="C41" s="4" t="s">
        <v>203</v>
      </c>
      <c r="D41" s="326">
        <f>IF(I39&gt;0,I29/I39,0)</f>
        <v>42.600453916667178</v>
      </c>
      <c r="E41" s="4"/>
      <c r="F41" s="4"/>
      <c r="G41" s="4"/>
      <c r="H41" s="4"/>
      <c r="J41" s="4"/>
      <c r="K41" s="4"/>
      <c r="L41" s="4"/>
      <c r="N41" s="4"/>
      <c r="O41" s="4"/>
      <c r="P41" s="4"/>
    </row>
    <row r="42" spans="1:16">
      <c r="A42" s="1">
        <v>17</v>
      </c>
      <c r="B42" s="2" t="s">
        <v>285</v>
      </c>
      <c r="C42" s="4"/>
      <c r="D42" s="326">
        <f>+D41/12</f>
        <v>3.5500378263889316</v>
      </c>
      <c r="E42" s="4"/>
      <c r="F42" s="4"/>
      <c r="G42" s="4"/>
      <c r="H42" s="4"/>
      <c r="J42" s="4"/>
      <c r="K42" s="4"/>
      <c r="L42" s="4"/>
      <c r="N42" s="4"/>
      <c r="O42" s="4"/>
      <c r="P42" s="4"/>
    </row>
    <row r="43" spans="1:16">
      <c r="A43" s="1"/>
      <c r="B43" s="2"/>
      <c r="C43" s="4"/>
      <c r="D43" s="327"/>
      <c r="E43" s="4"/>
      <c r="F43" s="4"/>
      <c r="G43" s="4"/>
      <c r="H43" s="4"/>
      <c r="J43" s="4"/>
      <c r="K43" s="4"/>
      <c r="L43" s="4"/>
      <c r="N43" s="4"/>
      <c r="O43" s="4"/>
      <c r="P43" s="4"/>
    </row>
    <row r="44" spans="1:16">
      <c r="A44" s="1"/>
      <c r="B44" s="2"/>
      <c r="C44" s="4"/>
      <c r="D44" s="328" t="s">
        <v>28</v>
      </c>
      <c r="E44" s="4"/>
      <c r="F44" s="4"/>
      <c r="G44" s="4"/>
      <c r="H44" s="4"/>
      <c r="I44" s="329" t="s">
        <v>29</v>
      </c>
      <c r="J44" s="4"/>
      <c r="K44" s="4"/>
      <c r="L44" s="4"/>
      <c r="N44" s="4"/>
      <c r="O44" s="4"/>
      <c r="P44" s="4"/>
    </row>
    <row r="45" spans="1:16">
      <c r="A45" s="1">
        <v>18</v>
      </c>
      <c r="B45" s="2" t="s">
        <v>30</v>
      </c>
      <c r="C45" s="4" t="s">
        <v>205</v>
      </c>
      <c r="D45" s="326">
        <f>+D41/52</f>
        <v>0.8192394983974457</v>
      </c>
      <c r="E45" s="4"/>
      <c r="F45" s="4"/>
      <c r="G45" s="4"/>
      <c r="H45" s="4"/>
      <c r="I45" s="330">
        <f>+D41/52</f>
        <v>0.8192394983974457</v>
      </c>
      <c r="J45" s="4"/>
      <c r="K45" s="4"/>
      <c r="L45" s="4"/>
      <c r="N45" s="4"/>
      <c r="O45" s="4"/>
      <c r="P45" s="4"/>
    </row>
    <row r="46" spans="1:16">
      <c r="A46" s="1">
        <v>19</v>
      </c>
      <c r="B46" s="2" t="s">
        <v>31</v>
      </c>
      <c r="C46" s="4" t="s">
        <v>242</v>
      </c>
      <c r="D46" s="326">
        <f>+D41/260</f>
        <v>0.16384789967948915</v>
      </c>
      <c r="E46" s="4" t="s">
        <v>32</v>
      </c>
      <c r="G46" s="4"/>
      <c r="H46" s="4"/>
      <c r="I46" s="330">
        <f>+D41/365</f>
        <v>0.11671357237443063</v>
      </c>
      <c r="J46" s="4"/>
      <c r="K46" s="4"/>
      <c r="L46" s="4"/>
      <c r="N46" s="4"/>
      <c r="O46" s="4"/>
      <c r="P46" s="4"/>
    </row>
    <row r="47" spans="1:16">
      <c r="A47" s="1">
        <v>20</v>
      </c>
      <c r="B47" s="2" t="s">
        <v>33</v>
      </c>
      <c r="C47" s="4" t="s">
        <v>243</v>
      </c>
      <c r="D47" s="326">
        <f>+D41/4160*1000</f>
        <v>10.240493729968073</v>
      </c>
      <c r="E47" s="4" t="s">
        <v>34</v>
      </c>
      <c r="G47" s="4"/>
      <c r="H47" s="4"/>
      <c r="I47" s="330">
        <f>+D41/8760*1000</f>
        <v>4.8630655156012761</v>
      </c>
      <c r="J47" s="4"/>
      <c r="K47" s="4" t="s">
        <v>2</v>
      </c>
      <c r="L47" s="4"/>
      <c r="N47" s="4"/>
      <c r="O47" s="4"/>
      <c r="P47" s="4"/>
    </row>
    <row r="48" spans="1:16">
      <c r="A48" s="1"/>
      <c r="B48" s="2"/>
      <c r="C48" s="4" t="s">
        <v>35</v>
      </c>
      <c r="D48" s="4"/>
      <c r="E48" s="4" t="s">
        <v>36</v>
      </c>
      <c r="G48" s="4"/>
      <c r="H48" s="4"/>
      <c r="J48" s="4"/>
      <c r="K48" s="4" t="s">
        <v>2</v>
      </c>
      <c r="L48" s="4"/>
      <c r="N48" s="4"/>
      <c r="O48" s="4"/>
      <c r="P48" s="4"/>
    </row>
    <row r="49" spans="1:16">
      <c r="A49" s="1"/>
      <c r="B49" s="2"/>
      <c r="C49" s="4"/>
      <c r="D49" s="4"/>
      <c r="E49" s="4"/>
      <c r="G49" s="4"/>
      <c r="H49" s="4"/>
      <c r="J49" s="4"/>
      <c r="K49" s="4" t="s">
        <v>2</v>
      </c>
      <c r="L49" s="4"/>
      <c r="N49" s="4"/>
      <c r="O49" s="4"/>
      <c r="P49" s="4"/>
    </row>
    <row r="50" spans="1:16">
      <c r="A50" s="1">
        <v>21</v>
      </c>
      <c r="B50" s="2" t="s">
        <v>206</v>
      </c>
      <c r="C50" s="4" t="s">
        <v>198</v>
      </c>
      <c r="D50" s="8">
        <v>0</v>
      </c>
      <c r="E50" s="9" t="s">
        <v>37</v>
      </c>
      <c r="F50" s="9"/>
      <c r="G50" s="9"/>
      <c r="H50" s="9"/>
      <c r="I50" s="331">
        <f>D50</f>
        <v>0</v>
      </c>
      <c r="J50" s="9" t="s">
        <v>37</v>
      </c>
      <c r="K50" s="4"/>
      <c r="L50" s="4"/>
      <c r="N50" s="4"/>
      <c r="O50" s="4"/>
      <c r="P50" s="4"/>
    </row>
    <row r="51" spans="1:16">
      <c r="A51" s="1">
        <v>22</v>
      </c>
      <c r="B51" s="2"/>
      <c r="C51" s="4"/>
      <c r="D51" s="8">
        <v>0</v>
      </c>
      <c r="E51" s="9" t="s">
        <v>38</v>
      </c>
      <c r="F51" s="9"/>
      <c r="G51" s="9"/>
      <c r="H51" s="9"/>
      <c r="I51" s="331">
        <f>D51</f>
        <v>0</v>
      </c>
      <c r="J51" s="9" t="s">
        <v>38</v>
      </c>
      <c r="K51" s="4"/>
      <c r="L51" s="4"/>
      <c r="N51" s="4"/>
      <c r="O51" s="4"/>
      <c r="P51" s="4"/>
    </row>
    <row r="52" spans="1:16">
      <c r="J52" s="4"/>
      <c r="K52" s="4"/>
      <c r="L52" s="4"/>
      <c r="N52" s="4"/>
      <c r="O52" s="4"/>
      <c r="P52" s="4"/>
    </row>
    <row r="53" spans="1:16">
      <c r="J53" s="4"/>
      <c r="K53" s="4"/>
      <c r="L53" s="4"/>
      <c r="N53" s="4"/>
      <c r="O53" s="4"/>
      <c r="P53" s="4"/>
    </row>
    <row r="54" spans="1:16">
      <c r="J54" s="4"/>
      <c r="K54" s="4"/>
      <c r="L54" s="4"/>
      <c r="N54" s="4"/>
      <c r="O54" s="4"/>
      <c r="P54" s="4"/>
    </row>
    <row r="55" spans="1:16">
      <c r="J55" s="4"/>
      <c r="K55" s="4"/>
      <c r="L55" s="4"/>
      <c r="N55" s="4"/>
      <c r="O55" s="4"/>
      <c r="P55" s="4"/>
    </row>
    <row r="56" spans="1:16">
      <c r="J56" s="4"/>
      <c r="K56" s="4"/>
      <c r="L56" s="4"/>
      <c r="N56" s="4"/>
      <c r="O56" s="4"/>
      <c r="P56" s="4"/>
    </row>
    <row r="57" spans="1:16">
      <c r="J57" s="4"/>
      <c r="K57" s="4"/>
      <c r="L57" s="4"/>
      <c r="N57" s="4"/>
      <c r="O57" s="4"/>
      <c r="P57" s="4"/>
    </row>
    <row r="58" spans="1:16">
      <c r="J58" s="4"/>
      <c r="K58" s="4"/>
      <c r="L58" s="4"/>
      <c r="N58" s="4"/>
      <c r="O58" s="4"/>
      <c r="P58" s="4"/>
    </row>
    <row r="59" spans="1:16">
      <c r="J59" s="4"/>
      <c r="K59" s="4"/>
      <c r="L59" s="4"/>
      <c r="N59" s="4"/>
      <c r="O59" s="4"/>
      <c r="P59" s="4"/>
    </row>
    <row r="60" spans="1:16">
      <c r="J60" s="4"/>
      <c r="K60" s="4"/>
      <c r="L60" s="4"/>
      <c r="N60" s="4"/>
      <c r="O60" s="4"/>
      <c r="P60" s="4"/>
    </row>
    <row r="61" spans="1:16">
      <c r="J61" s="4"/>
      <c r="K61" s="4"/>
      <c r="L61" s="4"/>
      <c r="N61" s="4"/>
      <c r="O61" s="4"/>
      <c r="P61" s="4"/>
    </row>
    <row r="62" spans="1:16">
      <c r="J62" s="4"/>
      <c r="K62" s="4"/>
      <c r="L62" s="4"/>
      <c r="N62" s="4"/>
      <c r="O62" s="4"/>
      <c r="P62" s="4"/>
    </row>
    <row r="63" spans="1:16">
      <c r="J63" s="4"/>
      <c r="K63" s="4"/>
      <c r="L63" s="4"/>
      <c r="N63" s="4"/>
      <c r="O63" s="4"/>
      <c r="P63" s="4"/>
    </row>
    <row r="64" spans="1:16">
      <c r="J64" s="4"/>
      <c r="K64" s="4"/>
      <c r="L64" s="4"/>
      <c r="N64" s="4"/>
      <c r="O64" s="4"/>
      <c r="P64" s="4"/>
    </row>
    <row r="65" spans="2:16">
      <c r="J65" s="4"/>
      <c r="K65" s="4"/>
      <c r="L65" s="4"/>
      <c r="N65" s="4"/>
      <c r="O65" s="4"/>
      <c r="P65" s="4"/>
    </row>
    <row r="66" spans="2:16">
      <c r="J66" s="4"/>
      <c r="K66" s="4"/>
      <c r="L66" s="4"/>
      <c r="N66" s="4"/>
      <c r="O66" s="4"/>
      <c r="P66" s="4"/>
    </row>
    <row r="67" spans="2:16">
      <c r="J67" s="4"/>
      <c r="K67" s="4"/>
      <c r="L67" s="4"/>
      <c r="N67" s="4"/>
      <c r="O67" s="4"/>
      <c r="P67" s="4"/>
    </row>
    <row r="68" spans="2:16">
      <c r="J68" s="4"/>
      <c r="K68" s="4"/>
      <c r="L68" s="4"/>
      <c r="N68" s="4"/>
      <c r="O68" s="4"/>
      <c r="P68" s="4"/>
    </row>
    <row r="69" spans="2:16">
      <c r="J69" s="4"/>
      <c r="K69" s="4"/>
      <c r="L69" s="4"/>
      <c r="N69" s="4"/>
      <c r="O69" s="4"/>
      <c r="P69" s="4"/>
    </row>
    <row r="70" spans="2:16">
      <c r="J70" s="4"/>
      <c r="K70" s="4"/>
      <c r="L70" s="4"/>
      <c r="N70" s="4"/>
      <c r="O70" s="4"/>
      <c r="P70" s="4"/>
    </row>
    <row r="71" spans="2:16">
      <c r="J71" s="4"/>
      <c r="K71" s="4"/>
      <c r="L71" s="4"/>
      <c r="N71" s="4"/>
      <c r="O71" s="4"/>
      <c r="P71" s="4"/>
    </row>
    <row r="72" spans="2:16">
      <c r="J72" s="4"/>
      <c r="K72" s="4"/>
      <c r="L72" s="4"/>
      <c r="N72" s="4"/>
      <c r="O72" s="4"/>
      <c r="P72" s="4"/>
    </row>
    <row r="73" spans="2:16">
      <c r="J73" s="4"/>
      <c r="K73" s="4"/>
      <c r="L73" s="4"/>
      <c r="N73" s="4"/>
      <c r="O73" s="4"/>
      <c r="P73" s="4"/>
    </row>
    <row r="74" spans="2:16">
      <c r="J74" s="4"/>
      <c r="K74" s="4"/>
      <c r="L74" s="4"/>
      <c r="N74" s="4"/>
      <c r="O74" s="4"/>
      <c r="P74" s="4"/>
    </row>
    <row r="75" spans="2:16">
      <c r="J75" s="4"/>
      <c r="K75" s="4"/>
      <c r="L75" s="4"/>
      <c r="N75" s="4"/>
      <c r="O75" s="4"/>
      <c r="P75" s="4"/>
    </row>
    <row r="76" spans="2:16">
      <c r="J76" s="4"/>
      <c r="K76" s="4"/>
      <c r="L76" s="4"/>
      <c r="N76" s="4"/>
      <c r="O76" s="4"/>
      <c r="P76" s="4"/>
    </row>
    <row r="77" spans="2:16">
      <c r="J77" s="4"/>
      <c r="K77" s="303" t="s">
        <v>303</v>
      </c>
      <c r="L77" s="4"/>
      <c r="N77" s="4"/>
      <c r="O77" s="4"/>
      <c r="P77" s="4"/>
    </row>
    <row r="78" spans="2:16">
      <c r="B78" s="2"/>
      <c r="C78" s="2"/>
      <c r="D78" s="3"/>
      <c r="E78" s="2"/>
      <c r="F78" s="2"/>
      <c r="G78" s="2"/>
      <c r="H78" s="4"/>
      <c r="I78" s="4"/>
      <c r="K78" s="304" t="s">
        <v>180</v>
      </c>
      <c r="L78" s="304"/>
      <c r="N78" s="4"/>
      <c r="O78" s="4"/>
      <c r="P78" s="4"/>
    </row>
    <row r="79" spans="2:16">
      <c r="B79" s="4"/>
      <c r="C79" s="4"/>
      <c r="D79" s="4"/>
      <c r="E79" s="4"/>
      <c r="F79" s="4"/>
      <c r="G79" s="4"/>
      <c r="H79" s="4"/>
      <c r="I79" s="4"/>
      <c r="J79" s="4"/>
      <c r="K79" s="4"/>
      <c r="L79" s="4"/>
      <c r="N79" s="4"/>
      <c r="O79" s="4"/>
      <c r="P79" s="4"/>
    </row>
    <row r="80" spans="2:16">
      <c r="B80" s="332" t="str">
        <f>B4</f>
        <v xml:space="preserve">Formula Rate - Non-Levelized </v>
      </c>
      <c r="C80" s="2"/>
      <c r="D80" s="333" t="str">
        <f>D4</f>
        <v xml:space="preserve">   Rate Formula Template</v>
      </c>
      <c r="E80" s="2"/>
      <c r="F80" s="2"/>
      <c r="G80" s="2"/>
      <c r="H80" s="2"/>
      <c r="J80" s="2"/>
      <c r="K80" s="334" t="str">
        <f>K4</f>
        <v>For the 12 months ended 12/31/18</v>
      </c>
      <c r="L80" s="4"/>
      <c r="N80" s="2"/>
      <c r="O80" s="2"/>
      <c r="P80" s="2"/>
    </row>
    <row r="81" spans="1:16">
      <c r="B81" s="2"/>
      <c r="C81" s="306" t="s">
        <v>2</v>
      </c>
      <c r="D81" s="310" t="str">
        <f>D5</f>
        <v>Utilizing EIA Form 412 Data</v>
      </c>
      <c r="E81" s="306"/>
      <c r="F81" s="306"/>
      <c r="G81" s="306"/>
      <c r="H81" s="306"/>
      <c r="I81" s="306"/>
      <c r="J81" s="306"/>
      <c r="K81" s="306"/>
      <c r="L81" s="4"/>
      <c r="N81" s="4"/>
      <c r="O81" s="306"/>
      <c r="P81" s="2"/>
    </row>
    <row r="82" spans="1:16">
      <c r="B82" s="2"/>
      <c r="C82" s="306" t="s">
        <v>2</v>
      </c>
      <c r="D82" s="306" t="s">
        <v>2</v>
      </c>
      <c r="E82" s="306"/>
      <c r="F82" s="306"/>
      <c r="G82" s="306" t="s">
        <v>2</v>
      </c>
      <c r="H82" s="306"/>
      <c r="I82" s="306"/>
      <c r="J82" s="306"/>
      <c r="K82" s="306"/>
      <c r="L82" s="2"/>
      <c r="N82" s="306"/>
      <c r="O82" s="306"/>
      <c r="P82" s="2"/>
    </row>
    <row r="83" spans="1:16">
      <c r="B83" s="2"/>
      <c r="C83" s="4"/>
      <c r="D83" s="310" t="str">
        <f>D7</f>
        <v>Willmar Municipal Utilites (WMU)</v>
      </c>
      <c r="E83" s="306"/>
      <c r="F83" s="306"/>
      <c r="G83" s="306"/>
      <c r="H83" s="306"/>
      <c r="I83" s="306"/>
      <c r="J83" s="306"/>
      <c r="K83" s="306"/>
      <c r="L83" s="2"/>
      <c r="N83" s="306"/>
      <c r="O83" s="306"/>
      <c r="P83" s="2"/>
    </row>
    <row r="84" spans="1:16">
      <c r="B84" s="1" t="s">
        <v>39</v>
      </c>
      <c r="C84" s="1" t="s">
        <v>40</v>
      </c>
      <c r="D84" s="1" t="s">
        <v>41</v>
      </c>
      <c r="E84" s="306" t="s">
        <v>2</v>
      </c>
      <c r="F84" s="306"/>
      <c r="G84" s="335" t="s">
        <v>42</v>
      </c>
      <c r="H84" s="306"/>
      <c r="I84" s="336" t="s">
        <v>43</v>
      </c>
      <c r="J84" s="306"/>
      <c r="K84" s="1"/>
      <c r="L84" s="2"/>
      <c r="N84" s="1"/>
      <c r="O84" s="306"/>
      <c r="P84" s="2"/>
    </row>
    <row r="85" spans="1:16">
      <c r="A85" s="1" t="s">
        <v>4</v>
      </c>
      <c r="B85" s="2"/>
      <c r="C85" s="337" t="s">
        <v>44</v>
      </c>
      <c r="D85" s="306"/>
      <c r="E85" s="306"/>
      <c r="F85" s="306"/>
      <c r="G85" s="1"/>
      <c r="H85" s="306"/>
      <c r="I85" s="10" t="s">
        <v>45</v>
      </c>
      <c r="J85" s="306"/>
      <c r="K85" s="1"/>
      <c r="L85" s="2"/>
      <c r="N85" s="1"/>
      <c r="O85" s="1"/>
      <c r="P85" s="2"/>
    </row>
    <row r="86" spans="1:16" ht="16.5" thickBot="1">
      <c r="A86" s="6" t="s">
        <v>6</v>
      </c>
      <c r="B86" s="338" t="s">
        <v>306</v>
      </c>
      <c r="C86" s="339" t="s">
        <v>46</v>
      </c>
      <c r="D86" s="10" t="s">
        <v>47</v>
      </c>
      <c r="E86" s="340"/>
      <c r="F86" s="10" t="s">
        <v>48</v>
      </c>
      <c r="H86" s="340"/>
      <c r="I86" s="1" t="s">
        <v>49</v>
      </c>
      <c r="J86" s="306"/>
      <c r="K86" s="1"/>
      <c r="L86" s="2"/>
      <c r="N86" s="1"/>
      <c r="O86" s="1"/>
      <c r="P86" s="2"/>
    </row>
    <row r="87" spans="1:16">
      <c r="A87" s="1"/>
      <c r="B87" s="2" t="s">
        <v>316</v>
      </c>
      <c r="C87" s="306"/>
      <c r="D87" s="306"/>
      <c r="E87" s="306"/>
      <c r="F87" s="306"/>
      <c r="G87" s="306"/>
      <c r="H87" s="306"/>
      <c r="I87" s="306"/>
      <c r="J87" s="306"/>
      <c r="K87" s="306"/>
      <c r="L87" s="2"/>
      <c r="N87" s="306"/>
      <c r="O87" s="306"/>
      <c r="P87" s="2"/>
    </row>
    <row r="88" spans="1:16">
      <c r="A88" s="1">
        <v>1</v>
      </c>
      <c r="B88" s="2" t="s">
        <v>50</v>
      </c>
      <c r="C88" s="306" t="s">
        <v>244</v>
      </c>
      <c r="D88" s="341">
        <f>Plant!E23</f>
        <v>21713296.66</v>
      </c>
      <c r="E88" s="306"/>
      <c r="F88" s="306" t="s">
        <v>51</v>
      </c>
      <c r="G88" s="342" t="s">
        <v>2</v>
      </c>
      <c r="H88" s="306"/>
      <c r="I88" s="306" t="s">
        <v>2</v>
      </c>
      <c r="J88" s="306"/>
      <c r="K88" s="306"/>
      <c r="L88" s="2"/>
      <c r="N88" s="481" t="s">
        <v>621</v>
      </c>
      <c r="O88" s="306"/>
      <c r="P88" s="2"/>
    </row>
    <row r="89" spans="1:16">
      <c r="A89" s="1">
        <v>2</v>
      </c>
      <c r="B89" s="2" t="s">
        <v>52</v>
      </c>
      <c r="C89" s="306" t="s">
        <v>245</v>
      </c>
      <c r="D89" s="341">
        <f>Plant!F23</f>
        <v>14065491.876153845</v>
      </c>
      <c r="E89" s="306"/>
      <c r="F89" s="306" t="s">
        <v>12</v>
      </c>
      <c r="G89" s="343">
        <f>I225</f>
        <v>1</v>
      </c>
      <c r="H89" s="306"/>
      <c r="I89" s="310">
        <f>+G89*D89</f>
        <v>14065491.876153845</v>
      </c>
      <c r="J89" s="306"/>
      <c r="K89" s="306"/>
      <c r="L89" s="2"/>
      <c r="O89" s="306"/>
      <c r="P89" s="2"/>
    </row>
    <row r="90" spans="1:16">
      <c r="A90" s="1">
        <v>3</v>
      </c>
      <c r="B90" s="2" t="s">
        <v>53</v>
      </c>
      <c r="C90" s="306" t="s">
        <v>246</v>
      </c>
      <c r="D90" s="341">
        <f>Plant!G23</f>
        <v>24848707.02538462</v>
      </c>
      <c r="E90" s="306"/>
      <c r="F90" s="306" t="s">
        <v>51</v>
      </c>
      <c r="G90" s="342" t="s">
        <v>2</v>
      </c>
      <c r="H90" s="306"/>
      <c r="I90" s="306" t="s">
        <v>2</v>
      </c>
      <c r="J90" s="306"/>
      <c r="K90" s="306"/>
      <c r="L90" s="2"/>
      <c r="O90" s="306"/>
      <c r="P90" s="2"/>
    </row>
    <row r="91" spans="1:16">
      <c r="A91" s="1">
        <v>4</v>
      </c>
      <c r="B91" s="2" t="s">
        <v>54</v>
      </c>
      <c r="C91" s="306" t="s">
        <v>272</v>
      </c>
      <c r="D91" s="341">
        <f>Plant!H23+Plant!I23</f>
        <v>5794032.8553846162</v>
      </c>
      <c r="E91" s="306"/>
      <c r="F91" s="306" t="s">
        <v>55</v>
      </c>
      <c r="G91" s="343">
        <f>I241</f>
        <v>4.7895598791009339E-2</v>
      </c>
      <c r="H91" s="306"/>
      <c r="I91" s="310">
        <f>+G91*D91</f>
        <v>277508.67302342784</v>
      </c>
      <c r="J91" s="306"/>
      <c r="K91" s="306"/>
      <c r="L91" s="2"/>
      <c r="O91" s="1"/>
      <c r="P91" s="2"/>
    </row>
    <row r="92" spans="1:16" ht="16.5" thickBot="1">
      <c r="A92" s="1">
        <v>5</v>
      </c>
      <c r="B92" s="2" t="s">
        <v>56</v>
      </c>
      <c r="C92" s="306"/>
      <c r="D92" s="344">
        <f>Plant!J23</f>
        <v>0</v>
      </c>
      <c r="E92" s="306"/>
      <c r="F92" s="306" t="s">
        <v>57</v>
      </c>
      <c r="G92" s="343">
        <f>K245</f>
        <v>4.7895598791009339E-2</v>
      </c>
      <c r="H92" s="306"/>
      <c r="I92" s="314">
        <f>+G92*D92</f>
        <v>0</v>
      </c>
      <c r="J92" s="306"/>
      <c r="K92" s="306"/>
      <c r="L92" s="2"/>
      <c r="O92" s="1"/>
      <c r="P92" s="2"/>
    </row>
    <row r="93" spans="1:16">
      <c r="A93" s="1">
        <v>6</v>
      </c>
      <c r="B93" s="2" t="s">
        <v>207</v>
      </c>
      <c r="C93" s="306"/>
      <c r="D93" s="310">
        <f>SUM(D88:D92)</f>
        <v>66421528.416923083</v>
      </c>
      <c r="E93" s="306"/>
      <c r="F93" s="306" t="s">
        <v>58</v>
      </c>
      <c r="G93" s="345">
        <f>IF(I93&gt;0,I93/D93,0)</f>
        <v>0.2159390319829334</v>
      </c>
      <c r="H93" s="306"/>
      <c r="I93" s="310">
        <f>SUM(I88:I92)</f>
        <v>14343000.549177274</v>
      </c>
      <c r="J93" s="306"/>
      <c r="K93" s="346"/>
      <c r="L93" s="2"/>
      <c r="N93" s="306"/>
      <c r="O93" s="306"/>
      <c r="P93" s="2"/>
    </row>
    <row r="94" spans="1:16">
      <c r="B94" s="2"/>
      <c r="C94" s="306"/>
      <c r="D94" s="306"/>
      <c r="E94" s="306"/>
      <c r="F94" s="306"/>
      <c r="G94" s="346"/>
      <c r="H94" s="306"/>
      <c r="I94" s="306"/>
      <c r="J94" s="306"/>
      <c r="K94" s="346"/>
      <c r="L94" s="2"/>
      <c r="N94" s="306"/>
      <c r="O94" s="306"/>
      <c r="P94" s="2"/>
    </row>
    <row r="95" spans="1:16">
      <c r="B95" s="2" t="s">
        <v>317</v>
      </c>
      <c r="C95" s="306"/>
      <c r="D95" s="306"/>
      <c r="E95" s="306"/>
      <c r="F95" s="306"/>
      <c r="G95" s="306"/>
      <c r="H95" s="306"/>
      <c r="I95" s="306"/>
      <c r="J95" s="306"/>
      <c r="K95" s="306"/>
      <c r="L95" s="2"/>
      <c r="N95" s="306"/>
      <c r="O95" s="306"/>
      <c r="P95" s="2"/>
    </row>
    <row r="96" spans="1:16">
      <c r="A96" s="1">
        <v>7</v>
      </c>
      <c r="B96" s="332" t="str">
        <f>+B88</f>
        <v xml:space="preserve">  Production</v>
      </c>
      <c r="D96" s="347">
        <f>Plant!E42</f>
        <v>13672629.655384611</v>
      </c>
      <c r="E96" s="306"/>
      <c r="F96" s="310" t="str">
        <f t="shared" ref="F96:G100" si="0">+F88</f>
        <v>NA</v>
      </c>
      <c r="G96" s="343" t="str">
        <f t="shared" si="0"/>
        <v xml:space="preserve"> </v>
      </c>
      <c r="H96" s="306"/>
      <c r="I96" s="306" t="s">
        <v>2</v>
      </c>
      <c r="J96" s="306"/>
      <c r="K96" s="306"/>
      <c r="L96" s="2"/>
      <c r="N96" s="486" t="s">
        <v>621</v>
      </c>
      <c r="O96" s="306"/>
      <c r="P96" s="2"/>
    </row>
    <row r="97" spans="1:16">
      <c r="A97" s="1">
        <v>8</v>
      </c>
      <c r="B97" s="332" t="str">
        <f>+B89</f>
        <v xml:space="preserve">  Transmission</v>
      </c>
      <c r="D97" s="347">
        <f>Plant!F42</f>
        <v>10645514.540000003</v>
      </c>
      <c r="E97" s="306"/>
      <c r="F97" s="310" t="str">
        <f t="shared" si="0"/>
        <v>TP</v>
      </c>
      <c r="G97" s="343">
        <f t="shared" si="0"/>
        <v>1</v>
      </c>
      <c r="H97" s="306"/>
      <c r="I97" s="310">
        <f>+G97*D97</f>
        <v>10645514.540000003</v>
      </c>
      <c r="J97" s="306"/>
      <c r="K97" s="306"/>
      <c r="L97" s="2"/>
      <c r="N97" s="306"/>
      <c r="O97" s="306"/>
      <c r="P97" s="2"/>
    </row>
    <row r="98" spans="1:16">
      <c r="A98" s="1">
        <v>9</v>
      </c>
      <c r="B98" s="332" t="str">
        <f>+B90</f>
        <v xml:space="preserve">  Distribution</v>
      </c>
      <c r="D98" s="347">
        <f>Plant!G42</f>
        <v>15455430.5</v>
      </c>
      <c r="E98" s="306"/>
      <c r="F98" s="310" t="str">
        <f t="shared" si="0"/>
        <v>NA</v>
      </c>
      <c r="G98" s="343" t="str">
        <f t="shared" si="0"/>
        <v xml:space="preserve"> </v>
      </c>
      <c r="H98" s="306"/>
      <c r="I98" s="306" t="s">
        <v>2</v>
      </c>
      <c r="J98" s="306"/>
      <c r="K98" s="306"/>
      <c r="L98" s="2"/>
      <c r="N98" s="306"/>
      <c r="O98" s="306"/>
      <c r="P98" s="2"/>
    </row>
    <row r="99" spans="1:16">
      <c r="A99" s="1">
        <v>10</v>
      </c>
      <c r="B99" s="332" t="str">
        <f>+B91</f>
        <v xml:space="preserve">  General &amp; Intangible</v>
      </c>
      <c r="D99" s="347">
        <f>Plant!H42+Plant!I42</f>
        <v>3343735.6799999997</v>
      </c>
      <c r="E99" s="306"/>
      <c r="F99" s="310" t="str">
        <f t="shared" si="0"/>
        <v>W/S</v>
      </c>
      <c r="G99" s="343">
        <f t="shared" si="0"/>
        <v>4.7895598791009339E-2</v>
      </c>
      <c r="H99" s="306"/>
      <c r="I99" s="310">
        <f>+G99*D99</f>
        <v>160150.22259246279</v>
      </c>
      <c r="J99" s="306"/>
      <c r="K99" s="306"/>
      <c r="L99" s="2"/>
      <c r="N99" s="306"/>
      <c r="O99" s="1"/>
      <c r="P99" s="2"/>
    </row>
    <row r="100" spans="1:16" ht="16.5" thickBot="1">
      <c r="A100" s="1">
        <v>11</v>
      </c>
      <c r="B100" s="332" t="str">
        <f>+B92</f>
        <v xml:space="preserve">  Common</v>
      </c>
      <c r="C100" s="306"/>
      <c r="D100" s="344">
        <f>Plant!J42</f>
        <v>0</v>
      </c>
      <c r="E100" s="306"/>
      <c r="F100" s="310" t="str">
        <f t="shared" si="0"/>
        <v>CE</v>
      </c>
      <c r="G100" s="343">
        <f t="shared" si="0"/>
        <v>4.7895598791009339E-2</v>
      </c>
      <c r="H100" s="306"/>
      <c r="I100" s="314">
        <f>+G100*D100</f>
        <v>0</v>
      </c>
      <c r="J100" s="306"/>
      <c r="K100" s="306"/>
      <c r="L100" s="2"/>
      <c r="N100" s="306"/>
      <c r="O100" s="1"/>
      <c r="P100" s="2"/>
    </row>
    <row r="101" spans="1:16">
      <c r="A101" s="1">
        <v>12</v>
      </c>
      <c r="B101" s="2" t="s">
        <v>208</v>
      </c>
      <c r="C101" s="306"/>
      <c r="D101" s="310">
        <f>SUM(D96:D100)</f>
        <v>43117310.375384614</v>
      </c>
      <c r="E101" s="306"/>
      <c r="F101" s="306"/>
      <c r="G101" s="306"/>
      <c r="H101" s="306"/>
      <c r="I101" s="310">
        <f>SUM(I96:I100)</f>
        <v>10805664.762592465</v>
      </c>
      <c r="J101" s="306"/>
      <c r="K101" s="306"/>
      <c r="L101" s="2"/>
      <c r="N101" s="348"/>
      <c r="O101" s="306"/>
      <c r="P101" s="2"/>
    </row>
    <row r="102" spans="1:16">
      <c r="A102" s="1"/>
      <c r="C102" s="306" t="s">
        <v>2</v>
      </c>
      <c r="E102" s="306"/>
      <c r="F102" s="306"/>
      <c r="G102" s="346"/>
      <c r="H102" s="306"/>
      <c r="J102" s="306"/>
      <c r="K102" s="346"/>
      <c r="L102" s="2"/>
      <c r="N102" s="306"/>
      <c r="O102" s="306"/>
      <c r="P102" s="2"/>
    </row>
    <row r="103" spans="1:16">
      <c r="A103" s="1"/>
      <c r="B103" s="2" t="s">
        <v>318</v>
      </c>
      <c r="C103" s="306"/>
      <c r="D103" s="306"/>
      <c r="E103" s="306"/>
      <c r="F103" s="306"/>
      <c r="G103" s="306"/>
      <c r="H103" s="306"/>
      <c r="I103" s="306"/>
      <c r="J103" s="306"/>
      <c r="K103" s="306"/>
      <c r="L103" s="2"/>
      <c r="N103" s="306"/>
      <c r="O103" s="306"/>
      <c r="P103" s="2"/>
    </row>
    <row r="104" spans="1:16">
      <c r="A104" s="1">
        <v>13</v>
      </c>
      <c r="B104" s="332" t="str">
        <f>+B96</f>
        <v xml:space="preserve">  Production</v>
      </c>
      <c r="C104" s="306" t="s">
        <v>209</v>
      </c>
      <c r="D104" s="310">
        <f>D88-D96</f>
        <v>8040667.0046153888</v>
      </c>
      <c r="E104" s="306"/>
      <c r="F104" s="306"/>
      <c r="G104" s="346"/>
      <c r="H104" s="306"/>
      <c r="I104" s="306" t="s">
        <v>2</v>
      </c>
      <c r="J104" s="306"/>
      <c r="K104" s="346"/>
      <c r="L104" s="2"/>
      <c r="N104" s="306"/>
      <c r="O104" s="306"/>
      <c r="P104" s="2"/>
    </row>
    <row r="105" spans="1:16">
      <c r="A105" s="1">
        <v>14</v>
      </c>
      <c r="B105" s="332" t="str">
        <f>+B97</f>
        <v xml:space="preserve">  Transmission</v>
      </c>
      <c r="C105" s="306" t="s">
        <v>210</v>
      </c>
      <c r="D105" s="310">
        <f>D89-D97</f>
        <v>3419977.3361538425</v>
      </c>
      <c r="E105" s="306"/>
      <c r="F105" s="306"/>
      <c r="G105" s="342"/>
      <c r="H105" s="306"/>
      <c r="I105" s="310">
        <f>I89-I97</f>
        <v>3419977.3361538425</v>
      </c>
      <c r="J105" s="306"/>
      <c r="K105" s="346"/>
      <c r="L105" s="2"/>
      <c r="N105" s="306"/>
      <c r="O105" s="306"/>
      <c r="P105" s="2"/>
    </row>
    <row r="106" spans="1:16">
      <c r="A106" s="1">
        <v>15</v>
      </c>
      <c r="B106" s="332" t="str">
        <f>+B98</f>
        <v xml:space="preserve">  Distribution</v>
      </c>
      <c r="C106" s="306" t="s">
        <v>211</v>
      </c>
      <c r="D106" s="310">
        <f>D90-D98</f>
        <v>9393276.5253846198</v>
      </c>
      <c r="E106" s="306"/>
      <c r="F106" s="306"/>
      <c r="G106" s="346"/>
      <c r="H106" s="306"/>
      <c r="I106" s="306" t="s">
        <v>2</v>
      </c>
      <c r="J106" s="306"/>
      <c r="K106" s="346"/>
      <c r="L106" s="2"/>
      <c r="N106" s="306"/>
      <c r="O106" s="306"/>
      <c r="P106" s="2"/>
    </row>
    <row r="107" spans="1:16">
      <c r="A107" s="1">
        <v>16</v>
      </c>
      <c r="B107" s="332" t="str">
        <f>+B99</f>
        <v xml:space="preserve">  General &amp; Intangible</v>
      </c>
      <c r="C107" s="306" t="s">
        <v>212</v>
      </c>
      <c r="D107" s="310">
        <f>D91-D99</f>
        <v>2450297.1753846165</v>
      </c>
      <c r="E107" s="306"/>
      <c r="F107" s="306"/>
      <c r="G107" s="346"/>
      <c r="H107" s="306"/>
      <c r="I107" s="310">
        <f>I91-I99</f>
        <v>117358.45043096505</v>
      </c>
      <c r="J107" s="306"/>
      <c r="K107" s="346"/>
      <c r="L107" s="2"/>
      <c r="N107" s="306"/>
      <c r="O107" s="1"/>
      <c r="P107" s="2"/>
    </row>
    <row r="108" spans="1:16" ht="16.5" thickBot="1">
      <c r="A108" s="1">
        <v>17</v>
      </c>
      <c r="B108" s="332" t="str">
        <f>+B100</f>
        <v xml:space="preserve">  Common</v>
      </c>
      <c r="C108" s="306" t="s">
        <v>213</v>
      </c>
      <c r="D108" s="314">
        <f>D92-D100</f>
        <v>0</v>
      </c>
      <c r="E108" s="306"/>
      <c r="F108" s="306"/>
      <c r="G108" s="346"/>
      <c r="H108" s="306"/>
      <c r="I108" s="314">
        <f>I92-I100</f>
        <v>0</v>
      </c>
      <c r="J108" s="306"/>
      <c r="K108" s="346"/>
      <c r="L108" s="2"/>
      <c r="N108" s="306"/>
      <c r="O108" s="1"/>
      <c r="P108" s="2"/>
    </row>
    <row r="109" spans="1:16">
      <c r="A109" s="1">
        <v>18</v>
      </c>
      <c r="B109" s="2" t="s">
        <v>214</v>
      </c>
      <c r="C109" s="306"/>
      <c r="D109" s="310">
        <f>SUM(D104:D108)</f>
        <v>23304218.041538469</v>
      </c>
      <c r="E109" s="306"/>
      <c r="F109" s="306" t="s">
        <v>59</v>
      </c>
      <c r="G109" s="345">
        <f>IF(I109&gt;0,I109/D109,0)</f>
        <v>0.15178950781698419</v>
      </c>
      <c r="H109" s="306"/>
      <c r="I109" s="310">
        <f>SUM(I104:I108)</f>
        <v>3537335.7865848076</v>
      </c>
      <c r="J109" s="306"/>
      <c r="K109" s="306"/>
      <c r="L109" s="2"/>
      <c r="N109" s="315"/>
      <c r="O109" s="306"/>
      <c r="P109" s="2"/>
    </row>
    <row r="110" spans="1:16">
      <c r="A110" s="1"/>
      <c r="C110" s="306"/>
      <c r="E110" s="306"/>
      <c r="H110" s="306"/>
      <c r="J110" s="306"/>
      <c r="K110" s="346"/>
      <c r="L110" s="2"/>
      <c r="N110" s="306"/>
      <c r="O110" s="306"/>
      <c r="P110" s="2"/>
    </row>
    <row r="111" spans="1:16">
      <c r="A111" s="1"/>
      <c r="B111" s="2" t="s">
        <v>319</v>
      </c>
      <c r="C111" s="306"/>
      <c r="D111" s="306"/>
      <c r="E111" s="306"/>
      <c r="F111" s="306"/>
      <c r="G111" s="306"/>
      <c r="H111" s="306"/>
      <c r="I111" s="306"/>
      <c r="J111" s="306"/>
      <c r="K111" s="306"/>
      <c r="L111" s="2"/>
      <c r="N111" s="306" t="s">
        <v>2</v>
      </c>
      <c r="O111" s="306"/>
      <c r="P111" s="2"/>
    </row>
    <row r="112" spans="1:16">
      <c r="A112" s="1">
        <v>19</v>
      </c>
      <c r="B112" s="2" t="s">
        <v>60</v>
      </c>
      <c r="C112" s="306"/>
      <c r="D112" s="347">
        <v>0</v>
      </c>
      <c r="E112" s="306"/>
      <c r="F112" s="306"/>
      <c r="G112" s="349" t="s">
        <v>172</v>
      </c>
      <c r="H112" s="306"/>
      <c r="I112" s="306">
        <v>0</v>
      </c>
      <c r="J112" s="306"/>
      <c r="K112" s="346"/>
      <c r="L112" s="2"/>
      <c r="N112" s="346"/>
      <c r="O112" s="1"/>
      <c r="P112" s="2"/>
    </row>
    <row r="113" spans="1:16">
      <c r="A113" s="1">
        <v>20</v>
      </c>
      <c r="B113" s="2" t="s">
        <v>62</v>
      </c>
      <c r="C113" s="306"/>
      <c r="D113" s="347">
        <v>0</v>
      </c>
      <c r="E113" s="306"/>
      <c r="F113" s="306" t="s">
        <v>61</v>
      </c>
      <c r="G113" s="343">
        <f>+G109</f>
        <v>0.15178950781698419</v>
      </c>
      <c r="H113" s="306"/>
      <c r="I113" s="310">
        <f>D113*G113</f>
        <v>0</v>
      </c>
      <c r="J113" s="306"/>
      <c r="K113" s="346"/>
      <c r="L113" s="2"/>
      <c r="N113" s="346"/>
      <c r="O113" s="1"/>
      <c r="P113" s="2"/>
    </row>
    <row r="114" spans="1:16">
      <c r="A114" s="1">
        <v>21</v>
      </c>
      <c r="B114" s="2" t="s">
        <v>63</v>
      </c>
      <c r="C114" s="306"/>
      <c r="D114" s="341">
        <v>0</v>
      </c>
      <c r="E114" s="306"/>
      <c r="F114" s="306" t="s">
        <v>61</v>
      </c>
      <c r="G114" s="343">
        <f>+G113</f>
        <v>0.15178950781698419</v>
      </c>
      <c r="H114" s="306"/>
      <c r="I114" s="310">
        <f>D114*G114</f>
        <v>0</v>
      </c>
      <c r="J114" s="306"/>
      <c r="K114" s="346"/>
      <c r="L114" s="2"/>
      <c r="N114" s="346"/>
      <c r="O114" s="1"/>
      <c r="P114" s="2"/>
    </row>
    <row r="115" spans="1:16">
      <c r="A115" s="1">
        <v>22</v>
      </c>
      <c r="B115" s="2" t="s">
        <v>64</v>
      </c>
      <c r="C115" s="306"/>
      <c r="D115" s="341">
        <v>0</v>
      </c>
      <c r="E115" s="306"/>
      <c r="F115" s="310" t="str">
        <f>+F114</f>
        <v>NP</v>
      </c>
      <c r="G115" s="343">
        <f>+G114</f>
        <v>0.15178950781698419</v>
      </c>
      <c r="H115" s="306"/>
      <c r="I115" s="310">
        <f>D115*G115</f>
        <v>0</v>
      </c>
      <c r="J115" s="306"/>
      <c r="K115" s="346"/>
      <c r="L115" s="2"/>
      <c r="N115" s="346"/>
      <c r="O115" s="1"/>
      <c r="P115" s="2"/>
    </row>
    <row r="116" spans="1:16" ht="16.5" thickBot="1">
      <c r="A116" s="1">
        <v>23</v>
      </c>
      <c r="B116" s="302" t="s">
        <v>65</v>
      </c>
      <c r="D116" s="344">
        <v>0</v>
      </c>
      <c r="E116" s="306"/>
      <c r="F116" s="306" t="s">
        <v>61</v>
      </c>
      <c r="G116" s="343">
        <f>+G114</f>
        <v>0.15178950781698419</v>
      </c>
      <c r="H116" s="306"/>
      <c r="I116" s="314">
        <f>D116*G116</f>
        <v>0</v>
      </c>
      <c r="J116" s="306"/>
      <c r="K116" s="306"/>
      <c r="L116" s="2"/>
      <c r="N116" s="348"/>
      <c r="O116" s="306"/>
      <c r="P116" s="2"/>
    </row>
    <row r="117" spans="1:16">
      <c r="A117" s="1">
        <v>24</v>
      </c>
      <c r="B117" s="2" t="s">
        <v>66</v>
      </c>
      <c r="C117" s="306"/>
      <c r="D117" s="310">
        <f>SUM(D112:D116)</f>
        <v>0</v>
      </c>
      <c r="E117" s="306"/>
      <c r="F117" s="306"/>
      <c r="G117" s="306"/>
      <c r="H117" s="306"/>
      <c r="I117" s="310">
        <f>SUM(I112:I116)</f>
        <v>0</v>
      </c>
      <c r="J117" s="306"/>
      <c r="K117" s="346"/>
      <c r="L117" s="2"/>
      <c r="N117" s="306"/>
      <c r="O117" s="306"/>
      <c r="P117" s="2"/>
    </row>
    <row r="118" spans="1:16">
      <c r="A118" s="1"/>
      <c r="B118" s="2"/>
      <c r="C118" s="306"/>
      <c r="D118" s="306"/>
      <c r="E118" s="306"/>
      <c r="F118" s="306"/>
      <c r="G118" s="306"/>
      <c r="H118" s="306"/>
      <c r="I118" s="306"/>
      <c r="J118" s="306"/>
      <c r="K118" s="346"/>
      <c r="L118" s="2"/>
      <c r="N118" s="306"/>
      <c r="O118" s="306"/>
      <c r="P118" s="2"/>
    </row>
    <row r="119" spans="1:16">
      <c r="A119" s="1">
        <v>25</v>
      </c>
      <c r="B119" s="2" t="s">
        <v>67</v>
      </c>
      <c r="C119" s="306" t="s">
        <v>320</v>
      </c>
      <c r="D119" s="347">
        <f>'Land Held for future use'!E23</f>
        <v>354384</v>
      </c>
      <c r="E119" s="306"/>
      <c r="F119" s="310" t="str">
        <f>+F97</f>
        <v>TP</v>
      </c>
      <c r="G119" s="343">
        <f>+G97</f>
        <v>1</v>
      </c>
      <c r="H119" s="306"/>
      <c r="I119" s="310">
        <f>+G119*D119</f>
        <v>354384</v>
      </c>
      <c r="J119" s="306"/>
      <c r="K119" s="306"/>
      <c r="L119" s="2"/>
      <c r="N119" s="486" t="s">
        <v>621</v>
      </c>
      <c r="O119" s="306"/>
      <c r="P119" s="2"/>
    </row>
    <row r="120" spans="1:16">
      <c r="A120" s="1"/>
      <c r="B120" s="2"/>
      <c r="C120" s="306"/>
      <c r="D120" s="306"/>
      <c r="E120" s="306"/>
      <c r="F120" s="306"/>
      <c r="G120" s="306"/>
      <c r="H120" s="306"/>
      <c r="I120" s="306"/>
      <c r="J120" s="306"/>
      <c r="K120" s="306"/>
      <c r="L120" s="2"/>
      <c r="N120" s="306"/>
      <c r="O120" s="306"/>
      <c r="P120" s="2"/>
    </row>
    <row r="121" spans="1:16">
      <c r="A121" s="1"/>
      <c r="B121" s="2" t="s">
        <v>68</v>
      </c>
      <c r="C121" s="306" t="s">
        <v>70</v>
      </c>
      <c r="D121" s="306"/>
      <c r="E121" s="306"/>
      <c r="F121" s="306"/>
      <c r="G121" s="306"/>
      <c r="H121" s="306"/>
      <c r="I121" s="306"/>
      <c r="J121" s="306"/>
      <c r="K121" s="306"/>
      <c r="L121" s="2"/>
      <c r="N121" s="306"/>
      <c r="O121" s="306"/>
      <c r="P121" s="2"/>
    </row>
    <row r="122" spans="1:16">
      <c r="A122" s="1">
        <v>26</v>
      </c>
      <c r="B122" s="2" t="s">
        <v>69</v>
      </c>
      <c r="D122" s="310">
        <f>D163/8</f>
        <v>481035.5</v>
      </c>
      <c r="E122" s="306"/>
      <c r="F122" s="306"/>
      <c r="G122" s="346"/>
      <c r="H122" s="306"/>
      <c r="I122" s="310">
        <f>I163/8</f>
        <v>60591.909052516981</v>
      </c>
      <c r="J122" s="4"/>
      <c r="K122" s="346"/>
      <c r="L122" s="2"/>
      <c r="N122" s="350"/>
      <c r="O122" s="3"/>
      <c r="P122" s="2"/>
    </row>
    <row r="123" spans="1:16">
      <c r="A123" s="1">
        <v>27</v>
      </c>
      <c r="B123" s="2" t="s">
        <v>71</v>
      </c>
      <c r="C123" s="302" t="s">
        <v>321</v>
      </c>
      <c r="D123" s="347">
        <f>'Materials &amp; PrePay'!E23</f>
        <v>47165.42</v>
      </c>
      <c r="E123" s="306"/>
      <c r="F123" s="306" t="s">
        <v>72</v>
      </c>
      <c r="G123" s="343">
        <f>I234</f>
        <v>1</v>
      </c>
      <c r="H123" s="306"/>
      <c r="I123" s="310">
        <f>G123*D123</f>
        <v>47165.42</v>
      </c>
      <c r="J123" s="306" t="s">
        <v>2</v>
      </c>
      <c r="K123" s="346"/>
      <c r="L123" s="2"/>
      <c r="N123" s="482" t="s">
        <v>621</v>
      </c>
      <c r="O123" s="1"/>
      <c r="P123" s="2"/>
    </row>
    <row r="124" spans="1:16" ht="16.5" thickBot="1">
      <c r="A124" s="1">
        <v>28</v>
      </c>
      <c r="B124" s="2" t="s">
        <v>309</v>
      </c>
      <c r="C124" s="302" t="s">
        <v>322</v>
      </c>
      <c r="D124" s="344">
        <f>'Materials &amp; PrePay'!F23</f>
        <v>488125.75461538468</v>
      </c>
      <c r="E124" s="306"/>
      <c r="F124" s="306" t="s">
        <v>73</v>
      </c>
      <c r="G124" s="343">
        <f>+G93</f>
        <v>0.2159390319829334</v>
      </c>
      <c r="H124" s="306"/>
      <c r="I124" s="314">
        <f>+G124*D124</f>
        <v>105405.40293758505</v>
      </c>
      <c r="J124" s="306"/>
      <c r="K124" s="346"/>
      <c r="L124" s="2"/>
      <c r="N124" s="350"/>
      <c r="O124" s="1"/>
      <c r="P124" s="2"/>
    </row>
    <row r="125" spans="1:16">
      <c r="A125" s="1">
        <v>29</v>
      </c>
      <c r="B125" s="2" t="s">
        <v>215</v>
      </c>
      <c r="C125" s="4"/>
      <c r="D125" s="310">
        <f>D122+D123+D124</f>
        <v>1016326.6746153848</v>
      </c>
      <c r="E125" s="4"/>
      <c r="F125" s="4"/>
      <c r="G125" s="4"/>
      <c r="H125" s="4"/>
      <c r="I125" s="310">
        <f>I122+I123+I124</f>
        <v>213162.73199010204</v>
      </c>
      <c r="J125" s="4"/>
      <c r="K125" s="4"/>
      <c r="L125" s="2"/>
      <c r="N125" s="348"/>
      <c r="O125" s="306"/>
      <c r="P125" s="2"/>
    </row>
    <row r="126" spans="1:16" ht="16.5" thickBot="1">
      <c r="C126" s="306"/>
      <c r="D126" s="351"/>
      <c r="E126" s="306"/>
      <c r="F126" s="306"/>
      <c r="G126" s="306"/>
      <c r="H126" s="306"/>
      <c r="I126" s="351"/>
      <c r="J126" s="306"/>
      <c r="K126" s="306"/>
      <c r="L126" s="2"/>
      <c r="N126" s="306"/>
      <c r="O126" s="306"/>
      <c r="P126" s="2"/>
    </row>
    <row r="127" spans="1:16" ht="16.5" thickBot="1">
      <c r="A127" s="1">
        <v>30</v>
      </c>
      <c r="B127" s="2" t="s">
        <v>74</v>
      </c>
      <c r="C127" s="306"/>
      <c r="D127" s="352">
        <f>+D125+D119+D117+D109</f>
        <v>24674928.716153853</v>
      </c>
      <c r="E127" s="306"/>
      <c r="F127" s="306"/>
      <c r="G127" s="346"/>
      <c r="H127" s="306"/>
      <c r="I127" s="352">
        <f>+I125+I119+I117+I109</f>
        <v>4104882.5185749093</v>
      </c>
      <c r="J127" s="306"/>
      <c r="K127" s="346"/>
      <c r="L127" s="2"/>
      <c r="N127" s="306"/>
      <c r="O127" s="306"/>
      <c r="P127" s="2"/>
    </row>
    <row r="128" spans="1:16" ht="16.5" thickTop="1">
      <c r="A128" s="1"/>
      <c r="B128" s="2"/>
      <c r="C128" s="306"/>
      <c r="D128" s="306"/>
      <c r="E128" s="306"/>
      <c r="F128" s="306"/>
      <c r="G128" s="306"/>
      <c r="H128" s="306"/>
      <c r="I128" s="306"/>
      <c r="J128" s="306"/>
      <c r="K128" s="306"/>
      <c r="L128" s="4"/>
      <c r="N128" s="306"/>
      <c r="O128" s="306"/>
      <c r="P128" s="2"/>
    </row>
    <row r="129" spans="1:16">
      <c r="A129" s="1"/>
      <c r="B129" s="2"/>
      <c r="C129" s="306"/>
      <c r="D129" s="306"/>
      <c r="E129" s="306"/>
      <c r="F129" s="306"/>
      <c r="G129" s="306"/>
      <c r="H129" s="306"/>
      <c r="I129" s="306"/>
      <c r="J129" s="306"/>
      <c r="K129" s="306"/>
      <c r="L129" s="4"/>
      <c r="N129" s="306"/>
      <c r="O129" s="306"/>
      <c r="P129" s="2"/>
    </row>
    <row r="130" spans="1:16">
      <c r="A130" s="1"/>
      <c r="B130" s="2"/>
      <c r="C130" s="306"/>
      <c r="D130" s="306"/>
      <c r="E130" s="306"/>
      <c r="F130" s="306"/>
      <c r="G130" s="306"/>
      <c r="H130" s="306"/>
      <c r="I130" s="306"/>
      <c r="J130" s="306"/>
      <c r="K130" s="306"/>
      <c r="L130" s="4"/>
      <c r="N130" s="306"/>
      <c r="O130" s="306"/>
      <c r="P130" s="2"/>
    </row>
    <row r="131" spans="1:16">
      <c r="A131" s="1"/>
      <c r="B131" s="2"/>
      <c r="C131" s="306"/>
      <c r="D131" s="306"/>
      <c r="E131" s="306"/>
      <c r="F131" s="306"/>
      <c r="G131" s="306"/>
      <c r="H131" s="306"/>
      <c r="I131" s="306"/>
      <c r="J131" s="306"/>
      <c r="K131" s="306"/>
      <c r="L131" s="4"/>
      <c r="N131" s="306"/>
      <c r="O131" s="306"/>
      <c r="P131" s="2"/>
    </row>
    <row r="132" spans="1:16">
      <c r="A132" s="1"/>
      <c r="B132" s="2"/>
      <c r="C132" s="306"/>
      <c r="D132" s="306"/>
      <c r="E132" s="306"/>
      <c r="F132" s="306"/>
      <c r="G132" s="306"/>
      <c r="H132" s="306"/>
      <c r="I132" s="306"/>
      <c r="J132" s="306"/>
      <c r="K132" s="306"/>
      <c r="L132" s="4"/>
      <c r="N132" s="306"/>
      <c r="O132" s="306"/>
      <c r="P132" s="2"/>
    </row>
    <row r="133" spans="1:16">
      <c r="A133" s="1"/>
      <c r="B133" s="2"/>
      <c r="C133" s="306"/>
      <c r="D133" s="306"/>
      <c r="E133" s="306"/>
      <c r="F133" s="306"/>
      <c r="G133" s="306"/>
      <c r="H133" s="306"/>
      <c r="I133" s="306"/>
      <c r="J133" s="306"/>
      <c r="K133" s="306"/>
      <c r="L133" s="4"/>
      <c r="N133" s="306"/>
      <c r="O133" s="306"/>
      <c r="P133" s="2"/>
    </row>
    <row r="134" spans="1:16">
      <c r="A134" s="1"/>
      <c r="B134" s="2"/>
      <c r="C134" s="306"/>
      <c r="D134" s="306"/>
      <c r="E134" s="306"/>
      <c r="F134" s="306"/>
      <c r="G134" s="306"/>
      <c r="H134" s="306"/>
      <c r="I134" s="306"/>
      <c r="J134" s="306"/>
      <c r="K134" s="306"/>
      <c r="L134" s="4"/>
      <c r="N134" s="306"/>
      <c r="O134" s="306"/>
      <c r="P134" s="2"/>
    </row>
    <row r="135" spans="1:16">
      <c r="A135" s="1"/>
      <c r="B135" s="2"/>
      <c r="C135" s="306"/>
      <c r="D135" s="306"/>
      <c r="E135" s="306"/>
      <c r="F135" s="306"/>
      <c r="G135" s="306"/>
      <c r="H135" s="306"/>
      <c r="I135" s="306"/>
      <c r="J135" s="306"/>
      <c r="K135" s="306"/>
      <c r="L135" s="4"/>
      <c r="N135" s="306"/>
      <c r="O135" s="306"/>
      <c r="P135" s="2"/>
    </row>
    <row r="136" spans="1:16">
      <c r="A136" s="1"/>
      <c r="B136" s="2"/>
      <c r="C136" s="306"/>
      <c r="D136" s="306"/>
      <c r="E136" s="306"/>
      <c r="F136" s="306"/>
      <c r="G136" s="306"/>
      <c r="H136" s="306"/>
      <c r="I136" s="306"/>
      <c r="J136" s="306"/>
      <c r="K136" s="306"/>
      <c r="L136" s="4"/>
      <c r="N136" s="306"/>
      <c r="O136" s="306"/>
      <c r="P136" s="2"/>
    </row>
    <row r="137" spans="1:16">
      <c r="A137" s="1"/>
      <c r="B137" s="2"/>
      <c r="C137" s="306"/>
      <c r="D137" s="306"/>
      <c r="E137" s="306"/>
      <c r="F137" s="306"/>
      <c r="G137" s="306"/>
      <c r="H137" s="306"/>
      <c r="I137" s="306"/>
      <c r="J137" s="306"/>
      <c r="K137" s="306"/>
      <c r="L137" s="4"/>
      <c r="N137" s="306"/>
      <c r="O137" s="306"/>
      <c r="P137" s="2"/>
    </row>
    <row r="138" spans="1:16">
      <c r="A138" s="1"/>
      <c r="B138" s="2"/>
      <c r="C138" s="306"/>
      <c r="D138" s="306"/>
      <c r="E138" s="306"/>
      <c r="F138" s="306"/>
      <c r="G138" s="306"/>
      <c r="H138" s="306"/>
      <c r="I138" s="306"/>
      <c r="J138" s="306"/>
      <c r="K138" s="306"/>
      <c r="L138" s="4"/>
      <c r="N138" s="306"/>
      <c r="O138" s="306"/>
      <c r="P138" s="2"/>
    </row>
    <row r="139" spans="1:16">
      <c r="A139" s="1"/>
      <c r="B139" s="2"/>
      <c r="C139" s="306"/>
      <c r="D139" s="306"/>
      <c r="E139" s="306"/>
      <c r="F139" s="306"/>
      <c r="G139" s="306"/>
      <c r="H139" s="306"/>
      <c r="I139" s="306"/>
      <c r="J139" s="306"/>
      <c r="K139" s="306"/>
      <c r="L139" s="4"/>
      <c r="N139" s="306"/>
      <c r="O139" s="306"/>
      <c r="P139" s="2"/>
    </row>
    <row r="140" spans="1:16">
      <c r="A140" s="1"/>
      <c r="B140" s="2"/>
      <c r="C140" s="306"/>
      <c r="D140" s="306"/>
      <c r="E140" s="306"/>
      <c r="F140" s="306"/>
      <c r="G140" s="306"/>
      <c r="H140" s="306"/>
      <c r="I140" s="306"/>
      <c r="J140" s="306"/>
      <c r="K140" s="306"/>
      <c r="L140" s="4"/>
      <c r="N140" s="306"/>
      <c r="O140" s="306"/>
      <c r="P140" s="2"/>
    </row>
    <row r="141" spans="1:16">
      <c r="A141" s="1"/>
      <c r="B141" s="2"/>
      <c r="C141" s="306"/>
      <c r="D141" s="306"/>
      <c r="E141" s="306"/>
      <c r="F141" s="306"/>
      <c r="G141" s="306"/>
      <c r="H141" s="306"/>
      <c r="I141" s="306"/>
      <c r="J141" s="306"/>
      <c r="K141" s="306"/>
      <c r="L141" s="4"/>
      <c r="N141" s="306"/>
      <c r="O141" s="306"/>
      <c r="P141" s="2"/>
    </row>
    <row r="142" spans="1:16">
      <c r="A142" s="1"/>
      <c r="B142" s="2"/>
      <c r="C142" s="306"/>
      <c r="D142" s="306"/>
      <c r="E142" s="306"/>
      <c r="F142" s="306"/>
      <c r="G142" s="306"/>
      <c r="H142" s="306"/>
      <c r="I142" s="306"/>
      <c r="J142" s="306"/>
      <c r="K142" s="306"/>
      <c r="L142" s="4"/>
      <c r="N142" s="306"/>
      <c r="O142" s="306"/>
      <c r="P142" s="2"/>
    </row>
    <row r="143" spans="1:16">
      <c r="A143" s="1"/>
      <c r="B143" s="2"/>
      <c r="C143" s="306"/>
      <c r="D143" s="306"/>
      <c r="E143" s="306"/>
      <c r="F143" s="306"/>
      <c r="G143" s="306"/>
      <c r="H143" s="306"/>
      <c r="I143" s="306"/>
      <c r="J143" s="306"/>
      <c r="K143" s="303" t="s">
        <v>303</v>
      </c>
      <c r="L143" s="4"/>
      <c r="N143" s="306"/>
      <c r="O143" s="306"/>
      <c r="P143" s="2"/>
    </row>
    <row r="144" spans="1:16">
      <c r="B144" s="2"/>
      <c r="C144" s="2"/>
      <c r="D144" s="3"/>
      <c r="E144" s="2"/>
      <c r="F144" s="2"/>
      <c r="G144" s="2"/>
      <c r="H144" s="4"/>
      <c r="I144" s="4"/>
      <c r="K144" s="304" t="s">
        <v>181</v>
      </c>
      <c r="L144" s="4"/>
      <c r="N144" s="4"/>
      <c r="O144" s="4"/>
      <c r="P144" s="4"/>
    </row>
    <row r="145" spans="1:16">
      <c r="A145" s="1"/>
      <c r="B145" s="2"/>
      <c r="C145" s="306"/>
      <c r="D145" s="306"/>
      <c r="E145" s="306"/>
      <c r="F145" s="306"/>
      <c r="G145" s="306"/>
      <c r="H145" s="306"/>
      <c r="I145" s="306"/>
      <c r="J145" s="306"/>
      <c r="K145" s="306"/>
      <c r="L145" s="4"/>
      <c r="N145" s="306"/>
      <c r="O145" s="306"/>
      <c r="P145" s="2"/>
    </row>
    <row r="146" spans="1:16">
      <c r="A146" s="1"/>
      <c r="B146" s="332" t="str">
        <f>B4</f>
        <v xml:space="preserve">Formula Rate - Non-Levelized </v>
      </c>
      <c r="C146" s="306"/>
      <c r="D146" s="310" t="str">
        <f>D4</f>
        <v xml:space="preserve">   Rate Formula Template</v>
      </c>
      <c r="E146" s="306"/>
      <c r="F146" s="306"/>
      <c r="G146" s="306"/>
      <c r="H146" s="306"/>
      <c r="J146" s="306"/>
      <c r="K146" s="353" t="str">
        <f>K4</f>
        <v>For the 12 months ended 12/31/18</v>
      </c>
      <c r="L146" s="2"/>
      <c r="N146" s="306"/>
      <c r="O146" s="306"/>
      <c r="P146" s="2"/>
    </row>
    <row r="147" spans="1:16">
      <c r="A147" s="1"/>
      <c r="B147" s="2"/>
      <c r="C147" s="306"/>
      <c r="D147" s="310" t="str">
        <f>D5</f>
        <v>Utilizing EIA Form 412 Data</v>
      </c>
      <c r="E147" s="306"/>
      <c r="F147" s="306"/>
      <c r="G147" s="306"/>
      <c r="H147" s="306"/>
      <c r="I147" s="306"/>
      <c r="J147" s="306"/>
      <c r="K147" s="306"/>
      <c r="L147" s="2"/>
      <c r="N147" s="306"/>
      <c r="O147" s="306"/>
      <c r="P147" s="2"/>
    </row>
    <row r="148" spans="1:16">
      <c r="A148" s="1"/>
      <c r="C148" s="306"/>
      <c r="D148" s="306"/>
      <c r="E148" s="306"/>
      <c r="F148" s="306"/>
      <c r="G148" s="306"/>
      <c r="H148" s="306"/>
      <c r="I148" s="306"/>
      <c r="J148" s="306"/>
      <c r="K148" s="306"/>
      <c r="L148" s="2"/>
      <c r="N148" s="306"/>
      <c r="O148" s="306"/>
      <c r="P148" s="2"/>
    </row>
    <row r="149" spans="1:16">
      <c r="A149" s="1"/>
      <c r="D149" s="354" t="str">
        <f>D7</f>
        <v>Willmar Municipal Utilites (WMU)</v>
      </c>
      <c r="J149" s="306"/>
      <c r="K149" s="306"/>
      <c r="L149" s="2"/>
      <c r="N149" s="306"/>
      <c r="O149" s="306"/>
      <c r="P149" s="2"/>
    </row>
    <row r="150" spans="1:16">
      <c r="A150" s="1"/>
      <c r="B150" s="1" t="s">
        <v>39</v>
      </c>
      <c r="C150" s="1" t="s">
        <v>40</v>
      </c>
      <c r="D150" s="1" t="s">
        <v>41</v>
      </c>
      <c r="E150" s="306" t="s">
        <v>2</v>
      </c>
      <c r="F150" s="306"/>
      <c r="G150" s="335" t="s">
        <v>42</v>
      </c>
      <c r="H150" s="306"/>
      <c r="I150" s="336" t="s">
        <v>43</v>
      </c>
      <c r="J150" s="306"/>
      <c r="K150" s="306"/>
      <c r="L150" s="2"/>
      <c r="N150" s="4"/>
      <c r="O150" s="306"/>
      <c r="P150" s="2"/>
    </row>
    <row r="151" spans="1:16">
      <c r="A151" s="1" t="s">
        <v>4</v>
      </c>
      <c r="B151" s="2"/>
      <c r="C151" s="337" t="s">
        <v>44</v>
      </c>
      <c r="D151" s="306"/>
      <c r="E151" s="306"/>
      <c r="F151" s="306"/>
      <c r="G151" s="1"/>
      <c r="H151" s="306"/>
      <c r="I151" s="10" t="s">
        <v>45</v>
      </c>
      <c r="J151" s="306"/>
      <c r="K151" s="10"/>
      <c r="L151" s="2"/>
      <c r="N151" s="1"/>
      <c r="O151" s="306"/>
      <c r="P151" s="2"/>
    </row>
    <row r="152" spans="1:16" ht="16.5" thickBot="1">
      <c r="A152" s="6" t="s">
        <v>6</v>
      </c>
      <c r="B152" s="2"/>
      <c r="C152" s="339" t="s">
        <v>46</v>
      </c>
      <c r="D152" s="10" t="s">
        <v>47</v>
      </c>
      <c r="E152" s="340"/>
      <c r="F152" s="10" t="s">
        <v>48</v>
      </c>
      <c r="H152" s="340"/>
      <c r="I152" s="1" t="s">
        <v>49</v>
      </c>
      <c r="J152" s="306"/>
      <c r="K152" s="10"/>
      <c r="L152" s="306" t="s">
        <v>2</v>
      </c>
      <c r="N152" s="10"/>
      <c r="O152" s="306"/>
      <c r="P152" s="2"/>
    </row>
    <row r="153" spans="1:16">
      <c r="A153" s="1"/>
      <c r="B153" s="2" t="s">
        <v>273</v>
      </c>
      <c r="C153" s="306"/>
      <c r="D153" s="306"/>
      <c r="E153" s="306"/>
      <c r="F153" s="306"/>
      <c r="G153" s="306"/>
      <c r="H153" s="306"/>
      <c r="I153" s="306"/>
      <c r="J153" s="306"/>
      <c r="K153" s="306"/>
      <c r="L153" s="2"/>
      <c r="N153" s="487"/>
      <c r="O153" s="306"/>
      <c r="P153" s="2"/>
    </row>
    <row r="154" spans="1:16">
      <c r="A154" s="1">
        <v>1</v>
      </c>
      <c r="B154" s="2" t="s">
        <v>75</v>
      </c>
      <c r="C154" s="302" t="s">
        <v>247</v>
      </c>
      <c r="D154" s="347">
        <f>'Transmission O&amp;M'!C41</f>
        <v>3193032</v>
      </c>
      <c r="E154" s="306"/>
      <c r="F154" s="306" t="s">
        <v>72</v>
      </c>
      <c r="G154" s="343">
        <f>I234</f>
        <v>1</v>
      </c>
      <c r="H154" s="306"/>
      <c r="I154" s="310">
        <f t="shared" ref="I154:I162" si="1">+G154*D154</f>
        <v>3193032</v>
      </c>
      <c r="J154" s="4"/>
      <c r="K154" s="306"/>
      <c r="L154" s="2"/>
      <c r="N154" s="487"/>
      <c r="O154" s="1"/>
      <c r="P154" s="306" t="s">
        <v>2</v>
      </c>
    </row>
    <row r="155" spans="1:16">
      <c r="A155" s="11" t="s">
        <v>185</v>
      </c>
      <c r="B155" s="355" t="s">
        <v>216</v>
      </c>
      <c r="C155" s="356"/>
      <c r="D155" s="347">
        <v>0</v>
      </c>
      <c r="E155" s="306"/>
      <c r="F155" s="357"/>
      <c r="G155" s="342">
        <v>1</v>
      </c>
      <c r="H155" s="306"/>
      <c r="I155" s="310">
        <f>+G155*D155</f>
        <v>0</v>
      </c>
      <c r="J155" s="4"/>
      <c r="K155" s="306"/>
      <c r="L155" s="2"/>
      <c r="N155" s="487"/>
      <c r="O155" s="1"/>
      <c r="P155" s="306"/>
    </row>
    <row r="156" spans="1:16">
      <c r="A156" s="1">
        <v>2</v>
      </c>
      <c r="B156" s="2" t="s">
        <v>76</v>
      </c>
      <c r="C156" s="302" t="s">
        <v>2</v>
      </c>
      <c r="D156" s="347">
        <f>'Transmission O&amp;M'!C23</f>
        <v>2880000</v>
      </c>
      <c r="E156" s="306"/>
      <c r="F156" s="306" t="s">
        <v>72</v>
      </c>
      <c r="G156" s="343">
        <f>+G154</f>
        <v>1</v>
      </c>
      <c r="H156" s="306"/>
      <c r="I156" s="310">
        <f t="shared" si="1"/>
        <v>2880000</v>
      </c>
      <c r="J156" s="4"/>
      <c r="K156" s="306"/>
      <c r="L156" s="2"/>
      <c r="N156" s="487"/>
      <c r="O156" s="1"/>
      <c r="P156" s="306"/>
    </row>
    <row r="157" spans="1:16">
      <c r="A157" s="1">
        <v>3</v>
      </c>
      <c r="B157" s="2" t="s">
        <v>77</v>
      </c>
      <c r="C157" s="302" t="s">
        <v>248</v>
      </c>
      <c r="D157" s="347">
        <f>'Admin &amp; General'!C46</f>
        <v>3553252</v>
      </c>
      <c r="E157" s="306"/>
      <c r="F157" s="306" t="s">
        <v>55</v>
      </c>
      <c r="G157" s="343">
        <f>I241</f>
        <v>4.7895598791009339E-2</v>
      </c>
      <c r="H157" s="306"/>
      <c r="I157" s="310">
        <f t="shared" si="1"/>
        <v>170185.13219535153</v>
      </c>
      <c r="J157" s="306"/>
      <c r="K157" s="306"/>
      <c r="L157" s="2"/>
      <c r="N157" s="487"/>
      <c r="O157" s="1"/>
      <c r="P157" s="2"/>
    </row>
    <row r="158" spans="1:16">
      <c r="A158" s="1">
        <v>4</v>
      </c>
      <c r="B158" s="2" t="s">
        <v>78</v>
      </c>
      <c r="C158" s="306"/>
      <c r="D158" s="347">
        <f>'FERC Fees'!C14</f>
        <v>18000</v>
      </c>
      <c r="E158" s="306"/>
      <c r="F158" s="310" t="str">
        <f>+F157</f>
        <v>W/S</v>
      </c>
      <c r="G158" s="343">
        <f>I241</f>
        <v>4.7895598791009339E-2</v>
      </c>
      <c r="H158" s="306"/>
      <c r="I158" s="310">
        <f t="shared" si="1"/>
        <v>862.1207782381681</v>
      </c>
      <c r="J158" s="306"/>
      <c r="K158" s="306"/>
      <c r="L158" s="2"/>
      <c r="N158" s="487"/>
      <c r="O158" s="1"/>
      <c r="P158" s="2"/>
    </row>
    <row r="159" spans="1:16">
      <c r="A159" s="1">
        <v>5</v>
      </c>
      <c r="B159" s="2" t="s">
        <v>217</v>
      </c>
      <c r="C159" s="306"/>
      <c r="D159" s="347">
        <f>'EPRI Reg Comm Non Safety'!B16</f>
        <v>2500</v>
      </c>
      <c r="E159" s="306"/>
      <c r="F159" s="310" t="str">
        <f>+F158</f>
        <v>W/S</v>
      </c>
      <c r="G159" s="343">
        <f>I241</f>
        <v>4.7895598791009339E-2</v>
      </c>
      <c r="H159" s="306"/>
      <c r="I159" s="310">
        <f t="shared" si="1"/>
        <v>119.73899697752334</v>
      </c>
      <c r="J159" s="306"/>
      <c r="K159" s="306"/>
      <c r="L159" s="2"/>
      <c r="N159" s="487"/>
      <c r="O159" s="1"/>
      <c r="P159" s="2"/>
    </row>
    <row r="160" spans="1:16">
      <c r="A160" s="1" t="s">
        <v>173</v>
      </c>
      <c r="B160" s="2" t="s">
        <v>218</v>
      </c>
      <c r="C160" s="306"/>
      <c r="D160" s="347">
        <f>'EPRI Reg Comm Non Safety'!B16</f>
        <v>2500</v>
      </c>
      <c r="E160" s="306"/>
      <c r="F160" s="310" t="str">
        <f>+F154</f>
        <v>TE</v>
      </c>
      <c r="G160" s="343">
        <f>+G154</f>
        <v>1</v>
      </c>
      <c r="H160" s="306"/>
      <c r="I160" s="310">
        <f t="shared" si="1"/>
        <v>2500</v>
      </c>
      <c r="J160" s="306"/>
      <c r="K160" s="306"/>
      <c r="L160" s="2"/>
      <c r="N160" s="487"/>
      <c r="O160" s="1"/>
      <c r="P160" s="2"/>
    </row>
    <row r="161" spans="1:16">
      <c r="A161" s="1">
        <v>6</v>
      </c>
      <c r="B161" s="2" t="s">
        <v>56</v>
      </c>
      <c r="C161" s="306"/>
      <c r="D161" s="347">
        <v>0</v>
      </c>
      <c r="E161" s="306"/>
      <c r="F161" s="306" t="s">
        <v>57</v>
      </c>
      <c r="G161" s="343">
        <f>K245</f>
        <v>4.7895598791009339E-2</v>
      </c>
      <c r="H161" s="306"/>
      <c r="I161" s="310">
        <f t="shared" si="1"/>
        <v>0</v>
      </c>
      <c r="J161" s="306"/>
      <c r="K161" s="306"/>
      <c r="L161" s="2"/>
      <c r="N161" s="487"/>
      <c r="O161" s="1"/>
      <c r="P161" s="2"/>
    </row>
    <row r="162" spans="1:16" ht="16.5" thickBot="1">
      <c r="A162" s="1">
        <v>7</v>
      </c>
      <c r="B162" s="2" t="s">
        <v>79</v>
      </c>
      <c r="C162" s="306"/>
      <c r="D162" s="344">
        <v>0</v>
      </c>
      <c r="E162" s="306"/>
      <c r="F162" s="306" t="s">
        <v>51</v>
      </c>
      <c r="G162" s="342">
        <v>1</v>
      </c>
      <c r="H162" s="306"/>
      <c r="I162" s="314">
        <f t="shared" si="1"/>
        <v>0</v>
      </c>
      <c r="J162" s="306"/>
      <c r="K162" s="306"/>
      <c r="L162" s="2"/>
      <c r="N162" s="487"/>
      <c r="O162" s="3"/>
      <c r="P162" s="2"/>
    </row>
    <row r="163" spans="1:16">
      <c r="A163" s="11">
        <v>8</v>
      </c>
      <c r="B163" s="355" t="s">
        <v>249</v>
      </c>
      <c r="C163" s="358"/>
      <c r="D163" s="25">
        <f>+D154-D156+D157-D158-D159+D160+D161+D162-D155</f>
        <v>3848284</v>
      </c>
      <c r="E163" s="358"/>
      <c r="F163" s="358"/>
      <c r="G163" s="358"/>
      <c r="H163" s="358"/>
      <c r="I163" s="25">
        <f>+I154-I156+I157-I158-I159+I160+I161+I162-I155</f>
        <v>484735.27242013585</v>
      </c>
      <c r="J163" s="358"/>
      <c r="K163" s="358"/>
      <c r="L163" s="358"/>
      <c r="M163" s="356"/>
      <c r="N163" s="487"/>
      <c r="O163" s="359"/>
      <c r="P163" s="2"/>
    </row>
    <row r="164" spans="1:16">
      <c r="A164" s="1"/>
      <c r="C164" s="306"/>
      <c r="E164" s="306"/>
      <c r="F164" s="306"/>
      <c r="G164" s="306"/>
      <c r="H164" s="306"/>
      <c r="J164" s="306"/>
      <c r="K164" s="306"/>
      <c r="L164" s="306" t="s">
        <v>2</v>
      </c>
      <c r="N164" s="306"/>
      <c r="O164" s="306"/>
      <c r="P164" s="2"/>
    </row>
    <row r="165" spans="1:16">
      <c r="A165" s="1"/>
      <c r="B165" s="2" t="s">
        <v>274</v>
      </c>
      <c r="C165" s="306"/>
      <c r="D165" s="306"/>
      <c r="E165" s="306"/>
      <c r="F165" s="306"/>
      <c r="G165" s="306"/>
      <c r="H165" s="306"/>
      <c r="I165" s="306"/>
      <c r="J165" s="306"/>
      <c r="K165" s="306"/>
      <c r="L165" s="306" t="s">
        <v>2</v>
      </c>
      <c r="N165" s="306"/>
      <c r="O165" s="306"/>
      <c r="P165" s="2"/>
    </row>
    <row r="166" spans="1:16">
      <c r="A166" s="1">
        <v>9</v>
      </c>
      <c r="B166" s="332" t="str">
        <f>+B154</f>
        <v xml:space="preserve">  Transmission </v>
      </c>
      <c r="C166" s="302" t="s">
        <v>2</v>
      </c>
      <c r="D166" s="347">
        <f>Plant!F45</f>
        <v>296109.72000000626</v>
      </c>
      <c r="E166" s="306"/>
      <c r="F166" s="306" t="s">
        <v>12</v>
      </c>
      <c r="G166" s="343">
        <f>+G119</f>
        <v>1</v>
      </c>
      <c r="H166" s="306"/>
      <c r="I166" s="310">
        <f>+G166*D166</f>
        <v>296109.72000000626</v>
      </c>
      <c r="J166" s="306"/>
      <c r="K166" s="346"/>
      <c r="L166" s="2"/>
      <c r="N166" s="306"/>
      <c r="O166" s="1"/>
      <c r="P166" s="306" t="s">
        <v>2</v>
      </c>
    </row>
    <row r="167" spans="1:16">
      <c r="A167" s="1">
        <v>10</v>
      </c>
      <c r="B167" s="2" t="s">
        <v>275</v>
      </c>
      <c r="C167" s="302" t="s">
        <v>2</v>
      </c>
      <c r="D167" s="347">
        <f>Plant!H45+Plant!I45</f>
        <v>239826.72000000067</v>
      </c>
      <c r="E167" s="306"/>
      <c r="F167" s="306" t="s">
        <v>55</v>
      </c>
      <c r="G167" s="343">
        <f>+G157</f>
        <v>4.7895598791009339E-2</v>
      </c>
      <c r="H167" s="306"/>
      <c r="I167" s="310">
        <f>+G167*D167</f>
        <v>11486.644360483768</v>
      </c>
      <c r="J167" s="306"/>
      <c r="K167" s="346"/>
      <c r="L167" s="2"/>
      <c r="N167" s="306"/>
      <c r="O167" s="1"/>
      <c r="P167" s="306" t="s">
        <v>2</v>
      </c>
    </row>
    <row r="168" spans="1:16" ht="16.5" thickBot="1">
      <c r="A168" s="1">
        <v>11</v>
      </c>
      <c r="B168" s="332" t="str">
        <f>+B161</f>
        <v xml:space="preserve">  Common</v>
      </c>
      <c r="C168" s="306"/>
      <c r="D168" s="344">
        <f>Plant!J45</f>
        <v>0</v>
      </c>
      <c r="E168" s="306"/>
      <c r="F168" s="306" t="s">
        <v>57</v>
      </c>
      <c r="G168" s="343">
        <f>+G161</f>
        <v>4.7895598791009339E-2</v>
      </c>
      <c r="H168" s="306"/>
      <c r="I168" s="314">
        <f>+G168*D168</f>
        <v>0</v>
      </c>
      <c r="J168" s="306"/>
      <c r="K168" s="346"/>
      <c r="L168" s="2"/>
      <c r="N168" s="306"/>
      <c r="O168" s="1"/>
      <c r="P168" s="306" t="s">
        <v>2</v>
      </c>
    </row>
    <row r="169" spans="1:16">
      <c r="A169" s="1">
        <v>12</v>
      </c>
      <c r="B169" s="2" t="s">
        <v>219</v>
      </c>
      <c r="C169" s="306"/>
      <c r="D169" s="310">
        <f>SUM(D166:D168)</f>
        <v>535936.44000000693</v>
      </c>
      <c r="E169" s="306"/>
      <c r="F169" s="306"/>
      <c r="G169" s="306"/>
      <c r="H169" s="306"/>
      <c r="I169" s="310">
        <f>SUM(I166:I168)</f>
        <v>307596.36436049</v>
      </c>
      <c r="J169" s="306"/>
      <c r="K169" s="306"/>
      <c r="L169" s="2"/>
      <c r="N169" s="348"/>
      <c r="O169" s="306"/>
      <c r="P169" s="2"/>
    </row>
    <row r="170" spans="1:16">
      <c r="A170" s="1"/>
      <c r="B170" s="2"/>
      <c r="C170" s="306"/>
      <c r="D170" s="306"/>
      <c r="E170" s="306"/>
      <c r="F170" s="306"/>
      <c r="G170" s="306"/>
      <c r="H170" s="306"/>
      <c r="I170" s="306"/>
      <c r="J170" s="306"/>
      <c r="K170" s="306"/>
      <c r="L170" s="2"/>
      <c r="N170" s="306"/>
      <c r="O170" s="306"/>
      <c r="P170" s="2"/>
    </row>
    <row r="171" spans="1:16">
      <c r="A171" s="1" t="s">
        <v>2</v>
      </c>
      <c r="B171" s="2" t="s">
        <v>220</v>
      </c>
      <c r="D171" s="306"/>
      <c r="E171" s="306"/>
      <c r="F171" s="306"/>
      <c r="G171" s="306"/>
      <c r="H171" s="306"/>
      <c r="I171" s="306"/>
      <c r="J171" s="306"/>
      <c r="K171" s="306"/>
      <c r="L171" s="2"/>
      <c r="N171" s="306"/>
      <c r="O171" s="306"/>
      <c r="P171" s="2"/>
    </row>
    <row r="172" spans="1:16">
      <c r="A172" s="1"/>
      <c r="B172" s="2" t="s">
        <v>80</v>
      </c>
      <c r="E172" s="306"/>
      <c r="F172" s="306"/>
      <c r="H172" s="306"/>
      <c r="J172" s="306"/>
      <c r="K172" s="346"/>
      <c r="L172" s="2"/>
      <c r="N172" s="350"/>
      <c r="O172" s="1"/>
      <c r="P172" s="2"/>
    </row>
    <row r="173" spans="1:16">
      <c r="A173" s="1">
        <v>13</v>
      </c>
      <c r="B173" s="2" t="s">
        <v>81</v>
      </c>
      <c r="C173" s="306"/>
      <c r="D173" s="347">
        <f>'Taxes other than Inc Taxes'!C7</f>
        <v>250000</v>
      </c>
      <c r="E173" s="306"/>
      <c r="F173" s="306" t="s">
        <v>55</v>
      </c>
      <c r="G173" s="311">
        <f>+G167</f>
        <v>4.7895598791009339E-2</v>
      </c>
      <c r="H173" s="306"/>
      <c r="I173" s="310">
        <f>+G173*D173</f>
        <v>11973.899697752335</v>
      </c>
      <c r="J173" s="306"/>
      <c r="K173" s="346"/>
      <c r="L173" s="2"/>
      <c r="N173" s="350"/>
      <c r="O173" s="1"/>
      <c r="P173" s="2"/>
    </row>
    <row r="174" spans="1:16">
      <c r="A174" s="1">
        <v>14</v>
      </c>
      <c r="B174" s="2" t="s">
        <v>82</v>
      </c>
      <c r="C174" s="306"/>
      <c r="D174" s="347">
        <f>'Taxes other than Inc Taxes'!C8</f>
        <v>0</v>
      </c>
      <c r="E174" s="306"/>
      <c r="F174" s="310" t="str">
        <f>+F173</f>
        <v>W/S</v>
      </c>
      <c r="G174" s="311">
        <f>+G173</f>
        <v>4.7895598791009339E-2</v>
      </c>
      <c r="H174" s="306"/>
      <c r="I174" s="310">
        <f>+G174*D174</f>
        <v>0</v>
      </c>
      <c r="J174" s="306"/>
      <c r="K174" s="346"/>
      <c r="L174" s="2"/>
      <c r="N174" s="350"/>
      <c r="O174" s="1"/>
      <c r="P174" s="2"/>
    </row>
    <row r="175" spans="1:16">
      <c r="A175" s="1">
        <v>15</v>
      </c>
      <c r="B175" s="2" t="s">
        <v>83</v>
      </c>
      <c r="C175" s="306"/>
      <c r="E175" s="306"/>
      <c r="F175" s="306"/>
      <c r="H175" s="306"/>
      <c r="J175" s="306"/>
      <c r="K175" s="346"/>
      <c r="L175" s="2"/>
      <c r="N175" s="350"/>
      <c r="O175" s="1"/>
      <c r="P175" s="2"/>
    </row>
    <row r="176" spans="1:16">
      <c r="A176" s="1">
        <v>16</v>
      </c>
      <c r="B176" s="2" t="s">
        <v>84</v>
      </c>
      <c r="C176" s="306"/>
      <c r="D176" s="347">
        <f>'Taxes other than Inc Taxes'!C9</f>
        <v>0</v>
      </c>
      <c r="E176" s="306"/>
      <c r="F176" s="306" t="s">
        <v>73</v>
      </c>
      <c r="G176" s="311">
        <f>+G93</f>
        <v>0.2159390319829334</v>
      </c>
      <c r="H176" s="306"/>
      <c r="I176" s="310">
        <f>+G176*D176</f>
        <v>0</v>
      </c>
      <c r="J176" s="306"/>
      <c r="K176" s="346"/>
      <c r="L176" s="2"/>
      <c r="N176" s="350"/>
      <c r="O176" s="1"/>
      <c r="P176" s="2"/>
    </row>
    <row r="177" spans="1:16">
      <c r="A177" s="1">
        <v>17</v>
      </c>
      <c r="B177" s="2" t="s">
        <v>85</v>
      </c>
      <c r="C177" s="306"/>
      <c r="D177" s="485">
        <f>'Taxes other than Inc Taxes'!C10</f>
        <v>0</v>
      </c>
      <c r="E177" s="306"/>
      <c r="F177" s="306" t="s">
        <v>51</v>
      </c>
      <c r="G177" s="360" t="s">
        <v>172</v>
      </c>
      <c r="H177" s="306"/>
      <c r="I177" s="306">
        <v>0</v>
      </c>
      <c r="J177" s="306"/>
      <c r="K177" s="346"/>
      <c r="L177" s="2"/>
      <c r="N177" s="350"/>
      <c r="O177" s="1"/>
      <c r="P177" s="2"/>
    </row>
    <row r="178" spans="1:16">
      <c r="A178" s="1">
        <v>18</v>
      </c>
      <c r="B178" s="2" t="s">
        <v>86</v>
      </c>
      <c r="C178" s="306"/>
      <c r="D178" s="485">
        <f>'Taxes other than Inc Taxes'!C11</f>
        <v>0</v>
      </c>
      <c r="E178" s="306"/>
      <c r="F178" s="310" t="str">
        <f>+F176</f>
        <v>GP</v>
      </c>
      <c r="G178" s="311">
        <f>+G176</f>
        <v>0.2159390319829334</v>
      </c>
      <c r="H178" s="306"/>
      <c r="I178" s="310">
        <f>+G178*D178</f>
        <v>0</v>
      </c>
      <c r="J178" s="306"/>
      <c r="K178" s="346"/>
      <c r="L178" s="2"/>
      <c r="N178" s="350"/>
      <c r="O178" s="1"/>
      <c r="P178" s="2"/>
    </row>
    <row r="179" spans="1:16" ht="16.5" thickBot="1">
      <c r="A179" s="1">
        <v>19</v>
      </c>
      <c r="B179" s="2" t="s">
        <v>87</v>
      </c>
      <c r="C179" s="306"/>
      <c r="D179" s="485">
        <f>'Taxes other than Inc Taxes'!C12</f>
        <v>1923157.8</v>
      </c>
      <c r="E179" s="306"/>
      <c r="F179" s="306" t="s">
        <v>73</v>
      </c>
      <c r="G179" s="311">
        <f>+G178</f>
        <v>0.2159390319829334</v>
      </c>
      <c r="H179" s="306"/>
      <c r="I179" s="314">
        <f>+G179*D179</f>
        <v>415284.83368242788</v>
      </c>
      <c r="J179" s="306"/>
      <c r="K179" s="346"/>
      <c r="L179" s="2"/>
      <c r="N179" s="350"/>
      <c r="O179" s="1"/>
      <c r="P179" s="2"/>
    </row>
    <row r="180" spans="1:16">
      <c r="A180" s="1">
        <v>20</v>
      </c>
      <c r="B180" s="2" t="s">
        <v>88</v>
      </c>
      <c r="C180" s="306"/>
      <c r="D180" s="310">
        <f>SUM(D173:D179)</f>
        <v>2173157.7999999998</v>
      </c>
      <c r="E180" s="306"/>
      <c r="F180" s="306"/>
      <c r="G180" s="316"/>
      <c r="H180" s="306"/>
      <c r="I180" s="310">
        <f>SUM(I173:I179)</f>
        <v>427258.7333801802</v>
      </c>
      <c r="J180" s="306"/>
      <c r="K180" s="306"/>
      <c r="L180" s="306" t="s">
        <v>2</v>
      </c>
      <c r="N180" s="348"/>
      <c r="O180" s="306"/>
      <c r="P180" s="2"/>
    </row>
    <row r="181" spans="1:16">
      <c r="A181" s="1" t="s">
        <v>89</v>
      </c>
      <c r="B181" s="2"/>
      <c r="C181" s="306"/>
      <c r="D181" s="306"/>
      <c r="E181" s="306"/>
      <c r="F181" s="306"/>
      <c r="G181" s="316"/>
      <c r="H181" s="306"/>
      <c r="I181" s="306"/>
      <c r="J181" s="306"/>
      <c r="K181" s="306"/>
      <c r="L181" s="306"/>
      <c r="N181" s="306"/>
      <c r="O181" s="306"/>
      <c r="P181" s="2"/>
    </row>
    <row r="182" spans="1:16">
      <c r="A182" s="1" t="s">
        <v>2</v>
      </c>
      <c r="B182" s="2" t="s">
        <v>90</v>
      </c>
      <c r="C182" s="361" t="s">
        <v>199</v>
      </c>
      <c r="D182" s="306"/>
      <c r="E182" s="306"/>
      <c r="F182" s="306" t="s">
        <v>51</v>
      </c>
      <c r="G182" s="15"/>
      <c r="H182" s="306"/>
      <c r="I182" s="306"/>
      <c r="J182" s="306"/>
      <c r="L182" s="306"/>
      <c r="N182" s="306"/>
      <c r="O182" s="3"/>
      <c r="P182" s="306" t="s">
        <v>2</v>
      </c>
    </row>
    <row r="183" spans="1:16">
      <c r="A183" s="1">
        <v>21</v>
      </c>
      <c r="B183" s="12" t="s">
        <v>91</v>
      </c>
      <c r="C183" s="306"/>
      <c r="D183" s="362">
        <f>IF(D298&gt;0,1-(((1-D299)*(1-D298))/(1-D299*D298*D300)),0)</f>
        <v>0</v>
      </c>
      <c r="E183" s="306"/>
      <c r="G183" s="15"/>
      <c r="H183" s="306"/>
      <c r="J183" s="306"/>
      <c r="L183" s="306"/>
      <c r="N183" s="306"/>
      <c r="O183" s="3"/>
      <c r="P183" s="306"/>
    </row>
    <row r="184" spans="1:16">
      <c r="A184" s="1">
        <v>22</v>
      </c>
      <c r="B184" s="302" t="s">
        <v>92</v>
      </c>
      <c r="C184" s="306"/>
      <c r="D184" s="362">
        <f>IF(I255&gt;0,(D183/(1-D183))*(1-I253/I255),0)</f>
        <v>0</v>
      </c>
      <c r="E184" s="306"/>
      <c r="G184" s="15"/>
      <c r="H184" s="306"/>
      <c r="J184" s="306"/>
      <c r="L184" s="306"/>
      <c r="N184" s="306"/>
      <c r="O184" s="1"/>
      <c r="P184" s="306"/>
    </row>
    <row r="185" spans="1:16">
      <c r="A185" s="1"/>
      <c r="B185" s="2" t="s">
        <v>276</v>
      </c>
      <c r="C185" s="306"/>
      <c r="D185" s="306"/>
      <c r="E185" s="306"/>
      <c r="G185" s="15"/>
      <c r="H185" s="306"/>
      <c r="J185" s="306"/>
      <c r="L185" s="306"/>
      <c r="N185" s="306"/>
      <c r="O185" s="1"/>
      <c r="P185" s="306"/>
    </row>
    <row r="186" spans="1:16">
      <c r="A186" s="1"/>
      <c r="B186" s="2" t="s">
        <v>93</v>
      </c>
      <c r="C186" s="306"/>
      <c r="D186" s="306"/>
      <c r="E186" s="306"/>
      <c r="G186" s="15"/>
      <c r="H186" s="306"/>
      <c r="J186" s="306"/>
      <c r="L186" s="306"/>
      <c r="N186" s="306"/>
      <c r="O186" s="1"/>
      <c r="P186" s="306"/>
    </row>
    <row r="187" spans="1:16">
      <c r="A187" s="1">
        <v>23</v>
      </c>
      <c r="B187" s="12" t="s">
        <v>94</v>
      </c>
      <c r="C187" s="306"/>
      <c r="D187" s="363">
        <f>IF(D183&gt;0,1/(1-D183),0)</f>
        <v>0</v>
      </c>
      <c r="E187" s="306"/>
      <c r="G187" s="15"/>
      <c r="H187" s="306"/>
      <c r="J187" s="306"/>
      <c r="L187" s="2"/>
      <c r="N187" s="306"/>
      <c r="O187" s="1"/>
      <c r="P187" s="306"/>
    </row>
    <row r="188" spans="1:16">
      <c r="A188" s="1">
        <v>24</v>
      </c>
      <c r="B188" s="355" t="s">
        <v>279</v>
      </c>
      <c r="C188" s="306"/>
      <c r="D188" s="347">
        <v>0</v>
      </c>
      <c r="E188" s="306"/>
      <c r="G188" s="15"/>
      <c r="H188" s="306"/>
      <c r="J188" s="306"/>
      <c r="L188" s="2"/>
      <c r="N188" s="306"/>
      <c r="O188" s="1"/>
      <c r="P188" s="306"/>
    </row>
    <row r="189" spans="1:16">
      <c r="A189" s="1"/>
      <c r="B189" s="2"/>
      <c r="C189" s="306"/>
      <c r="D189" s="306"/>
      <c r="E189" s="306"/>
      <c r="G189" s="15"/>
      <c r="H189" s="306"/>
      <c r="J189" s="306"/>
      <c r="L189" s="2"/>
      <c r="N189" s="306"/>
      <c r="O189" s="1"/>
      <c r="P189" s="306"/>
    </row>
    <row r="190" spans="1:16">
      <c r="A190" s="1">
        <v>25</v>
      </c>
      <c r="B190" s="12" t="s">
        <v>95</v>
      </c>
      <c r="C190" s="361"/>
      <c r="D190" s="310">
        <f>D184*D194</f>
        <v>0</v>
      </c>
      <c r="E190" s="306"/>
      <c r="F190" s="306" t="s">
        <v>51</v>
      </c>
      <c r="G190" s="316"/>
      <c r="H190" s="306"/>
      <c r="I190" s="310">
        <f>D184*I194</f>
        <v>0</v>
      </c>
      <c r="J190" s="306"/>
      <c r="L190" s="2"/>
      <c r="N190" s="306"/>
      <c r="O190" s="1"/>
      <c r="P190" s="306"/>
    </row>
    <row r="191" spans="1:16" ht="16.5" thickBot="1">
      <c r="A191" s="1">
        <v>26</v>
      </c>
      <c r="B191" s="302" t="s">
        <v>96</v>
      </c>
      <c r="C191" s="361"/>
      <c r="D191" s="314">
        <f>D187*D188</f>
        <v>0</v>
      </c>
      <c r="E191" s="306"/>
      <c r="F191" s="302" t="s">
        <v>61</v>
      </c>
      <c r="G191" s="311">
        <f>G109</f>
        <v>0.15178950781698419</v>
      </c>
      <c r="H191" s="306"/>
      <c r="I191" s="314">
        <f>G191*D191</f>
        <v>0</v>
      </c>
      <c r="J191" s="306"/>
      <c r="L191" s="306" t="s">
        <v>2</v>
      </c>
      <c r="N191" s="306"/>
      <c r="O191" s="1"/>
      <c r="P191" s="306"/>
    </row>
    <row r="192" spans="1:16">
      <c r="A192" s="1">
        <v>27</v>
      </c>
      <c r="B192" s="12" t="s">
        <v>97</v>
      </c>
      <c r="C192" s="302" t="s">
        <v>98</v>
      </c>
      <c r="D192" s="364">
        <f>+D190+D191</f>
        <v>0</v>
      </c>
      <c r="E192" s="306"/>
      <c r="F192" s="306" t="s">
        <v>2</v>
      </c>
      <c r="G192" s="316" t="s">
        <v>2</v>
      </c>
      <c r="H192" s="306"/>
      <c r="I192" s="364">
        <f>+I190+I191</f>
        <v>0</v>
      </c>
      <c r="J192" s="306"/>
      <c r="L192" s="306"/>
      <c r="N192" s="306"/>
      <c r="O192" s="1"/>
      <c r="P192" s="306"/>
    </row>
    <row r="193" spans="1:16">
      <c r="A193" s="1" t="s">
        <v>2</v>
      </c>
      <c r="C193" s="365"/>
      <c r="D193" s="306"/>
      <c r="E193" s="306"/>
      <c r="F193" s="306"/>
      <c r="G193" s="316"/>
      <c r="H193" s="306"/>
      <c r="I193" s="306"/>
      <c r="J193" s="306"/>
      <c r="K193" s="306"/>
      <c r="L193" s="306"/>
      <c r="N193" s="306"/>
      <c r="O193" s="306"/>
      <c r="P193" s="2"/>
    </row>
    <row r="194" spans="1:16">
      <c r="A194" s="1">
        <v>28</v>
      </c>
      <c r="B194" s="2" t="s">
        <v>99</v>
      </c>
      <c r="C194" s="346"/>
      <c r="D194" s="310">
        <f>+$I255*D127</f>
        <v>2525603.1692191693</v>
      </c>
      <c r="E194" s="306"/>
      <c r="F194" s="306" t="s">
        <v>51</v>
      </c>
      <c r="G194" s="15"/>
      <c r="H194" s="306"/>
      <c r="I194" s="310">
        <f>+$I255*I127</f>
        <v>420155.39000921324</v>
      </c>
      <c r="J194" s="306"/>
      <c r="L194" s="2"/>
      <c r="N194" s="306"/>
      <c r="O194" s="1"/>
      <c r="P194" s="306" t="s">
        <v>2</v>
      </c>
    </row>
    <row r="195" spans="1:16">
      <c r="A195" s="1"/>
      <c r="B195" s="12" t="s">
        <v>100</v>
      </c>
      <c r="D195" s="306"/>
      <c r="E195" s="306"/>
      <c r="F195" s="306"/>
      <c r="G195" s="15"/>
      <c r="H195" s="306"/>
      <c r="I195" s="306"/>
      <c r="J195" s="306"/>
      <c r="K195" s="346"/>
      <c r="L195" s="4"/>
      <c r="N195" s="306"/>
      <c r="O195" s="1"/>
      <c r="P195" s="306"/>
    </row>
    <row r="196" spans="1:16">
      <c r="A196" s="1"/>
      <c r="B196" s="2"/>
      <c r="D196" s="366"/>
      <c r="E196" s="306"/>
      <c r="F196" s="306"/>
      <c r="G196" s="15"/>
      <c r="H196" s="306"/>
      <c r="I196" s="366"/>
      <c r="J196" s="306"/>
      <c r="K196" s="346"/>
      <c r="L196" s="4"/>
      <c r="N196" s="306"/>
      <c r="O196" s="1"/>
      <c r="P196" s="306"/>
    </row>
    <row r="197" spans="1:16">
      <c r="A197" s="1">
        <v>29</v>
      </c>
      <c r="B197" s="2" t="s">
        <v>221</v>
      </c>
      <c r="C197" s="306"/>
      <c r="D197" s="367">
        <f>+D194+D192+D180+D169+D163</f>
        <v>9082981.4092191756</v>
      </c>
      <c r="E197" s="306"/>
      <c r="F197" s="306"/>
      <c r="G197" s="306"/>
      <c r="H197" s="306"/>
      <c r="I197" s="367">
        <f>+I194+I192+I180+I169+I163</f>
        <v>1639745.7601700192</v>
      </c>
      <c r="J197" s="4"/>
      <c r="K197" s="4"/>
      <c r="L197" s="4"/>
      <c r="N197" s="4"/>
      <c r="O197" s="3"/>
      <c r="P197" s="2"/>
    </row>
    <row r="198" spans="1:16">
      <c r="A198" s="1"/>
      <c r="B198" s="2"/>
      <c r="C198" s="306"/>
      <c r="D198" s="366"/>
      <c r="E198" s="306"/>
      <c r="F198" s="306"/>
      <c r="G198" s="306"/>
      <c r="H198" s="306"/>
      <c r="I198" s="366"/>
      <c r="J198" s="4"/>
      <c r="K198" s="4"/>
      <c r="L198" s="4"/>
      <c r="N198" s="4"/>
      <c r="O198" s="3"/>
      <c r="P198" s="2"/>
    </row>
    <row r="199" spans="1:16">
      <c r="A199" s="1">
        <v>30</v>
      </c>
      <c r="B199" s="302" t="s">
        <v>255</v>
      </c>
      <c r="J199" s="4"/>
      <c r="K199" s="4"/>
      <c r="L199" s="4"/>
      <c r="N199" s="4"/>
      <c r="O199" s="3"/>
      <c r="P199" s="2"/>
    </row>
    <row r="200" spans="1:16">
      <c r="A200" s="1"/>
      <c r="B200" s="302" t="s">
        <v>194</v>
      </c>
      <c r="J200" s="4"/>
      <c r="K200" s="4"/>
      <c r="L200" s="4"/>
      <c r="N200" s="4"/>
      <c r="O200" s="3"/>
      <c r="P200" s="2"/>
    </row>
    <row r="201" spans="1:16">
      <c r="A201" s="1"/>
      <c r="B201" s="302" t="s">
        <v>195</v>
      </c>
      <c r="D201" s="368">
        <v>0</v>
      </c>
      <c r="E201" s="2"/>
      <c r="F201" s="2"/>
      <c r="G201" s="2"/>
      <c r="H201" s="2"/>
      <c r="I201" s="368">
        <v>0</v>
      </c>
      <c r="J201" s="4"/>
      <c r="K201" s="4"/>
      <c r="L201" s="4"/>
      <c r="N201" s="4"/>
      <c r="O201" s="3"/>
      <c r="P201" s="2"/>
    </row>
    <row r="202" spans="1:16">
      <c r="A202" s="1"/>
      <c r="B202" s="2"/>
      <c r="C202" s="306"/>
      <c r="D202" s="366"/>
      <c r="E202" s="306"/>
      <c r="F202" s="306"/>
      <c r="G202" s="306"/>
      <c r="H202" s="306"/>
      <c r="I202" s="366"/>
      <c r="J202" s="4"/>
      <c r="K202" s="4"/>
      <c r="L202" s="4"/>
      <c r="N202" s="4"/>
      <c r="O202" s="3"/>
      <c r="P202" s="2"/>
    </row>
    <row r="203" spans="1:16">
      <c r="A203" s="1" t="s">
        <v>259</v>
      </c>
      <c r="B203" s="356" t="s">
        <v>280</v>
      </c>
      <c r="C203" s="356"/>
      <c r="D203" s="356"/>
      <c r="J203" s="306"/>
      <c r="K203" s="306"/>
      <c r="L203" s="4"/>
      <c r="N203" s="306"/>
      <c r="O203" s="1"/>
      <c r="P203" s="306" t="s">
        <v>2</v>
      </c>
    </row>
    <row r="204" spans="1:16">
      <c r="A204" s="1"/>
      <c r="B204" s="302" t="s">
        <v>194</v>
      </c>
      <c r="J204" s="306"/>
      <c r="K204" s="306"/>
      <c r="L204" s="4"/>
      <c r="N204" s="306"/>
      <c r="O204" s="1"/>
      <c r="P204" s="306"/>
    </row>
    <row r="205" spans="1:16" ht="16.5" thickBot="1">
      <c r="A205" s="1"/>
      <c r="B205" s="302" t="s">
        <v>260</v>
      </c>
      <c r="D205" s="369">
        <v>0</v>
      </c>
      <c r="E205" s="2"/>
      <c r="F205" s="2"/>
      <c r="G205" s="2"/>
      <c r="H205" s="2"/>
      <c r="I205" s="369">
        <v>0</v>
      </c>
      <c r="J205" s="306"/>
      <c r="K205" s="306"/>
      <c r="L205" s="4"/>
      <c r="N205" s="306"/>
      <c r="O205" s="1"/>
      <c r="P205" s="306"/>
    </row>
    <row r="206" spans="1:16" ht="16.5" thickBot="1">
      <c r="A206" s="11">
        <v>31</v>
      </c>
      <c r="B206" s="356" t="s">
        <v>193</v>
      </c>
      <c r="C206" s="356"/>
      <c r="D206" s="370">
        <f>+D197-D201-D205</f>
        <v>9082981.4092191756</v>
      </c>
      <c r="E206" s="356"/>
      <c r="F206" s="356"/>
      <c r="G206" s="356"/>
      <c r="H206" s="356"/>
      <c r="I206" s="370">
        <f>+I197-I201-I205</f>
        <v>1639745.7601700192</v>
      </c>
      <c r="J206" s="358"/>
      <c r="K206" s="358"/>
      <c r="L206" s="371"/>
      <c r="M206" s="356"/>
      <c r="N206" s="358"/>
      <c r="O206" s="1"/>
      <c r="P206" s="306"/>
    </row>
    <row r="207" spans="1:16" ht="16.5" thickTop="1">
      <c r="A207" s="1"/>
      <c r="B207" s="302" t="s">
        <v>261</v>
      </c>
      <c r="J207" s="306"/>
      <c r="K207" s="306"/>
      <c r="L207" s="4"/>
      <c r="N207" s="306"/>
      <c r="O207" s="1"/>
      <c r="P207" s="306"/>
    </row>
    <row r="208" spans="1:16" s="372" customFormat="1">
      <c r="A208" s="13"/>
      <c r="J208" s="373"/>
      <c r="K208" s="373"/>
      <c r="L208" s="16"/>
      <c r="N208" s="373"/>
      <c r="O208" s="13"/>
      <c r="P208" s="373"/>
    </row>
    <row r="209" spans="1:16" s="372" customFormat="1">
      <c r="A209" s="13"/>
      <c r="J209" s="373"/>
      <c r="K209" s="373"/>
      <c r="L209" s="16"/>
      <c r="N209" s="373"/>
      <c r="O209" s="13"/>
      <c r="P209" s="373"/>
    </row>
    <row r="210" spans="1:16" s="372" customFormat="1">
      <c r="A210" s="13"/>
      <c r="J210" s="373"/>
      <c r="K210" s="303" t="s">
        <v>303</v>
      </c>
      <c r="L210" s="16"/>
      <c r="N210" s="373"/>
      <c r="O210" s="13"/>
      <c r="P210" s="373"/>
    </row>
    <row r="211" spans="1:16">
      <c r="B211" s="2"/>
      <c r="C211" s="2"/>
      <c r="D211" s="3"/>
      <c r="E211" s="2"/>
      <c r="F211" s="2"/>
      <c r="G211" s="2"/>
      <c r="H211" s="4"/>
      <c r="I211" s="4"/>
      <c r="J211" s="4"/>
      <c r="K211" s="304" t="s">
        <v>182</v>
      </c>
      <c r="L211" s="2"/>
      <c r="N211" s="4"/>
      <c r="O211" s="4"/>
      <c r="P211" s="4"/>
    </row>
    <row r="212" spans="1:16">
      <c r="A212" s="1"/>
      <c r="J212" s="306"/>
      <c r="K212" s="306"/>
      <c r="L212" s="2"/>
      <c r="N212" s="306"/>
      <c r="O212" s="1"/>
      <c r="P212" s="306"/>
    </row>
    <row r="213" spans="1:16">
      <c r="A213" s="1"/>
      <c r="B213" s="332" t="str">
        <f>B4</f>
        <v xml:space="preserve">Formula Rate - Non-Levelized </v>
      </c>
      <c r="D213" s="354" t="str">
        <f>D4</f>
        <v xml:space="preserve">   Rate Formula Template</v>
      </c>
      <c r="J213" s="306"/>
      <c r="K213" s="374" t="str">
        <f>K4</f>
        <v>For the 12 months ended 12/31/18</v>
      </c>
      <c r="L213" s="2"/>
      <c r="N213" s="306"/>
      <c r="O213" s="306"/>
      <c r="P213" s="2"/>
    </row>
    <row r="214" spans="1:16">
      <c r="A214" s="1"/>
      <c r="B214" s="2"/>
      <c r="D214" s="354" t="str">
        <f>D5</f>
        <v>Utilizing EIA Form 412 Data</v>
      </c>
      <c r="J214" s="306"/>
      <c r="K214" s="306"/>
      <c r="L214" s="2"/>
      <c r="N214" s="306"/>
      <c r="O214" s="306"/>
      <c r="P214" s="2"/>
    </row>
    <row r="215" spans="1:16" ht="9" customHeight="1">
      <c r="A215" s="1"/>
      <c r="J215" s="306"/>
      <c r="K215" s="306"/>
      <c r="L215" s="2"/>
      <c r="N215" s="306"/>
      <c r="O215" s="306"/>
      <c r="P215" s="2"/>
    </row>
    <row r="216" spans="1:16">
      <c r="A216" s="1"/>
      <c r="D216" s="354" t="str">
        <f>D7</f>
        <v>Willmar Municipal Utilites (WMU)</v>
      </c>
      <c r="J216" s="306"/>
      <c r="K216" s="306"/>
      <c r="L216" s="2"/>
      <c r="N216" s="306"/>
      <c r="O216" s="306"/>
      <c r="P216" s="2"/>
    </row>
    <row r="217" spans="1:16">
      <c r="A217" s="1" t="s">
        <v>4</v>
      </c>
      <c r="C217" s="2"/>
      <c r="D217" s="2"/>
      <c r="E217" s="2"/>
      <c r="F217" s="2"/>
      <c r="G217" s="2"/>
      <c r="H217" s="2"/>
      <c r="I217" s="2"/>
      <c r="J217" s="2"/>
      <c r="K217" s="2"/>
      <c r="L217" s="375"/>
      <c r="N217" s="2"/>
      <c r="O217" s="2"/>
      <c r="P217" s="2"/>
    </row>
    <row r="218" spans="1:16" ht="16.5" thickBot="1">
      <c r="A218" s="6" t="s">
        <v>6</v>
      </c>
      <c r="C218" s="338" t="s">
        <v>101</v>
      </c>
      <c r="E218" s="4"/>
      <c r="F218" s="4"/>
      <c r="G218" s="4"/>
      <c r="H218" s="4"/>
      <c r="I218" s="4"/>
      <c r="J218" s="306"/>
      <c r="K218" s="306"/>
      <c r="L218" s="375"/>
      <c r="N218" s="4"/>
      <c r="O218" s="306"/>
      <c r="P218" s="2"/>
    </row>
    <row r="219" spans="1:16">
      <c r="A219" s="1"/>
      <c r="B219" s="2" t="s">
        <v>104</v>
      </c>
      <c r="C219" s="4"/>
      <c r="D219" s="4"/>
      <c r="E219" s="4"/>
      <c r="F219" s="4"/>
      <c r="G219" s="4"/>
      <c r="H219" s="4"/>
      <c r="I219" s="4"/>
      <c r="J219" s="306"/>
      <c r="K219" s="306"/>
      <c r="L219" s="2"/>
      <c r="N219" s="4"/>
      <c r="O219" s="306"/>
      <c r="P219" s="2"/>
    </row>
    <row r="220" spans="1:16">
      <c r="A220" s="1">
        <v>1</v>
      </c>
      <c r="B220" s="4" t="s">
        <v>222</v>
      </c>
      <c r="C220" s="4"/>
      <c r="D220" s="306"/>
      <c r="E220" s="306"/>
      <c r="F220" s="306"/>
      <c r="G220" s="306"/>
      <c r="H220" s="306"/>
      <c r="I220" s="310">
        <f>D89</f>
        <v>14065491.876153845</v>
      </c>
      <c r="J220" s="306"/>
      <c r="K220" s="306"/>
      <c r="L220" s="2"/>
      <c r="N220" s="4"/>
      <c r="O220" s="306"/>
      <c r="P220" s="2"/>
    </row>
    <row r="221" spans="1:16">
      <c r="A221" s="1">
        <v>2</v>
      </c>
      <c r="B221" s="4" t="s">
        <v>223</v>
      </c>
      <c r="I221" s="347">
        <v>0</v>
      </c>
      <c r="J221" s="306"/>
      <c r="K221" s="306"/>
      <c r="L221" s="2"/>
      <c r="N221" s="4"/>
      <c r="O221" s="306"/>
      <c r="P221" s="2"/>
    </row>
    <row r="222" spans="1:16" ht="16.5" thickBot="1">
      <c r="A222" s="1">
        <v>3</v>
      </c>
      <c r="B222" s="14" t="s">
        <v>224</v>
      </c>
      <c r="C222" s="14"/>
      <c r="D222" s="366"/>
      <c r="E222" s="306"/>
      <c r="F222" s="306"/>
      <c r="G222" s="350"/>
      <c r="H222" s="306"/>
      <c r="I222" s="344">
        <v>0</v>
      </c>
      <c r="J222" s="306"/>
      <c r="K222" s="306"/>
      <c r="L222" s="2"/>
      <c r="N222" s="4"/>
      <c r="O222" s="306"/>
      <c r="P222" s="2"/>
    </row>
    <row r="223" spans="1:16">
      <c r="A223" s="1">
        <v>4</v>
      </c>
      <c r="B223" s="4" t="s">
        <v>174</v>
      </c>
      <c r="C223" s="4"/>
      <c r="D223" s="306"/>
      <c r="E223" s="306"/>
      <c r="F223" s="306"/>
      <c r="G223" s="350"/>
      <c r="H223" s="306"/>
      <c r="I223" s="310">
        <f>I220-I221-I222</f>
        <v>14065491.876153845</v>
      </c>
      <c r="J223" s="306"/>
      <c r="K223" s="306"/>
      <c r="L223" s="2"/>
      <c r="N223" s="4"/>
      <c r="O223" s="306"/>
      <c r="P223" s="2"/>
    </row>
    <row r="224" spans="1:16">
      <c r="A224" s="1"/>
      <c r="C224" s="4"/>
      <c r="D224" s="306"/>
      <c r="E224" s="306"/>
      <c r="F224" s="306"/>
      <c r="G224" s="350"/>
      <c r="H224" s="306"/>
      <c r="J224" s="306"/>
      <c r="K224" s="306"/>
    </row>
    <row r="225" spans="1:17">
      <c r="A225" s="1">
        <v>5</v>
      </c>
      <c r="B225" s="4" t="s">
        <v>225</v>
      </c>
      <c r="C225" s="308"/>
      <c r="D225" s="376"/>
      <c r="E225" s="376"/>
      <c r="F225" s="376"/>
      <c r="G225" s="336"/>
      <c r="H225" s="306" t="s">
        <v>105</v>
      </c>
      <c r="I225" s="377">
        <f>IF(I220&gt;0,I223/I220,0)</f>
        <v>1</v>
      </c>
      <c r="J225" s="306"/>
      <c r="K225" s="306"/>
      <c r="L225" s="378"/>
      <c r="M225" s="378"/>
      <c r="N225" s="378"/>
      <c r="O225" s="378"/>
      <c r="P225" s="378"/>
      <c r="Q225" s="378"/>
    </row>
    <row r="226" spans="1:17">
      <c r="J226" s="306"/>
      <c r="K226" s="306"/>
      <c r="L226" s="378"/>
      <c r="M226" s="379"/>
      <c r="N226" s="378"/>
      <c r="O226" s="378"/>
      <c r="P226" s="378"/>
      <c r="Q226" s="378"/>
    </row>
    <row r="227" spans="1:17">
      <c r="B227" s="2" t="s">
        <v>102</v>
      </c>
      <c r="J227" s="306"/>
      <c r="K227" s="306"/>
      <c r="L227" s="378"/>
      <c r="M227" s="378"/>
      <c r="N227" s="378"/>
      <c r="O227" s="378"/>
      <c r="P227" s="378"/>
      <c r="Q227" s="378"/>
    </row>
    <row r="228" spans="1:17">
      <c r="A228" s="1">
        <v>6</v>
      </c>
      <c r="B228" s="302" t="s">
        <v>226</v>
      </c>
      <c r="D228" s="4"/>
      <c r="E228" s="4"/>
      <c r="F228" s="4"/>
      <c r="G228" s="1"/>
      <c r="H228" s="4"/>
      <c r="I228" s="310">
        <f>D154</f>
        <v>3193032</v>
      </c>
      <c r="J228" s="306"/>
      <c r="K228" s="306"/>
      <c r="L228" s="560"/>
      <c r="M228" s="560"/>
      <c r="N228" s="560"/>
      <c r="O228" s="560"/>
      <c r="P228" s="560"/>
      <c r="Q228" s="560"/>
    </row>
    <row r="229" spans="1:17" ht="16.5" thickBot="1">
      <c r="A229" s="1">
        <v>7</v>
      </c>
      <c r="B229" s="14" t="s">
        <v>227</v>
      </c>
      <c r="C229" s="14"/>
      <c r="D229" s="366"/>
      <c r="E229" s="366"/>
      <c r="F229" s="306"/>
      <c r="G229" s="306"/>
      <c r="H229" s="306"/>
      <c r="I229" s="344">
        <v>0</v>
      </c>
      <c r="J229" s="306"/>
      <c r="K229" s="306"/>
      <c r="L229" s="380"/>
      <c r="M229" s="381"/>
      <c r="N229" s="35"/>
      <c r="O229" s="382"/>
      <c r="P229" s="34"/>
      <c r="Q229" s="378"/>
    </row>
    <row r="230" spans="1:17">
      <c r="A230" s="1">
        <v>8</v>
      </c>
      <c r="B230" s="4" t="s">
        <v>250</v>
      </c>
      <c r="C230" s="308"/>
      <c r="D230" s="376"/>
      <c r="E230" s="376"/>
      <c r="F230" s="376"/>
      <c r="G230" s="336"/>
      <c r="H230" s="376"/>
      <c r="I230" s="310">
        <f>+I228-I229</f>
        <v>3193032</v>
      </c>
      <c r="J230" s="306"/>
      <c r="K230" s="306"/>
      <c r="L230" s="380"/>
      <c r="M230" s="383"/>
      <c r="N230" s="378"/>
      <c r="O230" s="378"/>
      <c r="P230" s="378"/>
      <c r="Q230" s="378"/>
    </row>
    <row r="231" spans="1:17">
      <c r="A231" s="1"/>
      <c r="B231" s="4"/>
      <c r="C231" s="4"/>
      <c r="D231" s="306"/>
      <c r="E231" s="306"/>
      <c r="F231" s="306"/>
      <c r="G231" s="306"/>
      <c r="J231" s="306"/>
      <c r="K231" s="306"/>
      <c r="L231" s="380"/>
      <c r="M231" s="383"/>
      <c r="N231" s="378"/>
      <c r="O231" s="378"/>
      <c r="P231" s="378"/>
      <c r="Q231" s="378"/>
    </row>
    <row r="232" spans="1:17">
      <c r="A232" s="1">
        <v>9</v>
      </c>
      <c r="B232" s="4" t="s">
        <v>228</v>
      </c>
      <c r="C232" s="4"/>
      <c r="D232" s="306"/>
      <c r="E232" s="306"/>
      <c r="F232" s="306"/>
      <c r="G232" s="306"/>
      <c r="H232" s="306"/>
      <c r="I232" s="343">
        <f>IF(I228&gt;0,I230/I228,0)</f>
        <v>1</v>
      </c>
      <c r="J232" s="306"/>
      <c r="K232" s="306"/>
      <c r="L232" s="384"/>
      <c r="M232" s="385"/>
      <c r="N232" s="384"/>
      <c r="O232" s="384"/>
      <c r="P232" s="384"/>
      <c r="Q232" s="384"/>
    </row>
    <row r="233" spans="1:17">
      <c r="A233" s="1">
        <v>10</v>
      </c>
      <c r="B233" s="4" t="s">
        <v>229</v>
      </c>
      <c r="C233" s="4"/>
      <c r="D233" s="306"/>
      <c r="E233" s="306"/>
      <c r="F233" s="306"/>
      <c r="G233" s="306"/>
      <c r="H233" s="4" t="s">
        <v>12</v>
      </c>
      <c r="I233" s="386">
        <f>I225</f>
        <v>1</v>
      </c>
      <c r="J233" s="306"/>
      <c r="K233" s="306"/>
      <c r="L233" s="380"/>
      <c r="M233" s="387"/>
      <c r="N233" s="382"/>
      <c r="O233" s="34"/>
      <c r="P233" s="378"/>
      <c r="Q233" s="378"/>
    </row>
    <row r="234" spans="1:17">
      <c r="A234" s="1">
        <v>11</v>
      </c>
      <c r="B234" s="4" t="s">
        <v>230</v>
      </c>
      <c r="C234" s="4"/>
      <c r="D234" s="4"/>
      <c r="E234" s="4"/>
      <c r="F234" s="4"/>
      <c r="G234" s="4"/>
      <c r="H234" s="4" t="s">
        <v>103</v>
      </c>
      <c r="I234" s="388">
        <f>+I233*I232</f>
        <v>1</v>
      </c>
      <c r="J234" s="306"/>
      <c r="K234" s="306"/>
      <c r="L234" s="380"/>
      <c r="M234" s="387"/>
      <c r="N234" s="382"/>
      <c r="O234" s="34"/>
      <c r="P234" s="378"/>
      <c r="Q234" s="378"/>
    </row>
    <row r="235" spans="1:17">
      <c r="A235" s="1"/>
      <c r="C235" s="4"/>
      <c r="D235" s="306"/>
      <c r="E235" s="306"/>
      <c r="F235" s="306"/>
      <c r="G235" s="350"/>
      <c r="H235" s="306"/>
      <c r="L235" s="380"/>
      <c r="M235" s="387"/>
      <c r="N235" s="382"/>
      <c r="O235" s="34"/>
      <c r="P235" s="378"/>
      <c r="Q235" s="378"/>
    </row>
    <row r="236" spans="1:17" ht="16.5" thickBot="1">
      <c r="A236" s="1" t="s">
        <v>2</v>
      </c>
      <c r="B236" s="2" t="s">
        <v>106</v>
      </c>
      <c r="C236" s="306"/>
      <c r="D236" s="389" t="s">
        <v>107</v>
      </c>
      <c r="E236" s="389" t="s">
        <v>12</v>
      </c>
      <c r="F236" s="306"/>
      <c r="G236" s="389" t="s">
        <v>108</v>
      </c>
      <c r="H236" s="306"/>
      <c r="I236" s="306"/>
      <c r="L236" s="380"/>
      <c r="M236" s="383"/>
      <c r="N236" s="378"/>
      <c r="O236" s="378"/>
      <c r="P236" s="378"/>
      <c r="Q236" s="378"/>
    </row>
    <row r="237" spans="1:17">
      <c r="A237" s="1">
        <v>12</v>
      </c>
      <c r="B237" s="2" t="s">
        <v>50</v>
      </c>
      <c r="C237" s="306"/>
      <c r="D237" s="347">
        <f>'Wages &amp; Salaries'!C7</f>
        <v>1228858</v>
      </c>
      <c r="E237" s="390">
        <v>0</v>
      </c>
      <c r="F237" s="390"/>
      <c r="G237" s="310">
        <f>D237*E237</f>
        <v>0</v>
      </c>
      <c r="H237" s="306"/>
      <c r="I237" s="306"/>
      <c r="J237" s="306"/>
      <c r="K237" s="306"/>
      <c r="L237" s="380"/>
      <c r="M237" s="383"/>
      <c r="N237" s="378"/>
      <c r="O237" s="378"/>
      <c r="P237" s="378"/>
      <c r="Q237" s="378"/>
    </row>
    <row r="238" spans="1:17">
      <c r="A238" s="1">
        <v>13</v>
      </c>
      <c r="B238" s="2" t="s">
        <v>52</v>
      </c>
      <c r="C238" s="306"/>
      <c r="D238" s="485">
        <f>'Wages &amp; Salaries'!C8</f>
        <v>129360</v>
      </c>
      <c r="E238" s="391">
        <f>+I225</f>
        <v>1</v>
      </c>
      <c r="F238" s="390"/>
      <c r="G238" s="310">
        <f>D238*E238</f>
        <v>129360</v>
      </c>
      <c r="H238" s="306"/>
      <c r="I238" s="306"/>
      <c r="J238" s="306"/>
      <c r="K238" s="306"/>
      <c r="L238" s="380"/>
      <c r="M238" s="383"/>
      <c r="N238" s="382"/>
      <c r="O238" s="34"/>
      <c r="P238" s="378"/>
      <c r="Q238" s="378"/>
    </row>
    <row r="239" spans="1:17">
      <c r="A239" s="1">
        <v>14</v>
      </c>
      <c r="B239" s="2" t="s">
        <v>53</v>
      </c>
      <c r="C239" s="306"/>
      <c r="D239" s="485">
        <f>'Wages &amp; Salaries'!C9</f>
        <v>900745</v>
      </c>
      <c r="E239" s="390">
        <v>0</v>
      </c>
      <c r="F239" s="390"/>
      <c r="G239" s="310">
        <f>D239*E239</f>
        <v>0</v>
      </c>
      <c r="H239" s="306"/>
      <c r="I239" s="392" t="s">
        <v>109</v>
      </c>
      <c r="J239" s="306"/>
      <c r="K239" s="306"/>
      <c r="L239" s="34"/>
      <c r="M239" s="378"/>
      <c r="N239" s="382"/>
      <c r="O239" s="382"/>
      <c r="P239" s="34"/>
      <c r="Q239" s="378"/>
    </row>
    <row r="240" spans="1:17" ht="16.5" thickBot="1">
      <c r="A240" s="1">
        <v>15</v>
      </c>
      <c r="B240" s="2" t="s">
        <v>110</v>
      </c>
      <c r="C240" s="306"/>
      <c r="D240" s="485">
        <f>'Wages &amp; Salaries'!C10</f>
        <v>441911.47000000003</v>
      </c>
      <c r="E240" s="390">
        <v>0</v>
      </c>
      <c r="F240" s="390"/>
      <c r="G240" s="314">
        <f>D240*E240</f>
        <v>0</v>
      </c>
      <c r="H240" s="306"/>
      <c r="I240" s="6" t="s">
        <v>111</v>
      </c>
      <c r="J240" s="306"/>
      <c r="K240" s="306"/>
      <c r="L240" s="2"/>
      <c r="N240" s="306"/>
      <c r="O240" s="306"/>
      <c r="P240" s="2"/>
    </row>
    <row r="241" spans="1:16">
      <c r="A241" s="1">
        <v>16</v>
      </c>
      <c r="B241" s="2" t="s">
        <v>232</v>
      </c>
      <c r="C241" s="306"/>
      <c r="D241" s="310">
        <f>SUM(D237:D240)</f>
        <v>2700874.47</v>
      </c>
      <c r="E241" s="306"/>
      <c r="F241" s="306"/>
      <c r="G241" s="310">
        <f>SUM(G237:G240)</f>
        <v>129360</v>
      </c>
      <c r="H241" s="1" t="s">
        <v>112</v>
      </c>
      <c r="I241" s="343">
        <f>IF(G241&gt;0,G238/D241,0)</f>
        <v>4.7895598791009339E-2</v>
      </c>
      <c r="J241" s="306" t="s">
        <v>112</v>
      </c>
      <c r="K241" s="306" t="s">
        <v>55</v>
      </c>
      <c r="L241" s="2"/>
      <c r="N241" s="306"/>
      <c r="O241" s="306"/>
      <c r="P241" s="2"/>
    </row>
    <row r="242" spans="1:16">
      <c r="A242" s="1" t="s">
        <v>2</v>
      </c>
      <c r="B242" s="2" t="s">
        <v>2</v>
      </c>
      <c r="C242" s="306" t="s">
        <v>2</v>
      </c>
      <c r="E242" s="306"/>
      <c r="F242" s="306"/>
      <c r="L242" s="2"/>
      <c r="N242" s="306"/>
      <c r="O242" s="306"/>
      <c r="P242" s="2"/>
    </row>
    <row r="243" spans="1:16">
      <c r="A243" s="1"/>
      <c r="B243" s="2" t="s">
        <v>231</v>
      </c>
      <c r="C243" s="306"/>
      <c r="D243" s="337" t="s">
        <v>107</v>
      </c>
      <c r="E243" s="306"/>
      <c r="F243" s="306"/>
      <c r="G243" s="350" t="s">
        <v>113</v>
      </c>
      <c r="H243" s="15" t="s">
        <v>2</v>
      </c>
      <c r="I243" s="346" t="s">
        <v>114</v>
      </c>
      <c r="J243" s="306"/>
      <c r="K243" s="306"/>
      <c r="L243" s="2"/>
      <c r="N243" s="306"/>
      <c r="O243" s="306"/>
      <c r="P243" s="2"/>
    </row>
    <row r="244" spans="1:16">
      <c r="A244" s="1">
        <v>17</v>
      </c>
      <c r="B244" s="2" t="s">
        <v>115</v>
      </c>
      <c r="C244" s="306"/>
      <c r="D244" s="347">
        <f>D93</f>
        <v>66421528.416923083</v>
      </c>
      <c r="E244" s="306"/>
      <c r="G244" s="1" t="s">
        <v>116</v>
      </c>
      <c r="H244" s="15"/>
      <c r="I244" s="1" t="s">
        <v>117</v>
      </c>
      <c r="J244" s="306"/>
      <c r="K244" s="1" t="s">
        <v>57</v>
      </c>
      <c r="L244" s="2"/>
      <c r="N244" s="306"/>
      <c r="O244" s="306"/>
      <c r="P244" s="2"/>
    </row>
    <row r="245" spans="1:16">
      <c r="A245" s="1">
        <v>18</v>
      </c>
      <c r="B245" s="2" t="s">
        <v>118</v>
      </c>
      <c r="C245" s="306"/>
      <c r="D245" s="347">
        <v>0</v>
      </c>
      <c r="E245" s="306"/>
      <c r="G245" s="311">
        <f>IF(D247&gt;0,D244/D247,0)</f>
        <v>1</v>
      </c>
      <c r="H245" s="350" t="s">
        <v>119</v>
      </c>
      <c r="I245" s="311">
        <f>I241</f>
        <v>4.7895598791009339E-2</v>
      </c>
      <c r="J245" s="15" t="s">
        <v>112</v>
      </c>
      <c r="K245" s="311">
        <f>I245*G245</f>
        <v>4.7895598791009339E-2</v>
      </c>
      <c r="L245" s="2"/>
      <c r="N245" s="306"/>
      <c r="O245" s="306"/>
      <c r="P245" s="2"/>
    </row>
    <row r="246" spans="1:16" ht="16.5" thickBot="1">
      <c r="A246" s="1">
        <v>19</v>
      </c>
      <c r="B246" s="393" t="s">
        <v>120</v>
      </c>
      <c r="C246" s="394"/>
      <c r="D246" s="344">
        <v>0</v>
      </c>
      <c r="E246" s="306"/>
      <c r="F246" s="306"/>
      <c r="G246" s="306" t="s">
        <v>2</v>
      </c>
      <c r="H246" s="306"/>
      <c r="I246" s="306"/>
      <c r="L246" s="2"/>
      <c r="N246" s="306"/>
      <c r="O246" s="306"/>
      <c r="P246" s="2"/>
    </row>
    <row r="247" spans="1:16">
      <c r="A247" s="1">
        <v>20</v>
      </c>
      <c r="B247" s="2" t="s">
        <v>166</v>
      </c>
      <c r="C247" s="306"/>
      <c r="D247" s="310">
        <f>D244+D245+D246</f>
        <v>66421528.416923083</v>
      </c>
      <c r="E247" s="306"/>
      <c r="F247" s="306"/>
      <c r="G247" s="306"/>
      <c r="H247" s="306"/>
      <c r="I247" s="306"/>
      <c r="J247" s="306"/>
      <c r="K247" s="306"/>
      <c r="L247" s="2"/>
      <c r="N247" s="306"/>
      <c r="O247" s="306"/>
      <c r="P247" s="2"/>
    </row>
    <row r="248" spans="1:16">
      <c r="A248" s="1"/>
      <c r="B248" s="2" t="s">
        <v>2</v>
      </c>
      <c r="C248" s="306"/>
      <c r="E248" s="306"/>
      <c r="F248" s="306"/>
      <c r="G248" s="306"/>
      <c r="H248" s="306"/>
      <c r="I248" s="306" t="s">
        <v>2</v>
      </c>
      <c r="J248" s="306"/>
      <c r="K248" s="306"/>
      <c r="L248" s="2"/>
      <c r="N248" s="306"/>
      <c r="O248" s="306"/>
      <c r="P248" s="2"/>
    </row>
    <row r="249" spans="1:16" ht="16.5" thickBot="1">
      <c r="A249" s="1"/>
      <c r="B249" s="2" t="s">
        <v>121</v>
      </c>
      <c r="C249" s="306"/>
      <c r="D249" s="389" t="s">
        <v>107</v>
      </c>
      <c r="E249" s="306"/>
      <c r="F249" s="306"/>
      <c r="G249" s="306"/>
      <c r="H249" s="306"/>
      <c r="J249" s="306" t="s">
        <v>2</v>
      </c>
      <c r="K249" s="306"/>
      <c r="L249" s="2"/>
      <c r="N249" s="306"/>
      <c r="O249" s="306"/>
      <c r="P249" s="2"/>
    </row>
    <row r="250" spans="1:16">
      <c r="A250" s="1">
        <v>21</v>
      </c>
      <c r="B250" s="306" t="s">
        <v>122</v>
      </c>
      <c r="C250" s="4" t="s">
        <v>252</v>
      </c>
      <c r="D250" s="395">
        <f>'LT Interest'!C9</f>
        <v>266031.35999999999</v>
      </c>
      <c r="E250" s="306"/>
      <c r="F250" s="306"/>
      <c r="G250" s="306"/>
      <c r="H250" s="306"/>
      <c r="I250" s="306"/>
      <c r="J250" s="306"/>
      <c r="K250" s="306"/>
      <c r="L250" s="2"/>
      <c r="N250" s="306"/>
      <c r="O250" s="306"/>
      <c r="P250" s="2"/>
    </row>
    <row r="251" spans="1:16">
      <c r="A251" s="1"/>
      <c r="B251" s="2"/>
      <c r="D251" s="306"/>
      <c r="E251" s="306"/>
      <c r="F251" s="306"/>
      <c r="G251" s="350" t="s">
        <v>123</v>
      </c>
      <c r="H251" s="306"/>
      <c r="I251" s="306"/>
      <c r="J251" s="306"/>
      <c r="K251" s="306"/>
      <c r="L251" s="2"/>
      <c r="N251" s="306"/>
      <c r="O251" s="306"/>
      <c r="P251" s="2"/>
    </row>
    <row r="252" spans="1:16" ht="16.5" thickBot="1">
      <c r="A252" s="1"/>
      <c r="B252" s="2"/>
      <c r="C252" s="4"/>
      <c r="D252" s="6" t="s">
        <v>107</v>
      </c>
      <c r="E252" s="6" t="s">
        <v>124</v>
      </c>
      <c r="F252" s="306"/>
      <c r="G252" s="6" t="s">
        <v>125</v>
      </c>
      <c r="H252" s="306"/>
      <c r="I252" s="6" t="s">
        <v>126</v>
      </c>
      <c r="J252" s="306"/>
      <c r="K252" s="306"/>
      <c r="L252" s="2"/>
      <c r="N252" s="306"/>
      <c r="O252" s="306"/>
      <c r="P252" s="2"/>
    </row>
    <row r="253" spans="1:16">
      <c r="A253" s="1">
        <v>22</v>
      </c>
      <c r="B253" s="2" t="s">
        <v>323</v>
      </c>
      <c r="C253" s="4" t="s">
        <v>270</v>
      </c>
      <c r="D253" s="347">
        <f>'Capital Structure'!D23</f>
        <v>5234615.384615385</v>
      </c>
      <c r="E253" s="396">
        <f>IF($D$255&gt;0,D253/$D$255,0)</f>
        <v>0.10186695071199907</v>
      </c>
      <c r="F253" s="397"/>
      <c r="G253" s="398">
        <f>IF(D253&gt;0,D250/D253,0)</f>
        <v>5.0821567670830264E-2</v>
      </c>
      <c r="I253" s="399">
        <f>G253*E253</f>
        <v>5.1770381290309917E-3</v>
      </c>
      <c r="J253" s="400" t="s">
        <v>127</v>
      </c>
      <c r="K253" s="306"/>
      <c r="L253" s="2"/>
      <c r="N253" s="306"/>
      <c r="O253" s="306"/>
      <c r="P253" s="2"/>
    </row>
    <row r="254" spans="1:16" ht="16.5" thickBot="1">
      <c r="A254" s="1">
        <v>23</v>
      </c>
      <c r="B254" s="2" t="s">
        <v>324</v>
      </c>
      <c r="C254" s="4" t="s">
        <v>251</v>
      </c>
      <c r="D254" s="344">
        <f>'Capital Structure'!F23</f>
        <v>46152172.459999971</v>
      </c>
      <c r="E254" s="401">
        <f>IF($D$255&gt;0,D254/$D$255,0)</f>
        <v>0.89813304928800097</v>
      </c>
      <c r="F254" s="397"/>
      <c r="G254" s="399">
        <f>I257</f>
        <v>0.1082</v>
      </c>
      <c r="I254" s="402">
        <f>G254*E254</f>
        <v>9.7177995932961711E-2</v>
      </c>
      <c r="L254" s="2"/>
      <c r="N254" s="306"/>
      <c r="O254" s="306"/>
      <c r="P254" s="2"/>
    </row>
    <row r="255" spans="1:16">
      <c r="A255" s="1">
        <v>24</v>
      </c>
      <c r="B255" s="2" t="s">
        <v>167</v>
      </c>
      <c r="C255" s="4"/>
      <c r="D255" s="310">
        <f>SUM(D253:D254)</f>
        <v>51386787.844615355</v>
      </c>
      <c r="E255" s="403">
        <f>SUM(E253+E254)</f>
        <v>1</v>
      </c>
      <c r="F255" s="397"/>
      <c r="G255" s="397"/>
      <c r="I255" s="399">
        <f>SUM(I253:I254)</f>
        <v>0.1023550340619927</v>
      </c>
      <c r="J255" s="400" t="s">
        <v>128</v>
      </c>
      <c r="L255" s="2"/>
      <c r="N255" s="306"/>
      <c r="O255" s="306"/>
      <c r="P255" s="2"/>
    </row>
    <row r="256" spans="1:16">
      <c r="A256" s="1" t="s">
        <v>2</v>
      </c>
      <c r="B256" s="2"/>
      <c r="D256" s="306"/>
      <c r="E256" s="306" t="s">
        <v>2</v>
      </c>
      <c r="F256" s="306"/>
      <c r="G256" s="306"/>
      <c r="H256" s="306"/>
      <c r="I256" s="397"/>
      <c r="L256" s="2"/>
      <c r="N256" s="306"/>
      <c r="O256" s="306"/>
      <c r="P256" s="2"/>
    </row>
    <row r="257" spans="1:16">
      <c r="A257" s="1">
        <v>25</v>
      </c>
      <c r="E257" s="306"/>
      <c r="F257" s="306"/>
      <c r="G257" s="306"/>
      <c r="H257" s="404" t="s">
        <v>196</v>
      </c>
      <c r="I257" s="405">
        <v>0.1082</v>
      </c>
      <c r="L257" s="2"/>
      <c r="N257" s="306"/>
      <c r="O257" s="306"/>
      <c r="P257" s="2"/>
    </row>
    <row r="258" spans="1:16">
      <c r="A258" s="1">
        <v>26</v>
      </c>
      <c r="H258" s="303" t="s">
        <v>197</v>
      </c>
      <c r="I258" s="391">
        <f>IF(G253&gt;0,I255/G253,0)</f>
        <v>2.0140078071763372</v>
      </c>
      <c r="L258" s="2"/>
      <c r="N258" s="306"/>
      <c r="O258" s="306"/>
      <c r="P258" s="2"/>
    </row>
    <row r="259" spans="1:16">
      <c r="A259" s="1"/>
      <c r="B259" s="2" t="s">
        <v>129</v>
      </c>
      <c r="C259" s="4"/>
      <c r="D259" s="4"/>
      <c r="E259" s="4"/>
      <c r="F259" s="4"/>
      <c r="G259" s="4"/>
      <c r="H259" s="4"/>
      <c r="I259" s="4"/>
      <c r="K259" s="306"/>
      <c r="L259" s="2"/>
      <c r="N259" s="306"/>
      <c r="O259" s="306"/>
      <c r="P259" s="2"/>
    </row>
    <row r="260" spans="1:16" ht="16.5" thickBot="1">
      <c r="A260" s="1"/>
      <c r="B260" s="2"/>
      <c r="C260" s="2"/>
      <c r="D260" s="2"/>
      <c r="E260" s="2"/>
      <c r="F260" s="2"/>
      <c r="G260" s="2"/>
      <c r="H260" s="2"/>
      <c r="I260" s="6" t="s">
        <v>130</v>
      </c>
      <c r="J260" s="4"/>
      <c r="K260" s="4"/>
      <c r="L260" s="2"/>
      <c r="N260" s="306"/>
      <c r="O260" s="306"/>
      <c r="P260" s="2"/>
    </row>
    <row r="261" spans="1:16">
      <c r="A261" s="1"/>
      <c r="B261" s="2" t="s">
        <v>131</v>
      </c>
      <c r="C261" s="4"/>
      <c r="D261" s="4"/>
      <c r="E261" s="4"/>
      <c r="F261" s="4"/>
      <c r="G261" s="16" t="s">
        <v>2</v>
      </c>
      <c r="H261" s="372"/>
      <c r="I261" s="356"/>
      <c r="J261" s="2"/>
      <c r="K261" s="2"/>
      <c r="L261" s="2"/>
      <c r="N261" s="306"/>
      <c r="O261" s="306"/>
      <c r="P261" s="2"/>
    </row>
    <row r="262" spans="1:16">
      <c r="A262" s="1">
        <v>27</v>
      </c>
      <c r="B262" s="302" t="s">
        <v>132</v>
      </c>
      <c r="C262" s="4"/>
      <c r="D262" s="4"/>
      <c r="E262" s="4" t="s">
        <v>133</v>
      </c>
      <c r="F262" s="4"/>
      <c r="H262" s="372"/>
      <c r="I262" s="347">
        <v>0</v>
      </c>
      <c r="J262" s="2"/>
      <c r="K262" s="2"/>
      <c r="L262" s="2"/>
      <c r="N262" s="350"/>
      <c r="O262" s="306"/>
      <c r="P262" s="2"/>
    </row>
    <row r="263" spans="1:16" ht="16.5" thickBot="1">
      <c r="A263" s="1">
        <v>28</v>
      </c>
      <c r="B263" s="351" t="s">
        <v>168</v>
      </c>
      <c r="C263" s="14"/>
      <c r="D263" s="406"/>
      <c r="E263" s="19"/>
      <c r="F263" s="19"/>
      <c r="G263" s="19"/>
      <c r="H263" s="4"/>
      <c r="I263" s="344">
        <v>0</v>
      </c>
      <c r="J263" s="2"/>
      <c r="K263" s="2"/>
      <c r="L263" s="2"/>
      <c r="N263" s="2"/>
      <c r="O263" s="306"/>
      <c r="P263" s="2"/>
    </row>
    <row r="264" spans="1:16">
      <c r="A264" s="1">
        <v>29</v>
      </c>
      <c r="B264" s="302" t="s">
        <v>134</v>
      </c>
      <c r="C264" s="4"/>
      <c r="D264" s="406"/>
      <c r="E264" s="19"/>
      <c r="F264" s="19"/>
      <c r="G264" s="19"/>
      <c r="H264" s="4"/>
      <c r="I264" s="407">
        <f>+I262-I263</f>
        <v>0</v>
      </c>
      <c r="J264" s="2"/>
      <c r="K264" s="2"/>
      <c r="L264" s="2"/>
      <c r="N264" s="2"/>
      <c r="O264" s="306"/>
      <c r="P264" s="2"/>
    </row>
    <row r="265" spans="1:16">
      <c r="A265" s="1"/>
      <c r="B265" s="302" t="s">
        <v>2</v>
      </c>
      <c r="C265" s="4"/>
      <c r="D265" s="406"/>
      <c r="E265" s="19"/>
      <c r="F265" s="19"/>
      <c r="G265" s="29"/>
      <c r="H265" s="4"/>
      <c r="I265" s="408" t="s">
        <v>2</v>
      </c>
      <c r="J265" s="2"/>
      <c r="K265" s="2"/>
      <c r="L265" s="2"/>
      <c r="N265" s="2"/>
      <c r="O265" s="306"/>
      <c r="P265" s="2"/>
    </row>
    <row r="266" spans="1:16">
      <c r="A266" s="1">
        <v>30</v>
      </c>
      <c r="B266" s="2" t="s">
        <v>233</v>
      </c>
      <c r="C266" s="4"/>
      <c r="D266" s="406"/>
      <c r="E266" s="19"/>
      <c r="F266" s="19"/>
      <c r="G266" s="29"/>
      <c r="H266" s="4"/>
      <c r="I266" s="409">
        <v>0</v>
      </c>
      <c r="J266" s="2"/>
      <c r="K266" s="2"/>
      <c r="N266" s="2"/>
      <c r="O266" s="306"/>
      <c r="P266" s="2"/>
    </row>
    <row r="267" spans="1:16">
      <c r="A267" s="1"/>
      <c r="C267" s="4"/>
      <c r="D267" s="19"/>
      <c r="E267" s="19"/>
      <c r="F267" s="19"/>
      <c r="G267" s="19"/>
      <c r="H267" s="4"/>
      <c r="I267" s="408"/>
      <c r="J267" s="2"/>
      <c r="K267" s="2"/>
      <c r="N267" s="2"/>
      <c r="O267" s="306"/>
      <c r="P267" s="2"/>
    </row>
    <row r="268" spans="1:16">
      <c r="B268" s="2" t="s">
        <v>188</v>
      </c>
      <c r="C268" s="4"/>
      <c r="D268" s="19"/>
      <c r="E268" s="19"/>
      <c r="F268" s="19"/>
      <c r="G268" s="19"/>
      <c r="H268" s="4"/>
      <c r="J268" s="2"/>
      <c r="K268" s="2"/>
      <c r="N268" s="2"/>
      <c r="O268" s="306"/>
      <c r="P268" s="2"/>
    </row>
    <row r="269" spans="1:16">
      <c r="A269" s="1">
        <v>31</v>
      </c>
      <c r="B269" s="2" t="s">
        <v>135</v>
      </c>
      <c r="C269" s="306"/>
      <c r="D269" s="366"/>
      <c r="E269" s="366"/>
      <c r="F269" s="366"/>
      <c r="G269" s="366"/>
      <c r="H269" s="306"/>
      <c r="I269" s="17">
        <f>'Acct 456.1'!C20</f>
        <v>1923000</v>
      </c>
      <c r="J269" s="2"/>
      <c r="K269" s="2"/>
      <c r="L269" s="410"/>
      <c r="N269" s="2"/>
      <c r="O269" s="306"/>
      <c r="P269" s="2"/>
    </row>
    <row r="270" spans="1:16">
      <c r="A270" s="1">
        <v>32</v>
      </c>
      <c r="B270" s="18" t="s">
        <v>169</v>
      </c>
      <c r="C270" s="19"/>
      <c r="D270" s="19"/>
      <c r="E270" s="19"/>
      <c r="F270" s="19"/>
      <c r="G270" s="19"/>
      <c r="H270" s="4"/>
      <c r="I270" s="484">
        <f>'Acct 456.1'!C21</f>
        <v>1900000</v>
      </c>
      <c r="J270" s="2"/>
      <c r="K270" s="2"/>
      <c r="L270" s="350"/>
      <c r="N270" s="2"/>
      <c r="O270" s="306"/>
      <c r="P270" s="2"/>
    </row>
    <row r="271" spans="1:16">
      <c r="A271" s="1" t="s">
        <v>190</v>
      </c>
      <c r="B271" s="34" t="s">
        <v>281</v>
      </c>
      <c r="C271" s="35"/>
      <c r="D271" s="19"/>
      <c r="E271" s="19"/>
      <c r="F271" s="19"/>
      <c r="G271" s="19"/>
      <c r="H271" s="4"/>
      <c r="I271" s="484">
        <f>'Acct 456.1'!C22</f>
        <v>0</v>
      </c>
      <c r="J271" s="2"/>
      <c r="K271" s="2"/>
      <c r="L271" s="350"/>
      <c r="N271" s="2"/>
      <c r="O271" s="306"/>
      <c r="P271" s="2"/>
    </row>
    <row r="272" spans="1:16" ht="16.5" thickBot="1">
      <c r="A272" s="1" t="s">
        <v>262</v>
      </c>
      <c r="B272" s="36" t="s">
        <v>282</v>
      </c>
      <c r="C272" s="37"/>
      <c r="D272" s="19"/>
      <c r="E272" s="19"/>
      <c r="F272" s="19"/>
      <c r="G272" s="19"/>
      <c r="H272" s="4"/>
      <c r="I272" s="484">
        <f>'Acct 456.1'!C23</f>
        <v>0</v>
      </c>
      <c r="J272" s="2"/>
      <c r="K272" s="2"/>
      <c r="L272" s="350"/>
      <c r="N272" s="2"/>
      <c r="O272" s="306"/>
      <c r="P272" s="2"/>
    </row>
    <row r="273" spans="1:17" s="372" customFormat="1">
      <c r="A273" s="1">
        <v>33</v>
      </c>
      <c r="B273" s="302" t="s">
        <v>263</v>
      </c>
      <c r="C273" s="1"/>
      <c r="D273" s="366"/>
      <c r="E273" s="366"/>
      <c r="F273" s="366"/>
      <c r="G273" s="366"/>
      <c r="H273" s="4"/>
      <c r="I273" s="21">
        <f>+I269-I270-I271-I272</f>
        <v>23000</v>
      </c>
      <c r="J273" s="2"/>
      <c r="K273" s="2"/>
      <c r="L273" s="410"/>
      <c r="M273" s="302"/>
      <c r="N273" s="2"/>
      <c r="O273" s="4"/>
      <c r="P273" s="2"/>
      <c r="Q273" s="302"/>
    </row>
    <row r="274" spans="1:17">
      <c r="A274" s="1"/>
      <c r="B274" s="22"/>
      <c r="C274" s="1"/>
      <c r="D274" s="366"/>
      <c r="E274" s="366"/>
      <c r="F274" s="366"/>
      <c r="G274" s="366"/>
      <c r="H274" s="4"/>
      <c r="I274" s="380"/>
      <c r="J274" s="2"/>
      <c r="K274" s="2"/>
      <c r="L274" s="410"/>
      <c r="M274" s="372"/>
      <c r="N274" s="20"/>
      <c r="O274" s="16"/>
      <c r="P274" s="20"/>
      <c r="Q274" s="372"/>
    </row>
    <row r="275" spans="1:17">
      <c r="A275" s="1"/>
      <c r="B275" s="22"/>
      <c r="C275" s="1"/>
      <c r="D275" s="366"/>
      <c r="E275" s="366"/>
      <c r="F275" s="366"/>
      <c r="G275" s="366"/>
      <c r="H275" s="4"/>
      <c r="I275" s="380"/>
      <c r="J275" s="2"/>
      <c r="K275" s="2"/>
      <c r="L275" s="410"/>
      <c r="N275" s="2"/>
      <c r="O275" s="4"/>
      <c r="P275" s="2"/>
    </row>
    <row r="276" spans="1:17">
      <c r="A276" s="1"/>
      <c r="B276" s="22"/>
      <c r="C276" s="1"/>
      <c r="D276" s="366"/>
      <c r="E276" s="366"/>
      <c r="F276" s="366"/>
      <c r="G276" s="366"/>
      <c r="H276" s="4"/>
      <c r="I276" s="380"/>
      <c r="J276" s="2"/>
      <c r="K276" s="2"/>
      <c r="L276" s="410"/>
      <c r="N276" s="2"/>
      <c r="O276" s="4"/>
      <c r="P276" s="2"/>
    </row>
    <row r="277" spans="1:17">
      <c r="A277" s="1"/>
      <c r="B277" s="22"/>
      <c r="C277" s="1"/>
      <c r="D277" s="366"/>
      <c r="E277" s="366"/>
      <c r="F277" s="366"/>
      <c r="G277" s="366"/>
      <c r="H277" s="4"/>
      <c r="I277" s="380"/>
      <c r="J277" s="2"/>
      <c r="K277" s="303" t="s">
        <v>303</v>
      </c>
      <c r="L277" s="410"/>
      <c r="N277" s="2"/>
      <c r="O277" s="4"/>
      <c r="P277" s="2"/>
    </row>
    <row r="278" spans="1:17">
      <c r="B278" s="2"/>
      <c r="C278" s="2"/>
      <c r="E278" s="2"/>
      <c r="F278" s="2"/>
      <c r="G278" s="2"/>
      <c r="H278" s="4"/>
      <c r="I278" s="4"/>
      <c r="K278" s="304" t="s">
        <v>183</v>
      </c>
      <c r="L278" s="4"/>
      <c r="N278" s="4"/>
      <c r="O278" s="4"/>
      <c r="P278" s="4"/>
    </row>
    <row r="279" spans="1:17">
      <c r="A279" s="1"/>
      <c r="B279" s="411" t="str">
        <f>B4</f>
        <v xml:space="preserve">Formula Rate - Non-Levelized </v>
      </c>
      <c r="C279" s="561" t="str">
        <f>D4</f>
        <v xml:space="preserve">   Rate Formula Template</v>
      </c>
      <c r="D279" s="561"/>
      <c r="E279" s="306"/>
      <c r="F279" s="306"/>
      <c r="G279" s="306"/>
      <c r="H279" s="23"/>
      <c r="J279" s="4"/>
      <c r="K279" s="412" t="str">
        <f>K4</f>
        <v>For the 12 months ended 12/31/18</v>
      </c>
      <c r="L279" s="4"/>
      <c r="N279" s="4"/>
      <c r="O279" s="4"/>
      <c r="P279" s="4"/>
    </row>
    <row r="280" spans="1:17">
      <c r="A280" s="1"/>
      <c r="B280" s="22"/>
      <c r="C280" s="1"/>
      <c r="D280" s="310" t="str">
        <f>D5</f>
        <v>Utilizing EIA Form 412 Data</v>
      </c>
      <c r="E280" s="306"/>
      <c r="F280" s="306"/>
      <c r="G280" s="306"/>
      <c r="H280" s="4"/>
      <c r="I280" s="24"/>
      <c r="J280" s="356"/>
      <c r="K280" s="358"/>
      <c r="L280" s="4"/>
      <c r="N280" s="4"/>
      <c r="O280" s="4"/>
      <c r="P280" s="4"/>
    </row>
    <row r="281" spans="1:17">
      <c r="A281" s="1"/>
      <c r="B281" s="22"/>
      <c r="C281" s="1"/>
      <c r="D281" s="310" t="str">
        <f>D7</f>
        <v>Willmar Municipal Utilites (WMU)</v>
      </c>
      <c r="E281" s="306"/>
      <c r="F281" s="306"/>
      <c r="G281" s="306"/>
      <c r="H281" s="4"/>
      <c r="I281" s="24"/>
      <c r="J281" s="356"/>
      <c r="K281" s="358"/>
      <c r="L281" s="4"/>
      <c r="N281" s="4"/>
      <c r="O281" s="4"/>
      <c r="P281" s="4"/>
    </row>
    <row r="282" spans="1:17">
      <c r="A282" s="1"/>
      <c r="B282" s="2" t="s">
        <v>136</v>
      </c>
      <c r="C282" s="1"/>
      <c r="D282" s="306"/>
      <c r="E282" s="306"/>
      <c r="F282" s="306"/>
      <c r="G282" s="306"/>
      <c r="H282" s="4"/>
      <c r="I282" s="306"/>
      <c r="J282" s="356"/>
      <c r="K282" s="358"/>
      <c r="L282" s="4"/>
      <c r="N282" s="1"/>
      <c r="O282" s="4"/>
      <c r="P282" s="2"/>
    </row>
    <row r="283" spans="1:17">
      <c r="A283" s="1"/>
      <c r="B283" s="28" t="s">
        <v>202</v>
      </c>
      <c r="C283" s="1"/>
      <c r="D283" s="306"/>
      <c r="E283" s="306"/>
      <c r="F283" s="306"/>
      <c r="G283" s="306"/>
      <c r="H283" s="4"/>
      <c r="I283" s="306"/>
      <c r="J283" s="4"/>
      <c r="K283" s="306"/>
      <c r="L283" s="4"/>
      <c r="N283" s="1"/>
      <c r="O283" s="4"/>
      <c r="P283" s="2"/>
    </row>
    <row r="284" spans="1:17">
      <c r="B284" s="28" t="s">
        <v>201</v>
      </c>
      <c r="C284" s="1"/>
      <c r="D284" s="306"/>
      <c r="E284" s="306"/>
      <c r="F284" s="306"/>
      <c r="G284" s="306"/>
      <c r="H284" s="4"/>
      <c r="I284" s="306"/>
      <c r="J284" s="4"/>
      <c r="K284" s="306"/>
      <c r="L284" s="4"/>
      <c r="N284" s="1"/>
      <c r="O284" s="4"/>
      <c r="P284" s="4"/>
    </row>
    <row r="285" spans="1:17">
      <c r="A285" s="1" t="s">
        <v>137</v>
      </c>
      <c r="B285" s="2" t="s">
        <v>200</v>
      </c>
      <c r="C285" s="4"/>
      <c r="D285" s="306"/>
      <c r="E285" s="306"/>
      <c r="F285" s="306"/>
      <c r="G285" s="315"/>
      <c r="H285" s="4"/>
      <c r="I285" s="306"/>
      <c r="J285" s="4"/>
      <c r="K285" s="306"/>
      <c r="L285" s="4"/>
      <c r="N285" s="1"/>
      <c r="O285" s="4"/>
      <c r="P285" s="4"/>
    </row>
    <row r="286" spans="1:17" ht="16.5" thickBot="1">
      <c r="A286" s="6" t="s">
        <v>138</v>
      </c>
      <c r="C286" s="4"/>
      <c r="D286" s="306"/>
      <c r="E286" s="306"/>
      <c r="F286" s="306"/>
      <c r="G286" s="306"/>
      <c r="H286" s="4"/>
      <c r="I286" s="306"/>
      <c r="J286" s="4"/>
      <c r="K286" s="306"/>
      <c r="L286" s="4"/>
      <c r="N286" s="1"/>
      <c r="O286" s="4"/>
      <c r="P286" s="4"/>
    </row>
    <row r="287" spans="1:17" ht="32.25" customHeight="1">
      <c r="A287" s="30" t="s">
        <v>139</v>
      </c>
      <c r="B287" s="562" t="s">
        <v>256</v>
      </c>
      <c r="C287" s="562"/>
      <c r="D287" s="562"/>
      <c r="E287" s="562"/>
      <c r="F287" s="562"/>
      <c r="G287" s="562"/>
      <c r="H287" s="562"/>
      <c r="I287" s="562"/>
      <c r="J287" s="562"/>
      <c r="K287" s="562"/>
      <c r="L287" s="4"/>
      <c r="N287" s="1"/>
      <c r="O287" s="4"/>
      <c r="P287" s="4"/>
    </row>
    <row r="288" spans="1:17" ht="63" customHeight="1">
      <c r="A288" s="30" t="s">
        <v>140</v>
      </c>
      <c r="B288" s="562" t="s">
        <v>257</v>
      </c>
      <c r="C288" s="562"/>
      <c r="D288" s="562"/>
      <c r="E288" s="562"/>
      <c r="F288" s="562"/>
      <c r="G288" s="562"/>
      <c r="H288" s="562"/>
      <c r="I288" s="562"/>
      <c r="J288" s="562"/>
      <c r="K288" s="562"/>
      <c r="L288" s="4"/>
      <c r="N288" s="1"/>
      <c r="O288" s="4"/>
      <c r="P288" s="4"/>
    </row>
    <row r="289" spans="1:16">
      <c r="A289" s="30" t="s">
        <v>141</v>
      </c>
      <c r="B289" s="562" t="s">
        <v>258</v>
      </c>
      <c r="C289" s="562"/>
      <c r="D289" s="562"/>
      <c r="E289" s="562"/>
      <c r="F289" s="562"/>
      <c r="G289" s="562"/>
      <c r="H289" s="562"/>
      <c r="I289" s="562"/>
      <c r="J289" s="562"/>
      <c r="K289" s="562"/>
      <c r="L289" s="4"/>
      <c r="N289" s="1"/>
      <c r="O289" s="4"/>
      <c r="P289" s="4"/>
    </row>
    <row r="290" spans="1:16">
      <c r="A290" s="30" t="s">
        <v>142</v>
      </c>
      <c r="B290" s="562" t="s">
        <v>258</v>
      </c>
      <c r="C290" s="562"/>
      <c r="D290" s="562"/>
      <c r="E290" s="562"/>
      <c r="F290" s="562"/>
      <c r="G290" s="562"/>
      <c r="H290" s="562"/>
      <c r="I290" s="562"/>
      <c r="J290" s="562"/>
      <c r="K290" s="562"/>
      <c r="L290" s="4"/>
      <c r="N290" s="1"/>
      <c r="O290" s="4"/>
      <c r="P290" s="4"/>
    </row>
    <row r="291" spans="1:16">
      <c r="A291" s="30" t="s">
        <v>143</v>
      </c>
      <c r="B291" s="562" t="s">
        <v>271</v>
      </c>
      <c r="C291" s="562"/>
      <c r="D291" s="562"/>
      <c r="E291" s="562"/>
      <c r="F291" s="562"/>
      <c r="G291" s="562"/>
      <c r="H291" s="562"/>
      <c r="I291" s="562"/>
      <c r="J291" s="562"/>
      <c r="K291" s="562"/>
      <c r="L291" s="4"/>
      <c r="N291" s="1"/>
      <c r="O291" s="4"/>
      <c r="P291" s="4"/>
    </row>
    <row r="292" spans="1:16" ht="48" customHeight="1">
      <c r="A292" s="30" t="s">
        <v>144</v>
      </c>
      <c r="B292" s="559" t="s">
        <v>235</v>
      </c>
      <c r="C292" s="559"/>
      <c r="D292" s="559"/>
      <c r="E292" s="559"/>
      <c r="F292" s="559"/>
      <c r="G292" s="559"/>
      <c r="H292" s="559"/>
      <c r="I292" s="559"/>
      <c r="J292" s="559"/>
      <c r="K292" s="559"/>
      <c r="L292" s="4"/>
      <c r="N292" s="1"/>
      <c r="O292" s="4"/>
      <c r="P292" s="4"/>
    </row>
    <row r="293" spans="1:16">
      <c r="A293" s="30" t="s">
        <v>145</v>
      </c>
      <c r="B293" s="559" t="s">
        <v>175</v>
      </c>
      <c r="C293" s="559"/>
      <c r="D293" s="559"/>
      <c r="E293" s="559"/>
      <c r="F293" s="559"/>
      <c r="G293" s="559"/>
      <c r="H293" s="559"/>
      <c r="I293" s="559"/>
      <c r="J293" s="559"/>
      <c r="K293" s="559"/>
      <c r="L293" s="4"/>
      <c r="N293" s="1"/>
      <c r="O293" s="4"/>
      <c r="P293" s="4"/>
    </row>
    <row r="294" spans="1:16" ht="32.25" customHeight="1">
      <c r="A294" s="30" t="s">
        <v>146</v>
      </c>
      <c r="B294" s="559" t="s">
        <v>236</v>
      </c>
      <c r="C294" s="559"/>
      <c r="D294" s="559"/>
      <c r="E294" s="559"/>
      <c r="F294" s="559"/>
      <c r="G294" s="559"/>
      <c r="H294" s="559"/>
      <c r="I294" s="559"/>
      <c r="J294" s="559"/>
      <c r="K294" s="559"/>
      <c r="L294" s="4"/>
      <c r="N294" s="1"/>
      <c r="O294" s="4"/>
      <c r="P294" s="4"/>
    </row>
    <row r="295" spans="1:16" ht="32.25" customHeight="1">
      <c r="A295" s="30" t="s">
        <v>147</v>
      </c>
      <c r="B295" s="562" t="s">
        <v>237</v>
      </c>
      <c r="C295" s="562"/>
      <c r="D295" s="562"/>
      <c r="E295" s="562"/>
      <c r="F295" s="562"/>
      <c r="G295" s="562"/>
      <c r="H295" s="562"/>
      <c r="I295" s="562"/>
      <c r="J295" s="562"/>
      <c r="K295" s="562"/>
      <c r="L295" s="4"/>
      <c r="N295" s="1"/>
      <c r="O295" s="4"/>
      <c r="P295" s="4"/>
    </row>
    <row r="296" spans="1:16" ht="32.25" customHeight="1">
      <c r="A296" s="30" t="s">
        <v>148</v>
      </c>
      <c r="B296" s="559" t="s">
        <v>238</v>
      </c>
      <c r="C296" s="559"/>
      <c r="D296" s="559"/>
      <c r="E296" s="559"/>
      <c r="F296" s="559"/>
      <c r="G296" s="559"/>
      <c r="H296" s="559"/>
      <c r="I296" s="559"/>
      <c r="J296" s="559"/>
      <c r="K296" s="559"/>
      <c r="L296" s="4"/>
      <c r="N296" s="1"/>
      <c r="O296" s="3"/>
      <c r="P296" s="4"/>
    </row>
    <row r="297" spans="1:16" ht="79.5" customHeight="1">
      <c r="A297" s="30" t="s">
        <v>149</v>
      </c>
      <c r="B297" s="559" t="s">
        <v>239</v>
      </c>
      <c r="C297" s="559"/>
      <c r="D297" s="559"/>
      <c r="E297" s="559"/>
      <c r="F297" s="559"/>
      <c r="G297" s="559"/>
      <c r="H297" s="559"/>
      <c r="I297" s="559"/>
      <c r="J297" s="559"/>
      <c r="K297" s="559"/>
      <c r="L297" s="4"/>
      <c r="N297" s="1"/>
      <c r="O297" s="4"/>
      <c r="P297" s="4"/>
    </row>
    <row r="298" spans="1:16">
      <c r="A298" s="30" t="s">
        <v>2</v>
      </c>
      <c r="B298" s="33" t="s">
        <v>234</v>
      </c>
      <c r="C298" s="299" t="s">
        <v>150</v>
      </c>
      <c r="D298" s="31">
        <v>0</v>
      </c>
      <c r="E298" s="299"/>
      <c r="F298" s="413"/>
      <c r="G298" s="413"/>
      <c r="H298" s="300"/>
      <c r="I298" s="413"/>
      <c r="J298" s="300"/>
      <c r="K298" s="413"/>
      <c r="L298" s="4"/>
      <c r="N298" s="1"/>
      <c r="O298" s="4"/>
      <c r="P298" s="4"/>
    </row>
    <row r="299" spans="1:16">
      <c r="A299" s="30"/>
      <c r="B299" s="299"/>
      <c r="C299" s="299" t="s">
        <v>151</v>
      </c>
      <c r="D299" s="31">
        <v>0</v>
      </c>
      <c r="E299" s="559" t="s">
        <v>152</v>
      </c>
      <c r="F299" s="559"/>
      <c r="G299" s="559"/>
      <c r="H299" s="559"/>
      <c r="I299" s="559"/>
      <c r="J299" s="559"/>
      <c r="K299" s="559"/>
      <c r="N299" s="1"/>
      <c r="O299" s="4"/>
      <c r="P299" s="4"/>
    </row>
    <row r="300" spans="1:16">
      <c r="A300" s="30"/>
      <c r="B300" s="299"/>
      <c r="C300" s="299" t="s">
        <v>153</v>
      </c>
      <c r="D300" s="31">
        <v>0</v>
      </c>
      <c r="E300" s="559" t="s">
        <v>154</v>
      </c>
      <c r="F300" s="559"/>
      <c r="G300" s="559"/>
      <c r="H300" s="559"/>
      <c r="I300" s="559"/>
      <c r="J300" s="559"/>
      <c r="K300" s="559"/>
      <c r="L300" s="4"/>
      <c r="N300" s="1"/>
      <c r="O300" s="4"/>
      <c r="P300" s="4"/>
    </row>
    <row r="301" spans="1:16">
      <c r="A301" s="30" t="s">
        <v>155</v>
      </c>
      <c r="B301" s="559" t="s">
        <v>189</v>
      </c>
      <c r="C301" s="559"/>
      <c r="D301" s="559"/>
      <c r="E301" s="559"/>
      <c r="F301" s="559"/>
      <c r="G301" s="559"/>
      <c r="H301" s="559"/>
      <c r="I301" s="559"/>
      <c r="J301" s="559"/>
      <c r="K301" s="559"/>
      <c r="L301" s="4"/>
      <c r="N301" s="1"/>
      <c r="O301" s="4"/>
      <c r="P301" s="4"/>
    </row>
    <row r="302" spans="1:16" ht="32.25" customHeight="1">
      <c r="A302" s="30" t="s">
        <v>156</v>
      </c>
      <c r="B302" s="559" t="s">
        <v>283</v>
      </c>
      <c r="C302" s="559"/>
      <c r="D302" s="559"/>
      <c r="E302" s="559"/>
      <c r="F302" s="559"/>
      <c r="G302" s="559"/>
      <c r="H302" s="559"/>
      <c r="I302" s="559"/>
      <c r="J302" s="559"/>
      <c r="K302" s="559"/>
      <c r="L302" s="26"/>
      <c r="N302" s="1"/>
      <c r="O302" s="4"/>
      <c r="P302" s="4"/>
    </row>
    <row r="303" spans="1:16" ht="48" customHeight="1">
      <c r="A303" s="30" t="s">
        <v>157</v>
      </c>
      <c r="B303" s="559" t="s">
        <v>254</v>
      </c>
      <c r="C303" s="559"/>
      <c r="D303" s="559"/>
      <c r="E303" s="559"/>
      <c r="F303" s="559"/>
      <c r="G303" s="559"/>
      <c r="H303" s="559"/>
      <c r="I303" s="559"/>
      <c r="J303" s="559"/>
      <c r="K303" s="559"/>
      <c r="L303" s="4"/>
      <c r="N303" s="1"/>
      <c r="O303" s="4"/>
      <c r="P303" s="4"/>
    </row>
    <row r="304" spans="1:16">
      <c r="A304" s="30" t="s">
        <v>158</v>
      </c>
      <c r="B304" s="559" t="s">
        <v>176</v>
      </c>
      <c r="C304" s="559"/>
      <c r="D304" s="559"/>
      <c r="E304" s="559"/>
      <c r="F304" s="559"/>
      <c r="G304" s="559"/>
      <c r="H304" s="559"/>
      <c r="I304" s="559"/>
      <c r="J304" s="559"/>
      <c r="K304" s="559"/>
      <c r="L304" s="4"/>
      <c r="N304" s="1"/>
      <c r="O304" s="3"/>
      <c r="P304" s="4"/>
    </row>
    <row r="305" spans="1:16" ht="182.25" customHeight="1">
      <c r="A305" s="30" t="s">
        <v>159</v>
      </c>
      <c r="B305" s="559" t="s">
        <v>325</v>
      </c>
      <c r="C305" s="559"/>
      <c r="D305" s="559"/>
      <c r="E305" s="559"/>
      <c r="F305" s="559"/>
      <c r="G305" s="559"/>
      <c r="H305" s="559"/>
      <c r="I305" s="559"/>
      <c r="J305" s="559"/>
      <c r="K305" s="559"/>
      <c r="L305" s="4"/>
      <c r="N305" s="1"/>
      <c r="O305" s="3"/>
      <c r="P305" s="4"/>
    </row>
    <row r="306" spans="1:16" ht="32.25" customHeight="1">
      <c r="A306" s="30" t="s">
        <v>160</v>
      </c>
      <c r="B306" s="559" t="s">
        <v>240</v>
      </c>
      <c r="C306" s="559"/>
      <c r="D306" s="559"/>
      <c r="E306" s="559"/>
      <c r="F306" s="559"/>
      <c r="G306" s="559"/>
      <c r="H306" s="559"/>
      <c r="I306" s="559"/>
      <c r="J306" s="559"/>
      <c r="K306" s="559"/>
      <c r="L306" s="4"/>
      <c r="N306" s="1"/>
      <c r="O306" s="4"/>
      <c r="P306" s="4"/>
    </row>
    <row r="307" spans="1:16">
      <c r="A307" s="30" t="s">
        <v>161</v>
      </c>
      <c r="B307" s="559" t="s">
        <v>162</v>
      </c>
      <c r="C307" s="559"/>
      <c r="D307" s="559"/>
      <c r="E307" s="559"/>
      <c r="F307" s="559"/>
      <c r="G307" s="559"/>
      <c r="H307" s="559"/>
      <c r="I307" s="559"/>
      <c r="J307" s="559"/>
      <c r="K307" s="559"/>
      <c r="L307" s="4"/>
      <c r="N307" s="1"/>
      <c r="O307" s="4"/>
      <c r="P307" s="4"/>
    </row>
    <row r="308" spans="1:16" ht="48" customHeight="1">
      <c r="A308" s="30" t="s">
        <v>177</v>
      </c>
      <c r="B308" s="559" t="s">
        <v>284</v>
      </c>
      <c r="C308" s="559"/>
      <c r="D308" s="559"/>
      <c r="E308" s="559"/>
      <c r="F308" s="559"/>
      <c r="G308" s="559"/>
      <c r="H308" s="559"/>
      <c r="I308" s="559"/>
      <c r="J308" s="559"/>
      <c r="K308" s="559"/>
      <c r="L308" s="4"/>
      <c r="N308" s="1"/>
      <c r="O308" s="4"/>
      <c r="P308" s="4"/>
    </row>
    <row r="309" spans="1:16" ht="65.25" customHeight="1">
      <c r="A309" s="414" t="s">
        <v>178</v>
      </c>
      <c r="B309" s="559" t="s">
        <v>253</v>
      </c>
      <c r="C309" s="559"/>
      <c r="D309" s="559"/>
      <c r="E309" s="559"/>
      <c r="F309" s="559"/>
      <c r="G309" s="559"/>
      <c r="H309" s="559"/>
      <c r="I309" s="559"/>
      <c r="J309" s="559"/>
      <c r="K309" s="559"/>
      <c r="L309" s="4"/>
      <c r="N309" s="1"/>
      <c r="O309" s="4"/>
      <c r="P309" s="4"/>
    </row>
    <row r="310" spans="1:16">
      <c r="A310" s="414" t="s">
        <v>184</v>
      </c>
      <c r="B310" s="559" t="s">
        <v>277</v>
      </c>
      <c r="C310" s="559"/>
      <c r="D310" s="559"/>
      <c r="E310" s="559"/>
      <c r="F310" s="559"/>
      <c r="G310" s="559"/>
      <c r="H310" s="559"/>
      <c r="I310" s="559"/>
      <c r="J310" s="559"/>
      <c r="K310" s="559"/>
      <c r="L310" s="4"/>
      <c r="N310" s="1"/>
      <c r="O310" s="4"/>
      <c r="P310" s="4"/>
    </row>
    <row r="311" spans="1:16">
      <c r="A311" s="415" t="s">
        <v>186</v>
      </c>
      <c r="B311" s="559" t="s">
        <v>278</v>
      </c>
      <c r="C311" s="559"/>
      <c r="D311" s="559"/>
      <c r="E311" s="559"/>
      <c r="F311" s="559"/>
      <c r="G311" s="559"/>
      <c r="H311" s="559"/>
      <c r="I311" s="559"/>
      <c r="J311" s="559"/>
      <c r="K311" s="559"/>
      <c r="L311" s="4"/>
      <c r="N311" s="350"/>
      <c r="O311" s="4"/>
      <c r="P311" s="4"/>
    </row>
    <row r="312" spans="1:16">
      <c r="A312" s="415" t="s">
        <v>191</v>
      </c>
      <c r="B312" s="559" t="s">
        <v>326</v>
      </c>
      <c r="C312" s="559"/>
      <c r="D312" s="559"/>
      <c r="E312" s="559"/>
      <c r="F312" s="559"/>
      <c r="G312" s="559"/>
      <c r="H312" s="559"/>
      <c r="I312" s="559"/>
      <c r="J312" s="559"/>
      <c r="K312" s="559"/>
      <c r="L312" s="4"/>
      <c r="N312" s="350"/>
      <c r="O312" s="4"/>
      <c r="P312" s="4"/>
    </row>
    <row r="313" spans="1:16" s="356" customFormat="1" ht="32.25" customHeight="1">
      <c r="A313" s="414" t="s">
        <v>192</v>
      </c>
      <c r="B313" s="559" t="s">
        <v>327</v>
      </c>
      <c r="C313" s="559"/>
      <c r="D313" s="559"/>
      <c r="E313" s="559"/>
      <c r="F313" s="559"/>
      <c r="G313" s="559"/>
      <c r="H313" s="559"/>
      <c r="I313" s="559"/>
      <c r="J313" s="559"/>
      <c r="K313" s="559"/>
      <c r="L313" s="371"/>
      <c r="N313" s="11"/>
      <c r="O313" s="371"/>
      <c r="P313" s="371"/>
    </row>
    <row r="314" spans="1:16" s="372" customFormat="1" ht="24.75" customHeight="1">
      <c r="A314" s="415" t="s">
        <v>264</v>
      </c>
      <c r="B314" s="559" t="s">
        <v>328</v>
      </c>
      <c r="C314" s="559"/>
      <c r="D314" s="559"/>
      <c r="E314" s="559"/>
      <c r="F314" s="559"/>
      <c r="G314" s="559"/>
      <c r="H314" s="559"/>
      <c r="I314" s="559"/>
      <c r="J314" s="559"/>
      <c r="K314" s="559"/>
      <c r="L314" s="16"/>
      <c r="N314" s="13"/>
      <c r="O314" s="16"/>
      <c r="P314" s="16"/>
    </row>
    <row r="315" spans="1:16" s="372" customFormat="1" ht="33" customHeight="1">
      <c r="A315" s="414" t="s">
        <v>265</v>
      </c>
      <c r="B315" s="559" t="s">
        <v>329</v>
      </c>
      <c r="C315" s="559"/>
      <c r="D315" s="559"/>
      <c r="E315" s="559"/>
      <c r="F315" s="559"/>
      <c r="G315" s="559"/>
      <c r="H315" s="559"/>
      <c r="I315" s="559"/>
      <c r="J315" s="559"/>
      <c r="K315" s="559"/>
      <c r="L315" s="16"/>
      <c r="N315" s="13"/>
      <c r="O315" s="16"/>
      <c r="P315" s="16"/>
    </row>
    <row r="316" spans="1:16" s="372" customFormat="1" ht="15" customHeight="1">
      <c r="A316" s="414" t="s">
        <v>266</v>
      </c>
      <c r="B316" s="416" t="s">
        <v>267</v>
      </c>
      <c r="C316" s="32"/>
      <c r="D316" s="32"/>
      <c r="E316" s="32"/>
      <c r="F316" s="32"/>
      <c r="G316" s="32"/>
      <c r="H316" s="32"/>
      <c r="I316" s="32"/>
      <c r="J316" s="32"/>
      <c r="K316" s="32"/>
      <c r="L316" s="16"/>
      <c r="N316" s="13"/>
      <c r="O316" s="16"/>
      <c r="P316" s="16"/>
    </row>
    <row r="317" spans="1:16" s="372" customFormat="1" ht="15" customHeight="1">
      <c r="A317" s="414" t="s">
        <v>268</v>
      </c>
      <c r="B317" s="417" t="s">
        <v>269</v>
      </c>
      <c r="C317" s="32"/>
      <c r="D317" s="32"/>
      <c r="E317" s="32"/>
      <c r="F317" s="32"/>
      <c r="G317" s="32"/>
      <c r="H317" s="32"/>
      <c r="I317" s="32"/>
      <c r="J317" s="32"/>
      <c r="K317" s="32"/>
      <c r="L317" s="16"/>
      <c r="N317" s="13"/>
      <c r="O317" s="16"/>
      <c r="P317" s="16"/>
    </row>
    <row r="318" spans="1:16" ht="37.5" customHeight="1">
      <c r="A318" s="414" t="s">
        <v>295</v>
      </c>
      <c r="B318" s="559" t="s">
        <v>301</v>
      </c>
      <c r="C318" s="559"/>
      <c r="D318" s="559"/>
      <c r="E318" s="559"/>
      <c r="F318" s="559"/>
      <c r="G318" s="559"/>
      <c r="H318" s="559"/>
      <c r="I318" s="559"/>
      <c r="J318" s="559"/>
      <c r="K318" s="559"/>
      <c r="L318" s="4"/>
      <c r="N318" s="1"/>
      <c r="O318" s="4"/>
      <c r="P318" s="4"/>
    </row>
    <row r="319" spans="1:16" ht="33" customHeight="1">
      <c r="A319" s="414" t="s">
        <v>296</v>
      </c>
      <c r="B319" s="559" t="s">
        <v>302</v>
      </c>
      <c r="C319" s="559"/>
      <c r="D319" s="559"/>
      <c r="E319" s="559"/>
      <c r="F319" s="559"/>
      <c r="G319" s="559"/>
      <c r="H319" s="559"/>
      <c r="I319" s="559"/>
      <c r="J319" s="559"/>
      <c r="K319" s="559"/>
      <c r="L319" s="4"/>
      <c r="N319" s="1"/>
      <c r="O319" s="4"/>
      <c r="P319" s="4"/>
    </row>
    <row r="320" spans="1:16">
      <c r="A320" s="1" t="s">
        <v>297</v>
      </c>
      <c r="B320" s="4" t="s">
        <v>298</v>
      </c>
      <c r="C320" s="4"/>
      <c r="D320" s="4"/>
      <c r="E320" s="4"/>
      <c r="F320" s="4"/>
      <c r="G320" s="4"/>
      <c r="H320" s="4"/>
      <c r="I320" s="4"/>
      <c r="J320" s="4"/>
      <c r="K320" s="4"/>
      <c r="N320" s="1"/>
      <c r="O320" s="4"/>
      <c r="P320" s="4"/>
    </row>
    <row r="321" spans="1:16">
      <c r="A321" s="1" t="s">
        <v>310</v>
      </c>
      <c r="B321" s="4" t="s">
        <v>312</v>
      </c>
      <c r="C321" s="4"/>
      <c r="D321" s="4"/>
      <c r="E321" s="4"/>
      <c r="F321" s="4"/>
      <c r="G321" s="4"/>
      <c r="H321" s="4"/>
      <c r="I321" s="4"/>
      <c r="J321" s="4"/>
      <c r="K321" s="4"/>
      <c r="N321" s="1"/>
      <c r="O321" s="4"/>
      <c r="P321" s="4"/>
    </row>
    <row r="322" spans="1:16">
      <c r="A322" s="1" t="s">
        <v>311</v>
      </c>
      <c r="B322" s="4" t="s">
        <v>313</v>
      </c>
      <c r="C322" s="4"/>
      <c r="D322" s="4"/>
      <c r="E322" s="4"/>
      <c r="F322" s="4"/>
      <c r="G322" s="4"/>
      <c r="H322" s="4"/>
      <c r="I322" s="4"/>
      <c r="J322" s="4"/>
      <c r="K322" s="4"/>
      <c r="N322" s="1"/>
      <c r="O322" s="4"/>
      <c r="P322" s="4"/>
    </row>
    <row r="323" spans="1:16">
      <c r="A323" s="1"/>
      <c r="B323" s="4" t="s">
        <v>314</v>
      </c>
      <c r="C323" s="4"/>
      <c r="D323" s="4"/>
      <c r="E323" s="4"/>
      <c r="F323" s="4"/>
      <c r="G323" s="4"/>
      <c r="H323" s="4"/>
      <c r="I323" s="4"/>
      <c r="J323" s="4"/>
      <c r="K323" s="4"/>
      <c r="N323" s="1"/>
      <c r="O323" s="4"/>
      <c r="P323" s="4"/>
    </row>
    <row r="324" spans="1:16">
      <c r="A324" s="1"/>
      <c r="B324" s="4"/>
      <c r="C324" s="4"/>
      <c r="D324" s="4"/>
      <c r="E324" s="4"/>
      <c r="F324" s="4"/>
      <c r="G324" s="4"/>
      <c r="H324" s="4"/>
      <c r="I324" s="4"/>
      <c r="J324" s="4"/>
      <c r="K324" s="4"/>
      <c r="N324" s="1"/>
      <c r="O324" s="4"/>
      <c r="P324" s="4"/>
    </row>
    <row r="325" spans="1:16">
      <c r="A325" s="1"/>
      <c r="B325" s="4"/>
      <c r="C325" s="4"/>
      <c r="D325" s="4"/>
      <c r="E325" s="4"/>
      <c r="F325" s="4"/>
      <c r="G325" s="4"/>
      <c r="H325" s="4"/>
      <c r="I325" s="4"/>
      <c r="J325" s="4"/>
      <c r="K325" s="4"/>
      <c r="N325" s="1"/>
      <c r="O325" s="4"/>
      <c r="P325" s="4"/>
    </row>
    <row r="326" spans="1:16">
      <c r="A326" s="1"/>
      <c r="B326" s="4"/>
      <c r="C326" s="4"/>
      <c r="D326" s="4"/>
      <c r="E326" s="4"/>
      <c r="F326" s="4"/>
      <c r="G326" s="4"/>
      <c r="H326" s="4"/>
      <c r="I326" s="4"/>
      <c r="J326" s="4"/>
      <c r="K326" s="4"/>
      <c r="N326" s="1"/>
      <c r="O326" s="4"/>
      <c r="P326" s="4"/>
    </row>
    <row r="327" spans="1:16">
      <c r="A327" s="1"/>
      <c r="B327" s="4"/>
      <c r="C327" s="4"/>
      <c r="D327" s="4"/>
      <c r="E327" s="4"/>
      <c r="F327" s="4"/>
      <c r="G327" s="4"/>
      <c r="H327" s="4"/>
      <c r="I327" s="4"/>
      <c r="J327" s="4"/>
      <c r="K327" s="4"/>
      <c r="N327" s="1"/>
      <c r="O327" s="4"/>
      <c r="P327" s="4"/>
    </row>
    <row r="328" spans="1:16">
      <c r="A328" s="1"/>
      <c r="B328" s="4"/>
      <c r="C328" s="4"/>
      <c r="D328" s="4"/>
      <c r="E328" s="4"/>
      <c r="F328" s="4"/>
      <c r="G328" s="4"/>
      <c r="H328" s="4"/>
      <c r="I328" s="4"/>
      <c r="J328" s="4"/>
      <c r="K328" s="4"/>
      <c r="N328" s="1"/>
      <c r="O328" s="4"/>
      <c r="P328" s="4"/>
    </row>
    <row r="329" spans="1:16">
      <c r="A329" s="1"/>
      <c r="B329" s="4"/>
      <c r="C329" s="4"/>
      <c r="D329" s="4"/>
      <c r="E329" s="4"/>
      <c r="F329" s="4"/>
      <c r="G329" s="4"/>
      <c r="H329" s="4"/>
      <c r="I329" s="4"/>
      <c r="J329" s="4"/>
      <c r="K329" s="4"/>
      <c r="N329" s="1"/>
      <c r="O329" s="4"/>
      <c r="P329" s="4"/>
    </row>
    <row r="330" spans="1:16">
      <c r="A330" s="1"/>
      <c r="B330" s="4"/>
      <c r="C330" s="4"/>
      <c r="D330" s="4"/>
      <c r="E330" s="4"/>
      <c r="F330" s="4"/>
      <c r="G330" s="4"/>
      <c r="H330" s="4"/>
      <c r="I330" s="4"/>
      <c r="J330" s="4"/>
      <c r="K330" s="4"/>
      <c r="N330" s="1"/>
      <c r="O330" s="4"/>
      <c r="P330" s="4"/>
    </row>
    <row r="331" spans="1:16">
      <c r="A331" s="1"/>
      <c r="B331" s="4"/>
      <c r="C331" s="4"/>
      <c r="D331" s="4"/>
      <c r="E331" s="4"/>
      <c r="F331" s="4"/>
      <c r="G331" s="4"/>
      <c r="H331" s="4"/>
      <c r="I331" s="4"/>
      <c r="J331" s="4"/>
      <c r="K331" s="4"/>
      <c r="N331" s="1"/>
      <c r="O331" s="4"/>
      <c r="P331" s="4"/>
    </row>
    <row r="332" spans="1:16">
      <c r="A332" s="1"/>
      <c r="B332" s="4"/>
      <c r="C332" s="4"/>
      <c r="D332" s="4"/>
      <c r="E332" s="4"/>
      <c r="F332" s="4"/>
      <c r="G332" s="4"/>
      <c r="H332" s="4"/>
      <c r="I332" s="4"/>
      <c r="J332" s="4"/>
      <c r="K332" s="4"/>
      <c r="N332" s="1"/>
      <c r="O332" s="4"/>
      <c r="P332" s="4"/>
    </row>
    <row r="333" spans="1:16">
      <c r="A333" s="1"/>
      <c r="B333" s="4"/>
      <c r="C333" s="4"/>
      <c r="D333" s="4"/>
      <c r="E333" s="4"/>
      <c r="F333" s="4"/>
      <c r="G333" s="4"/>
      <c r="H333" s="4"/>
      <c r="I333" s="4"/>
      <c r="J333" s="4"/>
      <c r="K333" s="4"/>
      <c r="N333" s="1"/>
      <c r="O333" s="4"/>
      <c r="P333" s="4"/>
    </row>
    <row r="334" spans="1:16">
      <c r="A334" s="1"/>
      <c r="B334" s="4"/>
      <c r="C334" s="4"/>
      <c r="D334" s="4"/>
      <c r="E334" s="4"/>
      <c r="F334" s="4"/>
      <c r="G334" s="4"/>
      <c r="H334" s="4"/>
      <c r="I334" s="4"/>
      <c r="J334" s="4"/>
      <c r="K334" s="4"/>
      <c r="N334" s="1"/>
      <c r="O334" s="4"/>
      <c r="P334" s="4"/>
    </row>
    <row r="335" spans="1:16">
      <c r="B335" s="4"/>
      <c r="C335" s="4"/>
      <c r="D335" s="4"/>
      <c r="E335" s="4"/>
      <c r="F335" s="4"/>
      <c r="G335" s="4"/>
      <c r="H335" s="4"/>
      <c r="I335" s="4"/>
      <c r="J335" s="4"/>
      <c r="K335" s="4"/>
      <c r="N335" s="1"/>
      <c r="O335" s="4"/>
      <c r="P335" s="4"/>
    </row>
    <row r="336" spans="1:16">
      <c r="B336" s="4"/>
      <c r="C336" s="4"/>
      <c r="D336" s="4"/>
      <c r="E336" s="4"/>
      <c r="F336" s="4"/>
      <c r="G336" s="4"/>
      <c r="H336" s="4"/>
      <c r="I336" s="4"/>
      <c r="J336" s="4"/>
      <c r="K336" s="4"/>
      <c r="N336" s="1"/>
      <c r="O336" s="4"/>
      <c r="P336" s="4"/>
    </row>
    <row r="337" spans="2:16">
      <c r="B337" s="4"/>
      <c r="C337" s="4"/>
      <c r="D337" s="4"/>
      <c r="E337" s="4"/>
      <c r="F337" s="4"/>
      <c r="G337" s="4"/>
      <c r="H337" s="4"/>
      <c r="I337" s="4"/>
      <c r="J337" s="4"/>
      <c r="K337" s="4"/>
      <c r="N337" s="1"/>
      <c r="O337" s="4"/>
      <c r="P337" s="4"/>
    </row>
    <row r="338" spans="2:16">
      <c r="B338" s="4"/>
      <c r="C338" s="4"/>
      <c r="D338" s="4"/>
      <c r="E338" s="4"/>
      <c r="F338" s="4"/>
      <c r="G338" s="4"/>
      <c r="H338" s="4"/>
      <c r="I338" s="4"/>
      <c r="J338" s="4"/>
      <c r="K338" s="4"/>
      <c r="N338" s="4"/>
      <c r="O338" s="4"/>
      <c r="P338" s="4"/>
    </row>
    <row r="339" spans="2:16">
      <c r="B339" s="4"/>
      <c r="C339" s="4"/>
      <c r="D339" s="4"/>
      <c r="E339" s="4"/>
      <c r="F339" s="4"/>
      <c r="G339" s="4"/>
      <c r="H339" s="4"/>
      <c r="I339" s="4"/>
      <c r="J339" s="4"/>
      <c r="K339" s="4"/>
      <c r="N339" s="4"/>
      <c r="O339" s="4"/>
      <c r="P339" s="4"/>
    </row>
    <row r="340" spans="2:16">
      <c r="B340" s="4"/>
      <c r="C340" s="4"/>
      <c r="D340" s="4"/>
      <c r="E340" s="4"/>
      <c r="F340" s="4"/>
      <c r="G340" s="4"/>
      <c r="H340" s="4"/>
      <c r="I340" s="4"/>
      <c r="J340" s="4"/>
      <c r="K340" s="4"/>
      <c r="N340" s="4"/>
      <c r="O340" s="4"/>
      <c r="P340" s="4"/>
    </row>
    <row r="341" spans="2:16">
      <c r="B341" s="4"/>
      <c r="C341" s="4"/>
      <c r="D341" s="4"/>
      <c r="E341" s="4"/>
      <c r="F341" s="4"/>
      <c r="G341" s="4"/>
      <c r="H341" s="4"/>
      <c r="I341" s="4"/>
      <c r="J341" s="4"/>
      <c r="K341" s="4"/>
      <c r="N341" s="4"/>
      <c r="O341" s="4"/>
      <c r="P341" s="4"/>
    </row>
    <row r="342" spans="2:16">
      <c r="B342" s="4"/>
      <c r="C342" s="4"/>
      <c r="D342" s="4"/>
      <c r="E342" s="4"/>
      <c r="F342" s="4"/>
      <c r="G342" s="4"/>
      <c r="H342" s="4"/>
      <c r="I342" s="4"/>
      <c r="J342" s="4"/>
      <c r="K342" s="4"/>
      <c r="N342" s="4"/>
      <c r="O342" s="4"/>
      <c r="P342" s="4"/>
    </row>
    <row r="343" spans="2:16">
      <c r="B343" s="4"/>
      <c r="C343" s="4"/>
      <c r="D343" s="4"/>
      <c r="E343" s="4"/>
      <c r="F343" s="4"/>
      <c r="G343" s="4"/>
      <c r="H343" s="4"/>
      <c r="I343" s="4"/>
      <c r="J343" s="4"/>
      <c r="K343" s="4"/>
      <c r="N343" s="4"/>
      <c r="O343" s="4"/>
      <c r="P343" s="4"/>
    </row>
    <row r="344" spans="2:16">
      <c r="J344" s="4"/>
      <c r="K344" s="4"/>
      <c r="N344" s="4"/>
      <c r="O344" s="4"/>
      <c r="P344" s="4"/>
    </row>
    <row r="345" spans="2:16">
      <c r="N345" s="4"/>
      <c r="O345" s="4"/>
      <c r="P345" s="4"/>
    </row>
    <row r="346" spans="2:16">
      <c r="N346" s="4"/>
      <c r="O346" s="4"/>
      <c r="P346" s="4"/>
    </row>
  </sheetData>
  <sheetProtection algorithmName="SHA-512" hashValue="JoSifS4sF462qqQH6isuu++5yQS4t45eSFMF+l0J03UxzlDFfbi4dt9BOtW9+NPQgupAxVQSaTWqEqpHQ5ahOg==" saltValue="ZwpeNh+bIxowIYNT2rC0+A==" spinCount="100000" sheet="1" formatCells="0" formatColumns="0"/>
  <mergeCells count="32">
    <mergeCell ref="B296:K296"/>
    <mergeCell ref="L228:Q228"/>
    <mergeCell ref="C279:D279"/>
    <mergeCell ref="B287:K287"/>
    <mergeCell ref="B288:K288"/>
    <mergeCell ref="B289:K289"/>
    <mergeCell ref="B290:K290"/>
    <mergeCell ref="B291:K291"/>
    <mergeCell ref="B292:K292"/>
    <mergeCell ref="B293:K293"/>
    <mergeCell ref="B294:K294"/>
    <mergeCell ref="B295:K295"/>
    <mergeCell ref="B309:K309"/>
    <mergeCell ref="B297:K297"/>
    <mergeCell ref="E299:K299"/>
    <mergeCell ref="E300:K300"/>
    <mergeCell ref="B301:K301"/>
    <mergeCell ref="B302:K302"/>
    <mergeCell ref="B303:K303"/>
    <mergeCell ref="B304:K304"/>
    <mergeCell ref="B305:K305"/>
    <mergeCell ref="B306:K306"/>
    <mergeCell ref="B307:K307"/>
    <mergeCell ref="B308:K308"/>
    <mergeCell ref="B318:K318"/>
    <mergeCell ref="B319:K319"/>
    <mergeCell ref="B310:K310"/>
    <mergeCell ref="B311:K311"/>
    <mergeCell ref="B312:K312"/>
    <mergeCell ref="B313:K313"/>
    <mergeCell ref="B314:K314"/>
    <mergeCell ref="B315:K315"/>
  </mergeCells>
  <pageMargins left="0.5" right="0.5" top="0.75" bottom="0.75" header="0.09" footer="0.5"/>
  <pageSetup scale="47" fitToHeight="5" orientation="portrait" horizontalDpi="300" verticalDpi="300" r:id="rId1"/>
  <headerFooter alignWithMargins="0">
    <oddFooter>&amp;RV31
EFF 01.01.16</oddFooter>
  </headerFooter>
  <rowBreaks count="4" manualBreakCount="4">
    <brk id="76" max="11" man="1"/>
    <brk id="142" max="11" man="1"/>
    <brk id="209" max="11" man="1"/>
    <brk id="276"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4" sqref="A4:D4"/>
    </sheetView>
  </sheetViews>
  <sheetFormatPr defaultRowHeight="15"/>
  <cols>
    <col min="1" max="1" width="21.21875" customWidth="1"/>
    <col min="2" max="2" width="26.5546875" customWidth="1"/>
    <col min="3" max="4" width="21.21875" customWidth="1"/>
  </cols>
  <sheetData>
    <row r="1" spans="1:4" ht="18.75">
      <c r="A1" s="568" t="s">
        <v>330</v>
      </c>
      <c r="B1" s="568"/>
      <c r="C1" s="568"/>
      <c r="D1" s="568"/>
    </row>
    <row r="2" spans="1:4" ht="18.75">
      <c r="A2" s="568" t="s">
        <v>332</v>
      </c>
      <c r="B2" s="568"/>
      <c r="C2" s="568"/>
      <c r="D2" s="568"/>
    </row>
    <row r="3" spans="1:4" ht="18.75">
      <c r="A3" s="568" t="s">
        <v>609</v>
      </c>
      <c r="B3" s="568"/>
      <c r="C3" s="568"/>
      <c r="D3" s="568"/>
    </row>
    <row r="4" spans="1:4" ht="18.75">
      <c r="A4" s="569">
        <f>Coversheet!E7</f>
        <v>43465</v>
      </c>
      <c r="B4" s="569"/>
      <c r="C4" s="569"/>
      <c r="D4" s="569"/>
    </row>
    <row r="8" spans="1:4" ht="15.75">
      <c r="A8" s="250"/>
      <c r="B8" s="250"/>
      <c r="C8" s="250"/>
      <c r="D8" s="250"/>
    </row>
    <row r="9" spans="1:4" ht="15.75">
      <c r="A9" s="250" t="s">
        <v>610</v>
      </c>
      <c r="B9" s="250" t="s">
        <v>611</v>
      </c>
      <c r="C9" s="225">
        <v>266031.35999999999</v>
      </c>
      <c r="D9" s="250"/>
    </row>
    <row r="10" spans="1:4" ht="15.75">
      <c r="A10" s="250"/>
      <c r="B10" s="250"/>
      <c r="C10" s="250"/>
      <c r="D10" s="250"/>
    </row>
    <row r="11" spans="1:4" ht="15.75">
      <c r="A11" s="250"/>
      <c r="B11" s="250"/>
      <c r="C11" s="250"/>
      <c r="D11" s="250"/>
    </row>
    <row r="12" spans="1:4" ht="15.75">
      <c r="A12" s="250"/>
      <c r="B12" s="250"/>
      <c r="C12" s="250"/>
      <c r="D12" s="250"/>
    </row>
    <row r="13" spans="1:4" ht="15.75">
      <c r="A13" s="250"/>
      <c r="B13" s="250"/>
      <c r="C13" s="250"/>
      <c r="D13" s="250"/>
    </row>
  </sheetData>
  <mergeCells count="4">
    <mergeCell ref="A1:D1"/>
    <mergeCell ref="A2:D2"/>
    <mergeCell ref="A3:D3"/>
    <mergeCell ref="A4:D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selection activeCell="A4" sqref="A4:C4"/>
    </sheetView>
  </sheetViews>
  <sheetFormatPr defaultRowHeight="15"/>
  <cols>
    <col min="2" max="2" width="34" customWidth="1"/>
    <col min="3" max="3" width="14" customWidth="1"/>
    <col min="4" max="4" width="13.6640625" customWidth="1"/>
    <col min="5" max="5" width="15" customWidth="1"/>
  </cols>
  <sheetData>
    <row r="1" spans="1:5" s="488" customFormat="1" ht="18.75">
      <c r="A1" s="568" t="s">
        <v>330</v>
      </c>
      <c r="B1" s="568"/>
      <c r="C1" s="568"/>
    </row>
    <row r="2" spans="1:5" s="488" customFormat="1" ht="18.75">
      <c r="A2" s="568" t="s">
        <v>332</v>
      </c>
      <c r="B2" s="568"/>
      <c r="C2" s="568"/>
    </row>
    <row r="3" spans="1:5" s="488" customFormat="1" ht="18.75">
      <c r="A3" s="568" t="s">
        <v>687</v>
      </c>
      <c r="B3" s="568"/>
      <c r="C3" s="568"/>
    </row>
    <row r="4" spans="1:5" s="488" customFormat="1" ht="18.75">
      <c r="A4" s="569">
        <f>Coversheet!E7</f>
        <v>43465</v>
      </c>
      <c r="B4" s="569"/>
      <c r="C4" s="569"/>
    </row>
    <row r="5" spans="1:5" s="488" customFormat="1"/>
    <row r="6" spans="1:5" s="488" customFormat="1" ht="15.75" thickBot="1"/>
    <row r="7" spans="1:5" ht="15.75">
      <c r="A7" s="558" t="s">
        <v>661</v>
      </c>
      <c r="B7" s="557"/>
      <c r="C7" s="556"/>
      <c r="D7" s="556"/>
      <c r="E7" s="555"/>
    </row>
    <row r="8" spans="1:5">
      <c r="A8" s="502"/>
      <c r="B8" s="495"/>
      <c r="C8" s="515" t="s">
        <v>645</v>
      </c>
      <c r="D8" s="530" t="s">
        <v>645</v>
      </c>
      <c r="E8" s="513" t="s">
        <v>662</v>
      </c>
    </row>
    <row r="9" spans="1:5">
      <c r="A9" s="501" t="s">
        <v>646</v>
      </c>
      <c r="B9" s="495"/>
      <c r="C9" s="554">
        <v>0.12379999999999999</v>
      </c>
      <c r="D9" s="554">
        <v>0.1082</v>
      </c>
      <c r="E9" s="513" t="s">
        <v>663</v>
      </c>
    </row>
    <row r="10" spans="1:5">
      <c r="A10" s="549" t="s">
        <v>664</v>
      </c>
      <c r="B10" s="547"/>
      <c r="C10" s="553">
        <v>1736224.5488454269</v>
      </c>
      <c r="D10" s="553">
        <v>1672744.1699845858</v>
      </c>
      <c r="E10" s="496"/>
    </row>
    <row r="11" spans="1:5">
      <c r="A11" s="549" t="s">
        <v>647</v>
      </c>
      <c r="B11" s="547"/>
      <c r="C11" s="511">
        <v>0.74039999999999995</v>
      </c>
      <c r="D11" s="511">
        <v>0.2596</v>
      </c>
      <c r="E11" s="496"/>
    </row>
    <row r="12" spans="1:5">
      <c r="A12" s="548" t="s">
        <v>648</v>
      </c>
      <c r="B12" s="552"/>
      <c r="C12" s="546">
        <v>1285501</v>
      </c>
      <c r="D12" s="546">
        <v>434244</v>
      </c>
      <c r="E12" s="545">
        <v>1719745</v>
      </c>
    </row>
    <row r="13" spans="1:5">
      <c r="A13" s="549"/>
      <c r="B13" s="547"/>
      <c r="C13" s="495"/>
      <c r="D13" s="495"/>
      <c r="E13" s="496"/>
    </row>
    <row r="14" spans="1:5">
      <c r="A14" s="549" t="s">
        <v>649</v>
      </c>
      <c r="B14" s="547"/>
      <c r="C14" s="551"/>
      <c r="D14" s="551"/>
      <c r="E14" s="550">
        <v>1744879.82</v>
      </c>
    </row>
    <row r="15" spans="1:5">
      <c r="A15" s="549" t="s">
        <v>650</v>
      </c>
      <c r="B15" s="547"/>
      <c r="C15" s="511">
        <v>0.74039999999999995</v>
      </c>
      <c r="D15" s="511">
        <v>0.2596</v>
      </c>
      <c r="E15" s="496"/>
    </row>
    <row r="16" spans="1:5">
      <c r="A16" s="548" t="s">
        <v>651</v>
      </c>
      <c r="B16" s="547"/>
      <c r="C16" s="546">
        <v>1291909</v>
      </c>
      <c r="D16" s="546">
        <v>452971</v>
      </c>
      <c r="E16" s="545">
        <v>1744880</v>
      </c>
    </row>
    <row r="17" spans="1:5">
      <c r="A17" s="502"/>
      <c r="B17" s="495"/>
      <c r="C17" s="509"/>
      <c r="D17" s="509"/>
      <c r="E17" s="508"/>
    </row>
    <row r="18" spans="1:5">
      <c r="A18" s="501" t="s">
        <v>652</v>
      </c>
      <c r="B18" s="495"/>
      <c r="C18" s="544">
        <v>-6408</v>
      </c>
      <c r="D18" s="544">
        <v>-18727</v>
      </c>
      <c r="E18" s="543">
        <v>-25135</v>
      </c>
    </row>
    <row r="19" spans="1:5">
      <c r="A19" s="502"/>
      <c r="B19" s="495"/>
      <c r="C19" s="509"/>
      <c r="D19" s="509"/>
      <c r="E19" s="508"/>
    </row>
    <row r="20" spans="1:5">
      <c r="A20" s="502" t="s">
        <v>653</v>
      </c>
      <c r="B20" s="495"/>
      <c r="C20" s="542"/>
      <c r="D20" s="542"/>
      <c r="E20" s="525">
        <v>2.921E-3</v>
      </c>
    </row>
    <row r="21" spans="1:5">
      <c r="A21" s="502" t="s">
        <v>654</v>
      </c>
      <c r="B21" s="495"/>
      <c r="C21" s="509"/>
      <c r="D21" s="509"/>
      <c r="E21" s="541">
        <v>-1762</v>
      </c>
    </row>
    <row r="22" spans="1:5">
      <c r="A22" s="502"/>
      <c r="B22" s="495"/>
      <c r="C22" s="509"/>
      <c r="D22" s="509"/>
      <c r="E22" s="540"/>
    </row>
    <row r="23" spans="1:5" ht="15.75">
      <c r="A23" s="501" t="s">
        <v>655</v>
      </c>
      <c r="B23" s="495"/>
      <c r="C23" s="509"/>
      <c r="D23" s="509"/>
      <c r="E23" s="539">
        <v>-26897</v>
      </c>
    </row>
    <row r="24" spans="1:5" ht="15.75">
      <c r="A24" s="501"/>
      <c r="B24" s="495"/>
      <c r="C24" s="509"/>
      <c r="D24" s="509"/>
      <c r="E24" s="538"/>
    </row>
    <row r="25" spans="1:5">
      <c r="A25" s="502"/>
      <c r="B25" s="495"/>
      <c r="C25" s="509"/>
      <c r="D25" s="509"/>
      <c r="E25" s="508"/>
    </row>
    <row r="26" spans="1:5">
      <c r="A26" s="502"/>
      <c r="B26" s="495"/>
      <c r="C26" s="509"/>
      <c r="D26" s="509"/>
      <c r="E26" s="508"/>
    </row>
    <row r="27" spans="1:5" ht="15.75" thickBot="1">
      <c r="A27" s="537"/>
      <c r="B27" s="492"/>
      <c r="C27" s="536"/>
      <c r="D27" s="536"/>
      <c r="E27" s="535"/>
    </row>
    <row r="28" spans="1:5">
      <c r="A28" s="495"/>
      <c r="B28" s="495"/>
      <c r="C28" s="509"/>
      <c r="D28" s="509"/>
      <c r="E28" s="490"/>
    </row>
    <row r="29" spans="1:5" ht="15.75" thickBot="1">
      <c r="A29" s="495"/>
      <c r="B29" s="495"/>
      <c r="C29" s="509"/>
      <c r="D29" s="509"/>
      <c r="E29" s="490"/>
    </row>
    <row r="30" spans="1:5" ht="15.75">
      <c r="A30" s="534" t="s">
        <v>665</v>
      </c>
      <c r="B30" s="533"/>
      <c r="C30" s="532"/>
      <c r="D30" s="532"/>
      <c r="E30" s="531"/>
    </row>
    <row r="31" spans="1:5">
      <c r="A31" s="565" t="s">
        <v>666</v>
      </c>
      <c r="B31" s="566"/>
      <c r="C31" s="566"/>
      <c r="D31" s="566"/>
      <c r="E31" s="567"/>
    </row>
    <row r="32" spans="1:5" ht="25.5">
      <c r="A32" s="502"/>
      <c r="B32" s="495"/>
      <c r="C32" s="515" t="s">
        <v>645</v>
      </c>
      <c r="D32" s="530" t="s">
        <v>645</v>
      </c>
      <c r="E32" s="513" t="s">
        <v>667</v>
      </c>
    </row>
    <row r="33" spans="1:5">
      <c r="A33" s="501" t="s">
        <v>668</v>
      </c>
      <c r="B33" s="495"/>
      <c r="C33" s="514">
        <v>0.12379999999999999</v>
      </c>
      <c r="D33" s="514">
        <v>0.1082</v>
      </c>
      <c r="E33" s="513" t="s">
        <v>663</v>
      </c>
    </row>
    <row r="34" spans="1:5">
      <c r="A34" s="563" t="s">
        <v>669</v>
      </c>
      <c r="B34" s="564"/>
      <c r="C34" s="512">
        <v>0</v>
      </c>
      <c r="D34" s="512">
        <v>0</v>
      </c>
      <c r="E34" s="496"/>
    </row>
    <row r="35" spans="1:5">
      <c r="A35" s="502" t="s">
        <v>650</v>
      </c>
      <c r="B35" s="495"/>
      <c r="C35" s="511">
        <v>0.74039999999999995</v>
      </c>
      <c r="D35" s="511">
        <v>0.2596</v>
      </c>
      <c r="E35" s="496"/>
    </row>
    <row r="36" spans="1:5">
      <c r="A36" s="529" t="s">
        <v>670</v>
      </c>
      <c r="B36" s="510"/>
      <c r="C36" s="509">
        <v>0</v>
      </c>
      <c r="D36" s="509">
        <v>0</v>
      </c>
      <c r="E36" s="528">
        <v>0</v>
      </c>
    </row>
    <row r="37" spans="1:5">
      <c r="A37" s="502"/>
      <c r="B37" s="510"/>
      <c r="C37" s="509"/>
      <c r="D37" s="509"/>
      <c r="E37" s="508"/>
    </row>
    <row r="38" spans="1:5">
      <c r="A38" s="502" t="s">
        <v>671</v>
      </c>
      <c r="B38" s="495"/>
      <c r="C38" s="527"/>
      <c r="D38" s="495"/>
      <c r="E38" s="526">
        <v>0</v>
      </c>
    </row>
    <row r="39" spans="1:5">
      <c r="A39" s="502"/>
      <c r="B39" s="495"/>
      <c r="C39" s="497"/>
      <c r="D39" s="495"/>
      <c r="E39" s="505"/>
    </row>
    <row r="40" spans="1:5">
      <c r="A40" s="501" t="s">
        <v>672</v>
      </c>
      <c r="B40" s="495"/>
      <c r="C40" s="497"/>
      <c r="D40" s="495"/>
      <c r="E40" s="505">
        <v>0</v>
      </c>
    </row>
    <row r="41" spans="1:5">
      <c r="A41" s="502"/>
      <c r="B41" s="495"/>
      <c r="C41" s="497"/>
      <c r="D41" s="495"/>
      <c r="E41" s="505"/>
    </row>
    <row r="42" spans="1:5">
      <c r="A42" s="502"/>
      <c r="B42" s="495"/>
      <c r="C42" s="497"/>
      <c r="D42" s="495"/>
      <c r="E42" s="505"/>
    </row>
    <row r="43" spans="1:5">
      <c r="A43" s="502" t="s">
        <v>653</v>
      </c>
      <c r="B43" s="495"/>
      <c r="C43" s="497"/>
      <c r="D43" s="495"/>
      <c r="E43" s="525">
        <v>2.921E-3</v>
      </c>
    </row>
    <row r="44" spans="1:5">
      <c r="A44" s="502" t="s">
        <v>654</v>
      </c>
      <c r="B44" s="495"/>
      <c r="C44" s="497"/>
      <c r="D44" s="495"/>
      <c r="E44" s="505">
        <v>0</v>
      </c>
    </row>
    <row r="45" spans="1:5">
      <c r="A45" s="502"/>
      <c r="B45" s="495"/>
      <c r="C45" s="497"/>
      <c r="D45" s="495"/>
      <c r="E45" s="505"/>
    </row>
    <row r="46" spans="1:5" ht="15.75">
      <c r="A46" s="501" t="s">
        <v>673</v>
      </c>
      <c r="B46" s="495"/>
      <c r="C46" s="497"/>
      <c r="D46" s="495"/>
      <c r="E46" s="524">
        <v>0</v>
      </c>
    </row>
    <row r="47" spans="1:5" ht="17.25">
      <c r="A47" s="523" t="s">
        <v>674</v>
      </c>
      <c r="B47" s="495"/>
      <c r="C47" s="497"/>
      <c r="D47" s="495"/>
      <c r="E47" s="505"/>
    </row>
    <row r="48" spans="1:5">
      <c r="A48" s="498" t="s">
        <v>675</v>
      </c>
      <c r="B48" s="495"/>
      <c r="C48" s="497"/>
      <c r="D48" s="495"/>
      <c r="E48" s="505"/>
    </row>
    <row r="49" spans="1:5" ht="15.75" thickBot="1">
      <c r="A49" s="494" t="s">
        <v>676</v>
      </c>
      <c r="B49" s="492"/>
      <c r="C49" s="493"/>
      <c r="D49" s="492"/>
      <c r="E49" s="522"/>
    </row>
    <row r="50" spans="1:5">
      <c r="A50" s="495"/>
      <c r="B50" s="495"/>
      <c r="C50" s="497"/>
      <c r="D50" s="495"/>
      <c r="E50" s="521"/>
    </row>
    <row r="51" spans="1:5" ht="16.5" thickBot="1">
      <c r="A51" s="495"/>
      <c r="B51" s="495"/>
      <c r="C51" s="495"/>
      <c r="D51" s="495"/>
      <c r="E51" s="520"/>
    </row>
    <row r="52" spans="1:5" ht="15.75">
      <c r="A52" s="519" t="s">
        <v>677</v>
      </c>
      <c r="B52" s="518"/>
      <c r="C52" s="517"/>
      <c r="D52" s="517"/>
      <c r="E52" s="516"/>
    </row>
    <row r="53" spans="1:5">
      <c r="A53" s="565" t="s">
        <v>678</v>
      </c>
      <c r="B53" s="566"/>
      <c r="C53" s="566"/>
      <c r="D53" s="566"/>
      <c r="E53" s="567"/>
    </row>
    <row r="54" spans="1:5" ht="25.5">
      <c r="A54" s="501"/>
      <c r="B54" s="495"/>
      <c r="C54" s="515" t="s">
        <v>645</v>
      </c>
      <c r="D54" s="515" t="s">
        <v>645</v>
      </c>
      <c r="E54" s="513" t="s">
        <v>679</v>
      </c>
    </row>
    <row r="55" spans="1:5">
      <c r="A55" s="501" t="s">
        <v>680</v>
      </c>
      <c r="B55" s="495"/>
      <c r="C55" s="514">
        <v>0.12379999999999999</v>
      </c>
      <c r="D55" s="514">
        <v>0.1082</v>
      </c>
      <c r="E55" s="513" t="s">
        <v>663</v>
      </c>
    </row>
    <row r="56" spans="1:5">
      <c r="A56" s="563" t="s">
        <v>681</v>
      </c>
      <c r="B56" s="564"/>
      <c r="C56" s="512">
        <v>0</v>
      </c>
      <c r="D56" s="512">
        <v>0</v>
      </c>
      <c r="E56" s="496"/>
    </row>
    <row r="57" spans="1:5">
      <c r="A57" s="502" t="s">
        <v>650</v>
      </c>
      <c r="B57" s="495"/>
      <c r="C57" s="511">
        <v>0.74039999999999995</v>
      </c>
      <c r="D57" s="511">
        <v>0.2596</v>
      </c>
      <c r="E57" s="496"/>
    </row>
    <row r="58" spans="1:5">
      <c r="A58" s="502" t="s">
        <v>682</v>
      </c>
      <c r="B58" s="510"/>
      <c r="C58" s="509">
        <v>0</v>
      </c>
      <c r="D58" s="509">
        <v>0</v>
      </c>
      <c r="E58" s="508">
        <v>0</v>
      </c>
    </row>
    <row r="59" spans="1:5">
      <c r="A59" s="502"/>
      <c r="B59" s="510"/>
      <c r="C59" s="509"/>
      <c r="D59" s="509"/>
      <c r="E59" s="508"/>
    </row>
    <row r="60" spans="1:5">
      <c r="A60" s="502" t="s">
        <v>683</v>
      </c>
      <c r="B60" s="495"/>
      <c r="C60" s="507"/>
      <c r="D60" s="495"/>
      <c r="E60" s="506">
        <v>0</v>
      </c>
    </row>
    <row r="61" spans="1:5">
      <c r="A61" s="502"/>
      <c r="B61" s="495"/>
      <c r="C61" s="497"/>
      <c r="D61" s="495"/>
      <c r="E61" s="496"/>
    </row>
    <row r="62" spans="1:5">
      <c r="A62" s="501" t="s">
        <v>684</v>
      </c>
      <c r="B62" s="495"/>
      <c r="C62" s="497"/>
      <c r="D62" s="495"/>
      <c r="E62" s="505">
        <v>0</v>
      </c>
    </row>
    <row r="63" spans="1:5">
      <c r="A63" s="502"/>
      <c r="B63" s="495"/>
      <c r="C63" s="497"/>
      <c r="D63" s="495"/>
      <c r="E63" s="496"/>
    </row>
    <row r="64" spans="1:5">
      <c r="A64" s="502" t="s">
        <v>653</v>
      </c>
      <c r="B64" s="495"/>
      <c r="C64" s="497"/>
      <c r="D64" s="495"/>
      <c r="E64" s="504">
        <v>2.921E-3</v>
      </c>
    </row>
    <row r="65" spans="1:5">
      <c r="A65" s="502" t="s">
        <v>654</v>
      </c>
      <c r="B65" s="495"/>
      <c r="C65" s="497"/>
      <c r="D65" s="495"/>
      <c r="E65" s="503">
        <v>0</v>
      </c>
    </row>
    <row r="66" spans="1:5">
      <c r="A66" s="502"/>
      <c r="B66" s="495"/>
      <c r="C66" s="497"/>
      <c r="D66" s="495"/>
      <c r="E66" s="496"/>
    </row>
    <row r="67" spans="1:5" ht="15.75">
      <c r="A67" s="501" t="s">
        <v>685</v>
      </c>
      <c r="B67" s="495"/>
      <c r="C67" s="497"/>
      <c r="D67" s="495"/>
      <c r="E67" s="500">
        <v>0</v>
      </c>
    </row>
    <row r="68" spans="1:5" ht="17.25">
      <c r="A68" s="499" t="s">
        <v>686</v>
      </c>
      <c r="B68" s="495"/>
      <c r="C68" s="497"/>
      <c r="D68" s="495"/>
      <c r="E68" s="496"/>
    </row>
    <row r="69" spans="1:5">
      <c r="A69" s="498" t="s">
        <v>675</v>
      </c>
      <c r="B69" s="495"/>
      <c r="C69" s="497"/>
      <c r="D69" s="495"/>
      <c r="E69" s="496"/>
    </row>
    <row r="70" spans="1:5" ht="15.75" thickBot="1">
      <c r="A70" s="494" t="s">
        <v>676</v>
      </c>
      <c r="B70" s="492"/>
      <c r="C70" s="493"/>
      <c r="D70" s="492"/>
      <c r="E70" s="491"/>
    </row>
  </sheetData>
  <mergeCells count="8">
    <mergeCell ref="A56:B56"/>
    <mergeCell ref="A34:B34"/>
    <mergeCell ref="A31:E31"/>
    <mergeCell ref="A53:E53"/>
    <mergeCell ref="A1:C1"/>
    <mergeCell ref="A2:C2"/>
    <mergeCell ref="A3:C3"/>
    <mergeCell ref="A4:C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C3" sqref="C3"/>
    </sheetView>
  </sheetViews>
  <sheetFormatPr defaultRowHeight="15"/>
  <cols>
    <col min="3" max="3" width="28" customWidth="1"/>
    <col min="4" max="4" width="13.77734375" customWidth="1"/>
  </cols>
  <sheetData>
    <row r="1" spans="1:8" ht="15.75">
      <c r="A1" s="477"/>
      <c r="B1" s="478"/>
      <c r="C1" s="478" t="s">
        <v>330</v>
      </c>
      <c r="D1" s="478"/>
      <c r="E1" s="477"/>
      <c r="F1" s="477"/>
      <c r="G1" s="477"/>
      <c r="H1" s="477"/>
    </row>
    <row r="2" spans="1:8" ht="15.75">
      <c r="A2" s="477"/>
      <c r="B2" s="478"/>
      <c r="C2" s="478" t="s">
        <v>622</v>
      </c>
      <c r="D2" s="478"/>
      <c r="E2" s="477"/>
      <c r="F2" s="477"/>
      <c r="G2" s="477"/>
      <c r="H2" s="477"/>
    </row>
    <row r="3" spans="1:8" ht="15.75">
      <c r="A3" s="477"/>
      <c r="B3" s="478"/>
      <c r="C3" s="478" t="s">
        <v>657</v>
      </c>
      <c r="D3" s="477"/>
      <c r="E3" s="477"/>
      <c r="F3" s="477"/>
      <c r="G3" s="477"/>
      <c r="H3" s="477"/>
    </row>
    <row r="4" spans="1:8" ht="15.75">
      <c r="A4" s="477"/>
      <c r="B4" s="477"/>
      <c r="C4" s="466"/>
      <c r="D4" s="477"/>
      <c r="E4" s="477"/>
      <c r="F4" s="477"/>
      <c r="G4" s="477"/>
      <c r="H4" s="477"/>
    </row>
    <row r="6" spans="1:8" ht="15.75">
      <c r="A6" s="477"/>
      <c r="B6" s="469"/>
      <c r="C6" s="469" t="s">
        <v>623</v>
      </c>
      <c r="D6" s="448">
        <v>0.1082</v>
      </c>
      <c r="E6" s="469"/>
      <c r="F6" s="469"/>
      <c r="G6" s="446"/>
      <c r="H6" s="477"/>
    </row>
    <row r="7" spans="1:8" ht="15.75">
      <c r="A7" s="458" t="s">
        <v>4</v>
      </c>
      <c r="B7" s="469" t="s">
        <v>624</v>
      </c>
      <c r="C7" s="469"/>
      <c r="D7" s="467" t="s">
        <v>656</v>
      </c>
      <c r="E7" s="469"/>
      <c r="F7" s="469"/>
      <c r="G7" s="477"/>
      <c r="H7" s="477"/>
    </row>
    <row r="8" spans="1:8" ht="15.75">
      <c r="A8" s="472">
        <v>1</v>
      </c>
      <c r="B8" s="469"/>
      <c r="C8" s="469" t="s">
        <v>382</v>
      </c>
      <c r="D8" s="480">
        <f>'Nonlevelized-EIA 412'!I93</f>
        <v>14343000.549177274</v>
      </c>
      <c r="E8" s="480"/>
      <c r="F8" s="469"/>
      <c r="G8" s="477"/>
      <c r="H8" s="451"/>
    </row>
    <row r="9" spans="1:8" ht="15.75">
      <c r="A9" s="472">
        <v>2</v>
      </c>
      <c r="B9" s="469"/>
      <c r="C9" s="469" t="s">
        <v>625</v>
      </c>
      <c r="D9" s="480">
        <f>'Nonlevelized-EIA 412'!I101</f>
        <v>10805664.762592465</v>
      </c>
      <c r="E9" s="480"/>
      <c r="F9" s="469"/>
      <c r="G9" s="477"/>
      <c r="H9" s="451"/>
    </row>
    <row r="10" spans="1:8" ht="15.75">
      <c r="A10" s="472">
        <v>3</v>
      </c>
      <c r="B10" s="469"/>
      <c r="C10" s="469" t="s">
        <v>626</v>
      </c>
      <c r="D10" s="480">
        <f>'Nonlevelized-EIA 412'!I109</f>
        <v>3537335.7865848076</v>
      </c>
      <c r="E10" s="480"/>
      <c r="F10" s="469"/>
      <c r="G10" s="477"/>
      <c r="H10" s="451"/>
    </row>
    <row r="11" spans="1:8" ht="15.75">
      <c r="A11" s="472">
        <v>4</v>
      </c>
      <c r="B11" s="469"/>
      <c r="C11" s="469" t="s">
        <v>423</v>
      </c>
      <c r="D11" s="480">
        <f>'Nonlevelized-EIA 412'!I117</f>
        <v>0</v>
      </c>
      <c r="E11" s="480"/>
      <c r="F11" s="469"/>
      <c r="G11" s="477"/>
      <c r="H11" s="451"/>
    </row>
    <row r="12" spans="1:8" ht="15.75">
      <c r="A12" s="472">
        <v>5</v>
      </c>
      <c r="B12" s="469"/>
      <c r="C12" s="469" t="s">
        <v>627</v>
      </c>
      <c r="D12" s="480">
        <v>0</v>
      </c>
      <c r="E12" s="480"/>
      <c r="F12" s="469"/>
      <c r="G12" s="477"/>
      <c r="H12" s="451"/>
    </row>
    <row r="13" spans="1:8" ht="15.75">
      <c r="A13" s="472">
        <v>6</v>
      </c>
      <c r="B13" s="469"/>
      <c r="C13" s="469" t="s">
        <v>628</v>
      </c>
      <c r="D13" s="480">
        <f>'Nonlevelized-EIA 412'!I119</f>
        <v>354384</v>
      </c>
      <c r="E13" s="480"/>
      <c r="F13" s="469"/>
      <c r="G13" s="477"/>
      <c r="H13" s="451"/>
    </row>
    <row r="14" spans="1:8" ht="15.75">
      <c r="A14" s="472">
        <v>7</v>
      </c>
      <c r="B14" s="469"/>
      <c r="C14" s="469" t="s">
        <v>629</v>
      </c>
      <c r="D14" s="480">
        <f>'Nonlevelized-EIA 412'!I125</f>
        <v>213162.73199010204</v>
      </c>
      <c r="E14" s="480"/>
      <c r="F14" s="469"/>
      <c r="G14" s="477"/>
      <c r="H14" s="451"/>
    </row>
    <row r="15" spans="1:8" ht="15.75">
      <c r="A15" s="472">
        <v>8</v>
      </c>
      <c r="B15" s="469"/>
      <c r="C15" s="469" t="s">
        <v>624</v>
      </c>
      <c r="D15" s="480">
        <f>'Nonlevelized-EIA 412'!I127</f>
        <v>4104882.5185749093</v>
      </c>
      <c r="E15" s="480"/>
      <c r="F15" s="469"/>
      <c r="G15" s="477"/>
      <c r="H15" s="451"/>
    </row>
    <row r="16" spans="1:8" ht="15.75">
      <c r="A16" s="472">
        <v>9</v>
      </c>
      <c r="B16" s="469"/>
      <c r="C16" s="469"/>
      <c r="D16" s="459">
        <f>SUM(D10:D14)</f>
        <v>4104882.5185749098</v>
      </c>
      <c r="E16" s="480"/>
      <c r="F16" s="469"/>
      <c r="G16" s="477"/>
      <c r="H16" s="451"/>
    </row>
    <row r="17" spans="1:8" ht="15.75">
      <c r="A17" s="472">
        <v>10</v>
      </c>
      <c r="B17" s="469" t="s">
        <v>630</v>
      </c>
      <c r="C17" s="469"/>
      <c r="D17" s="443">
        <f>SUM(D15-D16)</f>
        <v>-4.6566128730773926E-10</v>
      </c>
      <c r="E17" s="480"/>
      <c r="F17" s="469"/>
      <c r="G17" s="477"/>
      <c r="H17" s="451"/>
    </row>
    <row r="18" spans="1:8" ht="15.75">
      <c r="A18" s="472">
        <v>11</v>
      </c>
      <c r="B18" s="469"/>
      <c r="C18" s="469" t="s">
        <v>631</v>
      </c>
      <c r="D18" s="473">
        <f>'Nonlevelized-EIA 412'!E253</f>
        <v>0.10186695071199907</v>
      </c>
      <c r="E18" s="480"/>
      <c r="F18" s="469"/>
      <c r="G18" s="477"/>
      <c r="H18" s="451"/>
    </row>
    <row r="19" spans="1:8" ht="15.75">
      <c r="A19" s="472">
        <v>12</v>
      </c>
      <c r="B19" s="469"/>
      <c r="C19" s="469" t="s">
        <v>632</v>
      </c>
      <c r="D19" s="473">
        <f>'Nonlevelized-EIA 412'!E254</f>
        <v>0.89813304928800097</v>
      </c>
      <c r="E19" s="480"/>
      <c r="F19" s="469"/>
      <c r="G19" s="477"/>
      <c r="H19" s="451"/>
    </row>
    <row r="20" spans="1:8" ht="15.75">
      <c r="A20" s="472">
        <v>13</v>
      </c>
      <c r="B20" s="469"/>
      <c r="C20" s="469" t="s">
        <v>9</v>
      </c>
      <c r="D20" s="473">
        <f>SUM(D18:D19)</f>
        <v>1</v>
      </c>
      <c r="E20" s="480"/>
      <c r="F20" s="469"/>
      <c r="G20" s="477"/>
      <c r="H20" s="451"/>
    </row>
    <row r="21" spans="1:8" ht="15.75">
      <c r="A21" s="472">
        <v>14</v>
      </c>
      <c r="B21" s="469"/>
      <c r="C21" s="469" t="s">
        <v>633</v>
      </c>
      <c r="D21" s="479">
        <f>'Nonlevelized-EIA 412'!I253</f>
        <v>5.1770381290309917E-3</v>
      </c>
      <c r="E21" s="480"/>
      <c r="F21" s="469"/>
      <c r="G21" s="477"/>
      <c r="H21" s="451"/>
    </row>
    <row r="22" spans="1:8" ht="15.75">
      <c r="A22" s="472">
        <v>15</v>
      </c>
      <c r="B22" s="469"/>
      <c r="C22" s="469" t="s">
        <v>634</v>
      </c>
      <c r="D22" s="479">
        <f>'Nonlevelized-EIA 412'!I254</f>
        <v>9.7177995932961711E-2</v>
      </c>
      <c r="E22" s="480"/>
      <c r="F22" s="469"/>
      <c r="G22" s="477"/>
      <c r="H22" s="451"/>
    </row>
    <row r="23" spans="1:8" ht="15.75">
      <c r="A23" s="472">
        <v>16</v>
      </c>
      <c r="B23" s="469"/>
      <c r="C23" s="469" t="s">
        <v>635</v>
      </c>
      <c r="D23" s="462">
        <f>'Nonlevelized-EIA 412'!I255</f>
        <v>0.1023550340619927</v>
      </c>
      <c r="E23" s="480"/>
      <c r="F23" s="469"/>
      <c r="G23" s="477"/>
      <c r="H23" s="451"/>
    </row>
    <row r="24" spans="1:8" ht="15.75">
      <c r="A24" s="472">
        <v>17</v>
      </c>
      <c r="B24" s="469"/>
      <c r="C24" s="469" t="s">
        <v>624</v>
      </c>
      <c r="D24" s="480">
        <f>'Nonlevelized-EIA 412'!I127</f>
        <v>4104882.5185749093</v>
      </c>
      <c r="E24" s="480"/>
      <c r="F24" s="469"/>
      <c r="G24" s="477"/>
      <c r="H24" s="451"/>
    </row>
    <row r="25" spans="1:8" ht="15.75">
      <c r="A25" s="472">
        <v>18</v>
      </c>
      <c r="B25" s="469"/>
      <c r="C25" s="469" t="s">
        <v>636</v>
      </c>
      <c r="D25" s="480">
        <f>'Nonlevelized-EIA 412'!I194</f>
        <v>420155.39000921324</v>
      </c>
      <c r="E25" s="480"/>
      <c r="F25" s="469"/>
      <c r="G25" s="477"/>
      <c r="H25" s="451"/>
    </row>
    <row r="26" spans="1:8" ht="15.75">
      <c r="A26" s="472">
        <v>19</v>
      </c>
      <c r="B26" s="469"/>
      <c r="C26" s="469" t="s">
        <v>630</v>
      </c>
      <c r="D26" s="480">
        <f>'Nonlevelized-EIA 412'!I163</f>
        <v>484735.27242013585</v>
      </c>
      <c r="E26" s="480"/>
      <c r="F26" s="469"/>
      <c r="G26" s="477"/>
      <c r="H26" s="451"/>
    </row>
    <row r="27" spans="1:8" ht="15.75">
      <c r="A27" s="472">
        <v>20</v>
      </c>
      <c r="B27" s="469"/>
      <c r="C27" s="469"/>
      <c r="D27" s="480"/>
      <c r="E27" s="480"/>
      <c r="F27" s="469"/>
      <c r="G27" s="477"/>
      <c r="H27" s="451"/>
    </row>
    <row r="28" spans="1:8" ht="15.75">
      <c r="A28" s="472">
        <v>21</v>
      </c>
      <c r="B28" s="469" t="s">
        <v>637</v>
      </c>
      <c r="C28" s="469"/>
      <c r="D28" s="480"/>
      <c r="E28" s="480"/>
      <c r="F28" s="469"/>
      <c r="G28" s="477"/>
      <c r="H28" s="451"/>
    </row>
    <row r="29" spans="1:8" ht="15.75">
      <c r="A29" s="472">
        <v>22</v>
      </c>
      <c r="B29" s="469"/>
      <c r="C29" s="469" t="s">
        <v>638</v>
      </c>
      <c r="D29" s="480">
        <f>D26</f>
        <v>484735.27242013585</v>
      </c>
      <c r="E29" s="480"/>
      <c r="F29" s="469"/>
      <c r="G29" s="477"/>
      <c r="H29" s="451"/>
    </row>
    <row r="30" spans="1:8" ht="15.75">
      <c r="A30" s="472">
        <v>23</v>
      </c>
      <c r="B30" s="469"/>
      <c r="C30" s="469" t="s">
        <v>604</v>
      </c>
      <c r="D30" s="480">
        <f>'Nonlevelized-EIA 412'!I169</f>
        <v>307596.36436049</v>
      </c>
      <c r="E30" s="480"/>
      <c r="F30" s="469"/>
      <c r="G30" s="477"/>
      <c r="H30" s="451"/>
    </row>
    <row r="31" spans="1:8" ht="15.75">
      <c r="A31" s="472">
        <v>24</v>
      </c>
      <c r="B31" s="469"/>
      <c r="C31" s="469" t="s">
        <v>639</v>
      </c>
      <c r="D31" s="480">
        <f>'Nonlevelized-EIA 412'!I180</f>
        <v>427258.7333801802</v>
      </c>
      <c r="E31" s="480"/>
      <c r="F31" s="469"/>
      <c r="G31" s="477"/>
      <c r="H31" s="451"/>
    </row>
    <row r="32" spans="1:8" ht="15.75">
      <c r="A32" s="472">
        <v>25</v>
      </c>
      <c r="B32" s="469"/>
      <c r="C32" s="469" t="s">
        <v>640</v>
      </c>
      <c r="D32" s="480">
        <f>'Nonlevelized-EIA 412'!I192</f>
        <v>0</v>
      </c>
      <c r="E32" s="480"/>
      <c r="F32" s="469"/>
      <c r="G32" s="477"/>
      <c r="H32" s="451"/>
    </row>
    <row r="33" spans="1:6" ht="15.75">
      <c r="A33" s="472">
        <v>26</v>
      </c>
      <c r="B33" s="469"/>
      <c r="C33" s="469" t="s">
        <v>641</v>
      </c>
      <c r="D33" s="480">
        <f>'Nonlevelized-EIA 412'!I194</f>
        <v>420155.39000921324</v>
      </c>
      <c r="E33" s="480"/>
      <c r="F33" s="469"/>
    </row>
    <row r="34" spans="1:6" ht="15.75">
      <c r="A34" s="472">
        <v>27</v>
      </c>
      <c r="B34" s="469"/>
      <c r="C34" s="469" t="s">
        <v>642</v>
      </c>
      <c r="D34" s="459">
        <f>'Nonlevelized-EIA 412'!I11</f>
        <v>1639745.7601700192</v>
      </c>
      <c r="E34" s="480"/>
      <c r="F34" s="469"/>
    </row>
    <row r="35" spans="1:6" ht="15.75">
      <c r="A35" s="472">
        <v>28</v>
      </c>
      <c r="B35" s="469"/>
      <c r="C35" s="469"/>
      <c r="D35" s="480">
        <f>D29+D30+D31+D32+D33</f>
        <v>1639745.7601700192</v>
      </c>
      <c r="E35" s="480"/>
      <c r="F35" s="469"/>
    </row>
    <row r="36" spans="1:6" ht="15.75">
      <c r="A36" s="472">
        <v>29</v>
      </c>
      <c r="B36" s="469"/>
      <c r="C36" s="469"/>
      <c r="D36" s="480"/>
      <c r="E36" s="480"/>
      <c r="F36" s="469"/>
    </row>
    <row r="37" spans="1:6" ht="15.75">
      <c r="A37" s="472">
        <v>30</v>
      </c>
      <c r="B37" s="469" t="s">
        <v>643</v>
      </c>
      <c r="C37" s="469"/>
      <c r="D37" s="480"/>
      <c r="E37" s="480"/>
      <c r="F37" s="469"/>
    </row>
    <row r="38" spans="1:6" ht="15.75">
      <c r="A38" s="472">
        <v>31</v>
      </c>
      <c r="B38" s="469"/>
      <c r="C38" s="469" t="s">
        <v>642</v>
      </c>
      <c r="D38" s="480">
        <f>'Nonlevelized-EIA 412'!I11</f>
        <v>1639745.7601700192</v>
      </c>
      <c r="E38" s="480"/>
      <c r="F38" s="469"/>
    </row>
    <row r="39" spans="1:6" ht="15.75">
      <c r="A39" s="472">
        <v>32</v>
      </c>
      <c r="B39" s="469"/>
      <c r="C39" s="469" t="s">
        <v>644</v>
      </c>
      <c r="D39" s="480">
        <f>'Nonlevelized-EIA 412'!I18</f>
        <v>23000</v>
      </c>
      <c r="E39" s="480"/>
      <c r="F39" s="469"/>
    </row>
    <row r="40" spans="1:6" ht="15.75">
      <c r="A40" s="472">
        <v>33</v>
      </c>
      <c r="B40" s="469"/>
      <c r="C40" s="469" t="s">
        <v>660</v>
      </c>
      <c r="D40" s="457">
        <f>'Weighted True-Up'!E18+'Weighted True-Up'!E21</f>
        <v>-26897</v>
      </c>
      <c r="E40" s="480"/>
      <c r="F40" s="469"/>
    </row>
    <row r="41" spans="1:6" ht="15.75">
      <c r="A41" s="472">
        <v>34</v>
      </c>
      <c r="B41" s="469"/>
      <c r="C41" s="469" t="s">
        <v>643</v>
      </c>
      <c r="D41" s="460">
        <f>'Nonlevelized-EIA 412'!I29</f>
        <v>1589848.9401700192</v>
      </c>
      <c r="E41" s="480"/>
      <c r="F41" s="469"/>
    </row>
    <row r="42" spans="1:6" ht="15.75">
      <c r="A42" s="472">
        <v>35</v>
      </c>
      <c r="B42" s="469"/>
      <c r="C42" s="469"/>
      <c r="D42" s="480">
        <f>D38-D39+D40</f>
        <v>1589848.7601700192</v>
      </c>
      <c r="F42" s="469"/>
    </row>
    <row r="43" spans="1:6" ht="15.75">
      <c r="A43" s="472">
        <v>36</v>
      </c>
      <c r="B43" s="469"/>
      <c r="C43" s="469"/>
      <c r="D43" s="443">
        <f>D42-D41</f>
        <v>-0.17999999993480742</v>
      </c>
      <c r="E43" s="465"/>
      <c r="F43" s="469"/>
    </row>
    <row r="44" spans="1:6" ht="15.75">
      <c r="A44" s="472">
        <v>37</v>
      </c>
      <c r="B44" s="469"/>
      <c r="E44" s="480"/>
      <c r="F44" s="469"/>
    </row>
    <row r="45" spans="1:6" ht="15.75">
      <c r="A45" s="472">
        <v>38</v>
      </c>
      <c r="B45" s="469"/>
      <c r="C45" s="469" t="s">
        <v>659</v>
      </c>
      <c r="D45" s="447">
        <v>0.1082</v>
      </c>
      <c r="E45" s="480"/>
      <c r="F45" s="469"/>
    </row>
    <row r="46" spans="1:6" ht="15.75">
      <c r="A46" s="472"/>
      <c r="B46" s="465"/>
      <c r="C46" s="465"/>
      <c r="D46" s="480"/>
      <c r="E46" s="441"/>
      <c r="F46" s="469"/>
    </row>
    <row r="47" spans="1:6" ht="15.75">
      <c r="A47" s="476"/>
      <c r="B47" s="442"/>
      <c r="C47" s="470"/>
      <c r="D47" s="473"/>
      <c r="E47" s="454"/>
      <c r="F47" s="454"/>
    </row>
    <row r="48" spans="1:6" ht="15.75">
      <c r="A48" s="476"/>
      <c r="B48" s="463"/>
      <c r="C48" s="463"/>
      <c r="D48" s="480"/>
      <c r="E48" s="454"/>
      <c r="F48" s="454"/>
    </row>
    <row r="49" spans="1:6" ht="15.75">
      <c r="A49" s="476"/>
      <c r="B49" s="463"/>
      <c r="C49" s="463"/>
      <c r="D49" s="473"/>
      <c r="E49" s="454"/>
      <c r="F49" s="454"/>
    </row>
    <row r="50" spans="1:6" ht="15.75">
      <c r="A50" s="476"/>
      <c r="B50" s="468"/>
      <c r="C50" s="463"/>
      <c r="D50" s="480"/>
      <c r="E50" s="454"/>
      <c r="F50" s="454"/>
    </row>
    <row r="51" spans="1:6" ht="15.75">
      <c r="A51" s="476"/>
      <c r="B51" s="463"/>
      <c r="C51" s="463"/>
      <c r="D51" s="473"/>
      <c r="E51" s="454"/>
      <c r="F51" s="454"/>
    </row>
    <row r="52" spans="1:6" ht="15.75">
      <c r="A52" s="476"/>
      <c r="B52" s="463"/>
      <c r="C52" s="463"/>
      <c r="D52" s="480"/>
      <c r="E52" s="454"/>
      <c r="F52" s="454"/>
    </row>
    <row r="53" spans="1:6" ht="15.75">
      <c r="A53" s="476"/>
      <c r="B53" s="463"/>
      <c r="C53" s="463"/>
      <c r="D53" s="473"/>
      <c r="E53" s="454"/>
      <c r="F53" s="454"/>
    </row>
    <row r="54" spans="1:6" ht="15.75">
      <c r="A54" s="476"/>
      <c r="B54" s="468"/>
      <c r="C54" s="463"/>
      <c r="D54" s="480"/>
      <c r="E54" s="454"/>
      <c r="F54" s="454"/>
    </row>
    <row r="55" spans="1:6" ht="15.75">
      <c r="A55" s="476"/>
      <c r="B55" s="470"/>
      <c r="C55" s="463"/>
      <c r="D55" s="473"/>
      <c r="E55" s="454"/>
      <c r="F55" s="454"/>
    </row>
    <row r="56" spans="1:6" ht="15.75">
      <c r="A56" s="476"/>
      <c r="B56" s="471"/>
      <c r="C56" s="463"/>
      <c r="D56" s="480"/>
      <c r="E56" s="454"/>
      <c r="F56" s="454"/>
    </row>
    <row r="57" spans="1:6" ht="15.75">
      <c r="A57" s="476"/>
      <c r="B57" s="452"/>
      <c r="C57" s="463"/>
      <c r="D57" s="473"/>
      <c r="E57" s="454"/>
      <c r="F57" s="454"/>
    </row>
    <row r="58" spans="1:6" ht="15.75">
      <c r="A58" s="476"/>
      <c r="B58" s="452"/>
      <c r="C58" s="463"/>
      <c r="D58" s="480"/>
      <c r="E58" s="454"/>
      <c r="F58" s="454"/>
    </row>
    <row r="59" spans="1:6" ht="15.75">
      <c r="A59" s="476"/>
      <c r="B59" s="452"/>
      <c r="C59" s="463"/>
      <c r="D59" s="473"/>
      <c r="E59" s="454"/>
      <c r="F59" s="454"/>
    </row>
    <row r="60" spans="1:6" ht="15.75">
      <c r="A60" s="476"/>
      <c r="B60" s="452"/>
      <c r="C60" s="463"/>
      <c r="D60" s="480"/>
      <c r="E60" s="454"/>
      <c r="F60" s="454"/>
    </row>
    <row r="61" spans="1:6" ht="15.75">
      <c r="A61" s="476"/>
      <c r="B61" s="471"/>
      <c r="C61" s="463"/>
      <c r="D61" s="473"/>
      <c r="E61" s="454"/>
      <c r="F61" s="454"/>
    </row>
    <row r="62" spans="1:6" ht="15.75">
      <c r="A62" s="474"/>
      <c r="B62" s="465"/>
      <c r="C62" s="463"/>
      <c r="D62" s="480"/>
      <c r="E62" s="454"/>
      <c r="F62" s="454"/>
    </row>
    <row r="63" spans="1:6" ht="15.75">
      <c r="C63" s="463"/>
      <c r="D63" s="473"/>
      <c r="E63" s="454"/>
      <c r="F63" s="45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workbookViewId="0">
      <selection activeCell="H48" sqref="H48"/>
    </sheetView>
  </sheetViews>
  <sheetFormatPr defaultRowHeight="15"/>
  <cols>
    <col min="3" max="3" width="15.77734375" customWidth="1"/>
    <col min="5" max="5" width="9.88671875" bestFit="1" customWidth="1"/>
    <col min="9" max="9" width="11.77734375" customWidth="1"/>
  </cols>
  <sheetData>
    <row r="1" spans="1:16" s="174" customFormat="1" ht="18.75">
      <c r="A1" s="568" t="s">
        <v>330</v>
      </c>
      <c r="B1" s="568"/>
      <c r="C1" s="568"/>
      <c r="D1" s="568"/>
      <c r="E1" s="568"/>
      <c r="F1" s="568"/>
      <c r="G1" s="202"/>
    </row>
    <row r="2" spans="1:16" s="174" customFormat="1" ht="18.75">
      <c r="A2" s="568" t="s">
        <v>332</v>
      </c>
      <c r="B2" s="568"/>
      <c r="C2" s="568"/>
      <c r="D2" s="568"/>
      <c r="E2" s="568"/>
      <c r="F2" s="568"/>
    </row>
    <row r="3" spans="1:16" s="174" customFormat="1" ht="18.75">
      <c r="A3" s="568" t="s">
        <v>579</v>
      </c>
      <c r="B3" s="568"/>
      <c r="C3" s="568"/>
      <c r="D3" s="568"/>
      <c r="E3" s="568"/>
      <c r="F3" s="568"/>
    </row>
    <row r="4" spans="1:16" s="174" customFormat="1" ht="18.75">
      <c r="A4" s="569">
        <f>Coversheet!E7</f>
        <v>43465</v>
      </c>
      <c r="B4" s="569"/>
      <c r="C4" s="569"/>
      <c r="D4" s="569"/>
      <c r="E4" s="569"/>
      <c r="F4" s="569"/>
    </row>
    <row r="5" spans="1:16" s="175" customFormat="1" ht="18.75">
      <c r="A5" s="176"/>
      <c r="B5" s="176"/>
      <c r="C5" s="176"/>
      <c r="D5" s="176"/>
      <c r="E5" s="176"/>
      <c r="F5" s="176"/>
    </row>
    <row r="6" spans="1:16" ht="15.75">
      <c r="B6" s="79" t="s">
        <v>614</v>
      </c>
      <c r="C6" s="79"/>
      <c r="D6" s="79"/>
      <c r="E6" s="42">
        <f>Coversheet!F5</f>
        <v>2018</v>
      </c>
      <c r="F6" s="78"/>
      <c r="G6" s="78"/>
      <c r="H6" s="78"/>
      <c r="I6" s="78"/>
      <c r="J6" s="78"/>
    </row>
    <row r="7" spans="1:16" ht="15.75">
      <c r="B7" s="79"/>
      <c r="C7" s="79"/>
      <c r="D7" s="79"/>
      <c r="E7" s="79"/>
      <c r="F7" s="78"/>
      <c r="J7" s="78"/>
    </row>
    <row r="8" spans="1:16" ht="21">
      <c r="B8" s="80" t="s">
        <v>352</v>
      </c>
      <c r="C8" s="80" t="s">
        <v>353</v>
      </c>
      <c r="D8" s="80" t="s">
        <v>354</v>
      </c>
      <c r="E8" s="80" t="s">
        <v>377</v>
      </c>
      <c r="F8" s="81"/>
      <c r="J8" s="571"/>
      <c r="K8" s="571"/>
      <c r="L8" s="571"/>
      <c r="M8" s="571"/>
      <c r="N8" s="571"/>
      <c r="O8" s="571"/>
      <c r="P8" s="571"/>
    </row>
    <row r="9" spans="1:16" ht="15.75">
      <c r="B9" s="82">
        <v>1</v>
      </c>
      <c r="C9" s="219" t="s">
        <v>357</v>
      </c>
      <c r="D9" s="41">
        <f>E6</f>
        <v>2018</v>
      </c>
      <c r="E9" s="433">
        <v>43620</v>
      </c>
      <c r="F9" s="78"/>
      <c r="J9" s="432"/>
      <c r="K9" s="432"/>
      <c r="L9" s="432"/>
      <c r="M9" s="432"/>
      <c r="N9" s="432"/>
      <c r="O9" s="432"/>
      <c r="P9" s="432"/>
    </row>
    <row r="10" spans="1:16" ht="15.75">
      <c r="B10" s="82">
        <v>2</v>
      </c>
      <c r="C10" s="220" t="s">
        <v>358</v>
      </c>
      <c r="D10" s="41">
        <f>D9</f>
        <v>2018</v>
      </c>
      <c r="E10" s="433">
        <v>37420</v>
      </c>
      <c r="F10" s="78"/>
      <c r="J10" s="434"/>
      <c r="K10" s="434"/>
      <c r="L10" s="434"/>
      <c r="M10" s="434"/>
      <c r="N10" s="432"/>
      <c r="O10" s="432"/>
      <c r="P10" s="432"/>
    </row>
    <row r="11" spans="1:16" ht="15.75">
      <c r="B11" s="82">
        <v>3</v>
      </c>
      <c r="C11" s="220" t="s">
        <v>359</v>
      </c>
      <c r="D11" s="41">
        <f>D10</f>
        <v>2018</v>
      </c>
      <c r="E11" s="433">
        <v>39960</v>
      </c>
      <c r="F11" s="78"/>
      <c r="J11" s="432"/>
      <c r="K11" s="570"/>
      <c r="L11" s="570"/>
      <c r="M11" s="570"/>
      <c r="N11" s="570"/>
      <c r="O11" s="570"/>
      <c r="P11" s="570"/>
    </row>
    <row r="12" spans="1:16" ht="15.75">
      <c r="B12" s="82">
        <v>4</v>
      </c>
      <c r="C12" s="220" t="s">
        <v>360</v>
      </c>
      <c r="D12" s="41">
        <f t="shared" ref="D12:D20" si="0">D11</f>
        <v>2018</v>
      </c>
      <c r="E12" s="433">
        <v>32870</v>
      </c>
      <c r="F12" s="78"/>
      <c r="J12" s="431"/>
      <c r="K12" s="430"/>
      <c r="L12" s="431"/>
      <c r="M12" s="431"/>
      <c r="N12" s="431"/>
      <c r="O12" s="437"/>
      <c r="P12" s="437"/>
    </row>
    <row r="13" spans="1:16" ht="15.75">
      <c r="B13" s="82">
        <v>5</v>
      </c>
      <c r="C13" s="220" t="s">
        <v>361</v>
      </c>
      <c r="D13" s="41">
        <f t="shared" si="0"/>
        <v>2018</v>
      </c>
      <c r="E13" s="433">
        <v>35530</v>
      </c>
      <c r="F13" s="78"/>
      <c r="J13" s="431"/>
      <c r="K13" s="430"/>
      <c r="L13" s="431"/>
      <c r="M13" s="431"/>
      <c r="N13" s="431"/>
      <c r="O13" s="437"/>
      <c r="P13" s="437"/>
    </row>
    <row r="14" spans="1:16" ht="15.75">
      <c r="B14" s="82">
        <v>6</v>
      </c>
      <c r="C14" s="220" t="s">
        <v>362</v>
      </c>
      <c r="D14" s="41">
        <f t="shared" si="0"/>
        <v>2018</v>
      </c>
      <c r="E14" s="433">
        <v>45540</v>
      </c>
      <c r="F14" s="78"/>
      <c r="J14" s="431"/>
      <c r="K14" s="430"/>
      <c r="L14" s="431"/>
      <c r="M14" s="431"/>
      <c r="N14" s="431"/>
      <c r="O14" s="437"/>
      <c r="P14" s="437"/>
    </row>
    <row r="15" spans="1:16" ht="15.75">
      <c r="B15" s="82">
        <v>7</v>
      </c>
      <c r="C15" s="220" t="s">
        <v>363</v>
      </c>
      <c r="D15" s="41">
        <f t="shared" si="0"/>
        <v>2018</v>
      </c>
      <c r="E15" s="433">
        <v>50220</v>
      </c>
      <c r="F15" s="78"/>
      <c r="J15" s="431"/>
      <c r="K15" s="430"/>
      <c r="L15" s="431"/>
      <c r="M15" s="431"/>
      <c r="N15" s="431"/>
      <c r="O15" s="437"/>
      <c r="P15" s="437"/>
    </row>
    <row r="16" spans="1:16" ht="15.75">
      <c r="B16" s="82">
        <v>8</v>
      </c>
      <c r="C16" s="220" t="s">
        <v>364</v>
      </c>
      <c r="D16" s="41">
        <f t="shared" si="0"/>
        <v>2018</v>
      </c>
      <c r="E16" s="433">
        <v>55830</v>
      </c>
      <c r="F16" s="78"/>
      <c r="J16" s="431"/>
      <c r="K16" s="430"/>
      <c r="L16" s="431"/>
      <c r="M16" s="431"/>
      <c r="N16" s="431"/>
      <c r="O16" s="437"/>
      <c r="P16" s="437"/>
    </row>
    <row r="17" spans="2:16" ht="15.75">
      <c r="B17" s="82">
        <v>9</v>
      </c>
      <c r="C17" s="220" t="s">
        <v>365</v>
      </c>
      <c r="D17" s="41">
        <f t="shared" si="0"/>
        <v>2018</v>
      </c>
      <c r="E17" s="433">
        <v>45850</v>
      </c>
      <c r="F17" s="78"/>
      <c r="J17" s="431"/>
      <c r="K17" s="430"/>
      <c r="L17" s="431"/>
      <c r="M17" s="431"/>
      <c r="N17" s="431"/>
      <c r="O17" s="437"/>
      <c r="P17" s="437"/>
    </row>
    <row r="18" spans="2:16" ht="15.75">
      <c r="B18" s="82">
        <v>10</v>
      </c>
      <c r="C18" s="220" t="s">
        <v>366</v>
      </c>
      <c r="D18" s="41">
        <f t="shared" si="0"/>
        <v>2018</v>
      </c>
      <c r="E18" s="433">
        <v>36490</v>
      </c>
      <c r="F18" s="78"/>
      <c r="J18" s="431"/>
      <c r="K18" s="430"/>
      <c r="L18" s="431"/>
      <c r="M18" s="431"/>
      <c r="N18" s="431"/>
      <c r="O18" s="437"/>
      <c r="P18" s="437"/>
    </row>
    <row r="19" spans="2:16" ht="15.75">
      <c r="B19" s="82">
        <v>11</v>
      </c>
      <c r="C19" s="220" t="s">
        <v>367</v>
      </c>
      <c r="D19" s="41">
        <f t="shared" si="0"/>
        <v>2018</v>
      </c>
      <c r="E19" s="433">
        <v>38570</v>
      </c>
      <c r="F19" s="78"/>
      <c r="J19" s="431"/>
      <c r="K19" s="429"/>
      <c r="L19" s="431"/>
      <c r="M19" s="431"/>
      <c r="N19" s="431"/>
      <c r="O19" s="437"/>
      <c r="P19" s="437"/>
    </row>
    <row r="20" spans="2:16" ht="15.75">
      <c r="B20" s="82">
        <v>12</v>
      </c>
      <c r="C20" s="220" t="s">
        <v>356</v>
      </c>
      <c r="D20" s="41">
        <f t="shared" si="0"/>
        <v>2018</v>
      </c>
      <c r="E20" s="433">
        <v>42940</v>
      </c>
      <c r="F20" s="78"/>
      <c r="J20" s="431"/>
      <c r="K20" s="429"/>
      <c r="L20" s="431"/>
      <c r="M20" s="431"/>
      <c r="N20" s="431"/>
      <c r="O20" s="437"/>
      <c r="P20" s="437"/>
    </row>
    <row r="21" spans="2:16" ht="15.75">
      <c r="B21" s="82">
        <v>13</v>
      </c>
      <c r="C21" s="78"/>
      <c r="D21" s="41"/>
      <c r="E21" s="191"/>
      <c r="F21" s="78"/>
      <c r="J21" s="431"/>
      <c r="K21" s="429"/>
      <c r="L21" s="431"/>
      <c r="M21" s="431"/>
      <c r="N21" s="431"/>
      <c r="O21" s="437"/>
      <c r="P21" s="437"/>
    </row>
    <row r="22" spans="2:16" ht="17.25">
      <c r="B22" s="82">
        <v>14</v>
      </c>
      <c r="D22" s="179" t="s">
        <v>379</v>
      </c>
      <c r="E22" s="83">
        <f>AVERAGE(E9:E20)</f>
        <v>42070</v>
      </c>
      <c r="F22" s="84" t="s">
        <v>381</v>
      </c>
      <c r="J22" s="431"/>
      <c r="K22" s="429"/>
      <c r="L22" s="431"/>
      <c r="M22" s="431"/>
      <c r="N22" s="431"/>
      <c r="O22" s="437"/>
      <c r="P22" s="437"/>
    </row>
    <row r="23" spans="2:16" ht="15.75">
      <c r="B23" s="78"/>
      <c r="C23" s="78"/>
      <c r="D23" s="78"/>
      <c r="E23" s="78"/>
      <c r="F23" s="202"/>
      <c r="J23" s="431"/>
      <c r="K23" s="429"/>
      <c r="L23" s="431"/>
      <c r="M23" s="431"/>
      <c r="N23" s="431"/>
      <c r="O23" s="437"/>
      <c r="P23" s="437"/>
    </row>
    <row r="24" spans="2:16" ht="15.75">
      <c r="B24" s="78"/>
      <c r="C24" s="78"/>
      <c r="D24" s="78"/>
      <c r="F24" s="78"/>
      <c r="G24" s="78"/>
      <c r="H24" s="78"/>
      <c r="J24" s="428"/>
      <c r="K24" s="427"/>
      <c r="L24" s="437"/>
      <c r="M24" s="427"/>
      <c r="N24" s="437"/>
      <c r="O24" s="437"/>
      <c r="P24" s="437"/>
    </row>
    <row r="25" spans="2:16" ht="15.75">
      <c r="B25" s="94" t="s">
        <v>352</v>
      </c>
      <c r="C25" s="221" t="s">
        <v>376</v>
      </c>
      <c r="D25" s="421"/>
      <c r="E25" s="221" t="s">
        <v>378</v>
      </c>
      <c r="F25" s="78"/>
      <c r="G25" s="78"/>
      <c r="H25" s="78"/>
      <c r="J25" s="431"/>
      <c r="K25" s="427"/>
      <c r="L25" s="437"/>
      <c r="M25" s="427"/>
      <c r="N25" s="437"/>
      <c r="O25" s="437"/>
      <c r="P25" s="437"/>
    </row>
    <row r="26" spans="2:16" ht="15.75">
      <c r="B26" s="422">
        <v>18</v>
      </c>
      <c r="C26" s="219" t="s">
        <v>357</v>
      </c>
      <c r="D26" s="85">
        <v>2018</v>
      </c>
      <c r="E26" s="436">
        <v>5000</v>
      </c>
      <c r="F26" s="78"/>
      <c r="G26" s="78"/>
      <c r="H26" s="78"/>
      <c r="J26" s="432"/>
      <c r="K26" s="432"/>
      <c r="L26" s="432"/>
      <c r="M26" s="432"/>
      <c r="N26" s="432"/>
      <c r="O26" s="432"/>
      <c r="P26" s="432"/>
    </row>
    <row r="27" spans="2:16" ht="15.75">
      <c r="B27" s="422">
        <v>19</v>
      </c>
      <c r="C27" s="220" t="s">
        <v>358</v>
      </c>
      <c r="D27" s="85">
        <v>2018</v>
      </c>
      <c r="E27" s="436">
        <v>5000</v>
      </c>
      <c r="J27" s="432"/>
      <c r="K27" s="432"/>
      <c r="L27" s="432"/>
      <c r="M27" s="432"/>
      <c r="N27" s="432"/>
      <c r="O27" s="432"/>
      <c r="P27" s="426"/>
    </row>
    <row r="28" spans="2:16" ht="15.75">
      <c r="B28" s="422">
        <v>20</v>
      </c>
      <c r="C28" s="220" t="s">
        <v>359</v>
      </c>
      <c r="D28" s="85">
        <v>2018</v>
      </c>
      <c r="E28" s="436">
        <v>5000</v>
      </c>
      <c r="J28" s="432"/>
      <c r="K28" s="437"/>
      <c r="L28" s="423"/>
      <c r="M28" s="423"/>
      <c r="N28" s="432"/>
      <c r="O28" s="432"/>
      <c r="P28" s="437"/>
    </row>
    <row r="29" spans="2:16" ht="15.75">
      <c r="B29" s="422">
        <v>21</v>
      </c>
      <c r="C29" s="220" t="s">
        <v>360</v>
      </c>
      <c r="D29" s="85">
        <v>2018</v>
      </c>
      <c r="E29" s="436">
        <v>4000</v>
      </c>
      <c r="J29" s="432"/>
      <c r="K29" s="425"/>
      <c r="L29" s="423"/>
      <c r="M29" s="423"/>
      <c r="N29" s="432"/>
      <c r="O29" s="432"/>
      <c r="P29" s="425"/>
    </row>
    <row r="30" spans="2:16" ht="15.75">
      <c r="B30" s="422">
        <v>22</v>
      </c>
      <c r="C30" s="220" t="s">
        <v>361</v>
      </c>
      <c r="D30" s="85">
        <v>2018</v>
      </c>
      <c r="E30" s="436">
        <v>5000</v>
      </c>
      <c r="J30" s="432"/>
      <c r="K30" s="424"/>
      <c r="L30" s="423"/>
      <c r="M30" s="423"/>
      <c r="N30" s="432"/>
      <c r="O30" s="432"/>
      <c r="P30" s="424"/>
    </row>
    <row r="31" spans="2:16" ht="15.75">
      <c r="B31" s="422">
        <v>23</v>
      </c>
      <c r="C31" s="220" t="s">
        <v>362</v>
      </c>
      <c r="D31" s="85">
        <v>2018</v>
      </c>
      <c r="E31" s="436">
        <v>4000</v>
      </c>
    </row>
    <row r="32" spans="2:16" ht="15.75">
      <c r="B32" s="422">
        <v>24</v>
      </c>
      <c r="C32" s="220" t="s">
        <v>363</v>
      </c>
      <c r="D32" s="85">
        <v>2018</v>
      </c>
      <c r="E32" s="436">
        <v>5000</v>
      </c>
    </row>
    <row r="33" spans="2:6" ht="15.75">
      <c r="B33" s="422">
        <v>25</v>
      </c>
      <c r="C33" s="220" t="s">
        <v>364</v>
      </c>
      <c r="D33" s="85">
        <v>2018</v>
      </c>
      <c r="E33" s="436">
        <v>5000</v>
      </c>
    </row>
    <row r="34" spans="2:6" ht="15.75">
      <c r="B34" s="422">
        <v>26</v>
      </c>
      <c r="C34" s="220" t="s">
        <v>365</v>
      </c>
      <c r="D34" s="85">
        <v>2018</v>
      </c>
      <c r="E34" s="436">
        <v>5000</v>
      </c>
    </row>
    <row r="35" spans="2:6" ht="15.75">
      <c r="B35" s="422">
        <v>27</v>
      </c>
      <c r="C35" s="220" t="s">
        <v>366</v>
      </c>
      <c r="D35" s="85">
        <v>2018</v>
      </c>
      <c r="E35" s="436">
        <v>4000</v>
      </c>
    </row>
    <row r="36" spans="2:6" ht="15.75">
      <c r="B36" s="422">
        <v>28</v>
      </c>
      <c r="C36" s="220" t="s">
        <v>367</v>
      </c>
      <c r="D36" s="85">
        <v>2018</v>
      </c>
      <c r="E36" s="436">
        <v>5000</v>
      </c>
    </row>
    <row r="37" spans="2:6" ht="15.75">
      <c r="B37" s="422">
        <v>29</v>
      </c>
      <c r="C37" s="220" t="s">
        <v>356</v>
      </c>
      <c r="D37" s="85">
        <v>2018</v>
      </c>
      <c r="E37" s="435">
        <v>5000</v>
      </c>
    </row>
    <row r="38" spans="2:6" ht="15.75">
      <c r="B38" s="422">
        <v>30</v>
      </c>
      <c r="E38" s="202"/>
    </row>
    <row r="39" spans="2:6" ht="17.25">
      <c r="B39" s="422">
        <v>31</v>
      </c>
      <c r="D39" s="179" t="s">
        <v>379</v>
      </c>
      <c r="E39" s="83">
        <f>AVERAGE(E26:E37)</f>
        <v>4750</v>
      </c>
      <c r="F39" s="84" t="s">
        <v>616</v>
      </c>
    </row>
    <row r="40" spans="2:6" ht="15.75">
      <c r="B40" s="422">
        <v>32</v>
      </c>
      <c r="C40" s="78"/>
      <c r="D40" s="78"/>
    </row>
    <row r="41" spans="2:6" ht="16.5" thickBot="1">
      <c r="B41" s="422">
        <v>33</v>
      </c>
      <c r="D41" s="419" t="s">
        <v>615</v>
      </c>
      <c r="E41" s="418">
        <f>E22-E39</f>
        <v>37320</v>
      </c>
      <c r="F41" s="84" t="s">
        <v>617</v>
      </c>
    </row>
    <row r="42" spans="2:6" ht="16.5" thickTop="1">
      <c r="B42" s="422">
        <v>34</v>
      </c>
    </row>
    <row r="43" spans="2:6" ht="15.75">
      <c r="B43" s="422">
        <v>35</v>
      </c>
    </row>
    <row r="44" spans="2:6" ht="15.75">
      <c r="B44" s="422">
        <v>36</v>
      </c>
      <c r="C44" s="420" t="s">
        <v>380</v>
      </c>
    </row>
  </sheetData>
  <mergeCells count="8">
    <mergeCell ref="A1:F1"/>
    <mergeCell ref="A2:F2"/>
    <mergeCell ref="A3:F3"/>
    <mergeCell ref="A4:F4"/>
    <mergeCell ref="O11:P11"/>
    <mergeCell ref="K11:L11"/>
    <mergeCell ref="M11:N11"/>
    <mergeCell ref="J8:P8"/>
  </mergeCells>
  <pageMargins left="0.7" right="0.7" top="0.75" bottom="0.75" header="0.3" footer="0.3"/>
  <pageSetup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selection activeCell="F41" sqref="F41"/>
    </sheetView>
  </sheetViews>
  <sheetFormatPr defaultRowHeight="15"/>
  <cols>
    <col min="1" max="1" width="1.109375" customWidth="1"/>
    <col min="3" max="3" width="21.6640625" customWidth="1"/>
    <col min="4" max="4" width="6.21875" customWidth="1"/>
    <col min="5" max="5" width="14.109375" customWidth="1"/>
    <col min="6" max="10" width="12.44140625" customWidth="1"/>
    <col min="11" max="11" width="14.5546875" customWidth="1"/>
    <col min="13" max="13" width="9.88671875" bestFit="1" customWidth="1"/>
    <col min="14" max="14" width="10.6640625" customWidth="1"/>
    <col min="15" max="15" width="9.33203125" bestFit="1" customWidth="1"/>
    <col min="16" max="18" width="9" bestFit="1" customWidth="1"/>
    <col min="19" max="19" width="9.33203125" bestFit="1" customWidth="1"/>
  </cols>
  <sheetData>
    <row r="1" spans="1:20" ht="18.75">
      <c r="A1" s="568" t="s">
        <v>330</v>
      </c>
      <c r="B1" s="568"/>
      <c r="C1" s="568"/>
      <c r="D1" s="568"/>
      <c r="E1" s="568"/>
      <c r="F1" s="568"/>
      <c r="G1" s="568"/>
      <c r="H1" s="568"/>
      <c r="I1" s="568"/>
      <c r="J1" s="568"/>
      <c r="K1" s="568"/>
    </row>
    <row r="2" spans="1:20" ht="18.75">
      <c r="A2" s="568" t="s">
        <v>332</v>
      </c>
      <c r="B2" s="568"/>
      <c r="C2" s="568"/>
      <c r="D2" s="568"/>
      <c r="E2" s="568"/>
      <c r="F2" s="568"/>
      <c r="G2" s="568"/>
      <c r="H2" s="568"/>
      <c r="I2" s="568"/>
      <c r="J2" s="568"/>
      <c r="K2" s="568"/>
    </row>
    <row r="3" spans="1:20" ht="18.75">
      <c r="A3" s="568" t="s">
        <v>578</v>
      </c>
      <c r="B3" s="568"/>
      <c r="C3" s="568"/>
      <c r="D3" s="568"/>
      <c r="E3" s="568"/>
      <c r="F3" s="568"/>
      <c r="G3" s="568"/>
      <c r="H3" s="568"/>
      <c r="I3" s="568"/>
      <c r="J3" s="568"/>
      <c r="K3" s="568"/>
    </row>
    <row r="4" spans="1:20" ht="18.75">
      <c r="A4" s="569">
        <v>43465</v>
      </c>
      <c r="B4" s="569"/>
      <c r="C4" s="569"/>
      <c r="D4" s="569"/>
      <c r="E4" s="569"/>
      <c r="F4" s="569"/>
      <c r="G4" s="569"/>
      <c r="H4" s="569"/>
      <c r="I4" s="569"/>
      <c r="J4" s="569"/>
      <c r="K4" s="569"/>
    </row>
    <row r="5" spans="1:20" ht="15.75">
      <c r="A5" s="90"/>
      <c r="B5" s="91"/>
      <c r="C5" s="91"/>
      <c r="D5" s="91"/>
      <c r="E5" s="91"/>
      <c r="F5" s="91"/>
      <c r="G5" s="91"/>
      <c r="H5" s="91"/>
      <c r="I5" s="91"/>
      <c r="J5" s="91"/>
      <c r="K5" s="91"/>
    </row>
    <row r="6" spans="1:20" ht="15.75">
      <c r="A6" s="90"/>
      <c r="B6" s="91"/>
      <c r="C6" s="92" t="s">
        <v>618</v>
      </c>
      <c r="E6" s="139"/>
      <c r="F6" s="91"/>
      <c r="G6" s="91"/>
      <c r="H6" s="91"/>
      <c r="I6" s="90"/>
      <c r="J6" s="90"/>
      <c r="K6" s="91"/>
    </row>
    <row r="7" spans="1:20" ht="15.75">
      <c r="A7" s="90"/>
      <c r="B7" s="91"/>
      <c r="C7" s="91"/>
      <c r="D7" s="91"/>
      <c r="E7" s="93"/>
      <c r="F7" s="90"/>
      <c r="G7" s="90"/>
      <c r="H7" s="90"/>
      <c r="I7" s="90"/>
      <c r="J7" s="90"/>
      <c r="K7" s="91"/>
    </row>
    <row r="8" spans="1:20" ht="30">
      <c r="A8" s="95"/>
      <c r="B8" s="94" t="s">
        <v>352</v>
      </c>
      <c r="C8" s="94" t="s">
        <v>382</v>
      </c>
      <c r="D8" s="94" t="s">
        <v>354</v>
      </c>
      <c r="E8" s="94" t="s">
        <v>383</v>
      </c>
      <c r="F8" s="94" t="s">
        <v>45</v>
      </c>
      <c r="G8" s="94" t="s">
        <v>384</v>
      </c>
      <c r="H8" s="94" t="s">
        <v>385</v>
      </c>
      <c r="I8" s="94" t="s">
        <v>386</v>
      </c>
      <c r="J8" s="94" t="s">
        <v>387</v>
      </c>
      <c r="K8" s="94" t="s">
        <v>388</v>
      </c>
      <c r="M8" s="195"/>
      <c r="N8" s="195"/>
      <c r="O8" s="195"/>
      <c r="P8" s="195"/>
      <c r="Q8" s="195"/>
      <c r="R8" s="195"/>
      <c r="S8" s="195"/>
    </row>
    <row r="9" spans="1:20">
      <c r="A9" s="95"/>
      <c r="B9" s="96">
        <v>1</v>
      </c>
      <c r="C9" s="100" t="s">
        <v>356</v>
      </c>
      <c r="D9" s="46">
        <f>$E$6-1</f>
        <v>-1</v>
      </c>
      <c r="E9" s="101">
        <f>21682396.66+30900</f>
        <v>21713296.66</v>
      </c>
      <c r="F9" s="101">
        <f t="shared" ref="F9:F20" si="0">14051838.03</f>
        <v>14051838.029999999</v>
      </c>
      <c r="G9" s="101">
        <f>23542860.41+1187224</f>
        <v>24730084.41</v>
      </c>
      <c r="H9" s="101">
        <f>5402548.24+55000+326100</f>
        <v>5783648.2400000002</v>
      </c>
      <c r="I9" s="101">
        <v>0</v>
      </c>
      <c r="J9" s="101">
        <v>0</v>
      </c>
      <c r="K9" s="102">
        <f>SUM(E9:J9)</f>
        <v>66278867.339999996</v>
      </c>
      <c r="L9" s="200"/>
      <c r="M9" s="198"/>
      <c r="N9" s="198"/>
      <c r="O9" s="198"/>
      <c r="P9" s="198"/>
      <c r="Q9" s="197"/>
      <c r="R9" s="197"/>
      <c r="S9" s="197"/>
      <c r="T9" s="199"/>
    </row>
    <row r="10" spans="1:20">
      <c r="A10" s="90"/>
      <c r="B10" s="96">
        <v>2</v>
      </c>
      <c r="C10" s="97" t="s">
        <v>357</v>
      </c>
      <c r="D10" s="41">
        <f>$E$6</f>
        <v>0</v>
      </c>
      <c r="E10" s="101">
        <f t="shared" ref="E10:E21" si="1">21682396.66+30900</f>
        <v>21713296.66</v>
      </c>
      <c r="F10" s="101">
        <f t="shared" si="0"/>
        <v>14051838.029999999</v>
      </c>
      <c r="G10" s="101">
        <f t="shared" ref="G10:G20" si="2">23542860.41+1187224</f>
        <v>24730084.41</v>
      </c>
      <c r="H10" s="101">
        <f t="shared" ref="H10:H20" si="3">5402548.24+55000+326100</f>
        <v>5783648.2400000002</v>
      </c>
      <c r="I10" s="101">
        <v>0</v>
      </c>
      <c r="J10" s="101">
        <v>0</v>
      </c>
      <c r="K10" s="102">
        <f t="shared" ref="K10:K21" si="4">SUM(E10:J10)</f>
        <v>66278867.339999996</v>
      </c>
      <c r="M10" s="198"/>
      <c r="N10" s="198"/>
      <c r="O10" s="198"/>
      <c r="P10" s="198"/>
      <c r="Q10" s="197"/>
      <c r="R10" s="197"/>
      <c r="S10" s="197"/>
    </row>
    <row r="11" spans="1:20" ht="15.75">
      <c r="A11" s="90"/>
      <c r="B11" s="96">
        <v>3</v>
      </c>
      <c r="C11" s="98" t="s">
        <v>358</v>
      </c>
      <c r="D11" s="41">
        <f t="shared" ref="D11:D21" si="5">$E$6</f>
        <v>0</v>
      </c>
      <c r="E11" s="101">
        <f t="shared" si="1"/>
        <v>21713296.66</v>
      </c>
      <c r="F11" s="101">
        <f t="shared" si="0"/>
        <v>14051838.029999999</v>
      </c>
      <c r="G11" s="101">
        <f t="shared" si="2"/>
        <v>24730084.41</v>
      </c>
      <c r="H11" s="101">
        <f t="shared" si="3"/>
        <v>5783648.2400000002</v>
      </c>
      <c r="I11" s="101">
        <v>0</v>
      </c>
      <c r="J11" s="101">
        <v>0</v>
      </c>
      <c r="K11" s="102">
        <f t="shared" si="4"/>
        <v>66278867.339999996</v>
      </c>
      <c r="M11" s="198"/>
      <c r="N11" s="198"/>
      <c r="O11" s="198"/>
      <c r="P11" s="198"/>
      <c r="Q11" s="197"/>
      <c r="R11" s="197"/>
      <c r="S11" s="197"/>
    </row>
    <row r="12" spans="1:20" ht="15.75">
      <c r="A12" s="90"/>
      <c r="B12" s="96">
        <v>4</v>
      </c>
      <c r="C12" s="98" t="s">
        <v>359</v>
      </c>
      <c r="D12" s="41">
        <f t="shared" si="5"/>
        <v>0</v>
      </c>
      <c r="E12" s="101">
        <f t="shared" si="1"/>
        <v>21713296.66</v>
      </c>
      <c r="F12" s="101">
        <f t="shared" si="0"/>
        <v>14051838.029999999</v>
      </c>
      <c r="G12" s="101">
        <f t="shared" si="2"/>
        <v>24730084.41</v>
      </c>
      <c r="H12" s="101">
        <f t="shared" si="3"/>
        <v>5783648.2400000002</v>
      </c>
      <c r="I12" s="101">
        <v>0</v>
      </c>
      <c r="J12" s="101">
        <v>0</v>
      </c>
      <c r="K12" s="102">
        <f t="shared" si="4"/>
        <v>66278867.339999996</v>
      </c>
      <c r="M12" s="198"/>
      <c r="N12" s="198"/>
      <c r="O12" s="198"/>
      <c r="P12" s="198"/>
      <c r="Q12" s="197"/>
      <c r="R12" s="197"/>
      <c r="S12" s="197"/>
    </row>
    <row r="13" spans="1:20" ht="15.75">
      <c r="A13" s="90"/>
      <c r="B13" s="96">
        <v>5</v>
      </c>
      <c r="C13" s="98" t="s">
        <v>360</v>
      </c>
      <c r="D13" s="41">
        <f t="shared" si="5"/>
        <v>0</v>
      </c>
      <c r="E13" s="101">
        <f t="shared" si="1"/>
        <v>21713296.66</v>
      </c>
      <c r="F13" s="101">
        <f t="shared" si="0"/>
        <v>14051838.029999999</v>
      </c>
      <c r="G13" s="101">
        <f t="shared" si="2"/>
        <v>24730084.41</v>
      </c>
      <c r="H13" s="101">
        <f t="shared" si="3"/>
        <v>5783648.2400000002</v>
      </c>
      <c r="I13" s="101">
        <v>0</v>
      </c>
      <c r="J13" s="101">
        <v>0</v>
      </c>
      <c r="K13" s="102">
        <f t="shared" si="4"/>
        <v>66278867.339999996</v>
      </c>
      <c r="M13" s="198"/>
      <c r="N13" s="198"/>
      <c r="O13" s="198"/>
      <c r="P13" s="198"/>
      <c r="Q13" s="197"/>
      <c r="R13" s="197"/>
      <c r="S13" s="197"/>
    </row>
    <row r="14" spans="1:20" ht="15.75">
      <c r="A14" s="90"/>
      <c r="B14" s="96">
        <v>6</v>
      </c>
      <c r="C14" s="98" t="s">
        <v>361</v>
      </c>
      <c r="D14" s="41">
        <f t="shared" si="5"/>
        <v>0</v>
      </c>
      <c r="E14" s="101">
        <f t="shared" si="1"/>
        <v>21713296.66</v>
      </c>
      <c r="F14" s="101">
        <f t="shared" si="0"/>
        <v>14051838.029999999</v>
      </c>
      <c r="G14" s="101">
        <f t="shared" si="2"/>
        <v>24730084.41</v>
      </c>
      <c r="H14" s="101">
        <f t="shared" si="3"/>
        <v>5783648.2400000002</v>
      </c>
      <c r="I14" s="101">
        <v>0</v>
      </c>
      <c r="J14" s="101">
        <v>0</v>
      </c>
      <c r="K14" s="102">
        <f t="shared" si="4"/>
        <v>66278867.339999996</v>
      </c>
      <c r="M14" s="198"/>
      <c r="N14" s="198"/>
      <c r="O14" s="198"/>
      <c r="P14" s="198"/>
      <c r="Q14" s="197"/>
      <c r="R14" s="197"/>
      <c r="S14" s="197"/>
    </row>
    <row r="15" spans="1:20" ht="15.75">
      <c r="A15" s="90"/>
      <c r="B15" s="96">
        <v>7</v>
      </c>
      <c r="C15" s="98" t="s">
        <v>362</v>
      </c>
      <c r="D15" s="41">
        <f t="shared" si="5"/>
        <v>0</v>
      </c>
      <c r="E15" s="101">
        <f t="shared" si="1"/>
        <v>21713296.66</v>
      </c>
      <c r="F15" s="101">
        <f t="shared" si="0"/>
        <v>14051838.029999999</v>
      </c>
      <c r="G15" s="101">
        <f t="shared" si="2"/>
        <v>24730084.41</v>
      </c>
      <c r="H15" s="101">
        <f t="shared" si="3"/>
        <v>5783648.2400000002</v>
      </c>
      <c r="I15" s="101">
        <v>0</v>
      </c>
      <c r="J15" s="101">
        <v>0</v>
      </c>
      <c r="K15" s="102">
        <f t="shared" si="4"/>
        <v>66278867.339999996</v>
      </c>
      <c r="M15" s="198"/>
      <c r="N15" s="198"/>
      <c r="O15" s="198"/>
      <c r="P15" s="198"/>
      <c r="Q15" s="197"/>
      <c r="R15" s="197"/>
      <c r="S15" s="197"/>
    </row>
    <row r="16" spans="1:20" ht="15.75">
      <c r="A16" s="90"/>
      <c r="B16" s="96">
        <v>8</v>
      </c>
      <c r="C16" s="98" t="s">
        <v>363</v>
      </c>
      <c r="D16" s="41">
        <f t="shared" si="5"/>
        <v>0</v>
      </c>
      <c r="E16" s="101">
        <f t="shared" si="1"/>
        <v>21713296.66</v>
      </c>
      <c r="F16" s="101">
        <f t="shared" si="0"/>
        <v>14051838.029999999</v>
      </c>
      <c r="G16" s="101">
        <f t="shared" si="2"/>
        <v>24730084.41</v>
      </c>
      <c r="H16" s="101">
        <f t="shared" si="3"/>
        <v>5783648.2400000002</v>
      </c>
      <c r="I16" s="101">
        <v>0</v>
      </c>
      <c r="J16" s="101">
        <v>0</v>
      </c>
      <c r="K16" s="102">
        <f t="shared" si="4"/>
        <v>66278867.339999996</v>
      </c>
      <c r="M16" s="198"/>
      <c r="N16" s="198"/>
      <c r="O16" s="198"/>
      <c r="P16" s="198"/>
      <c r="Q16" s="197"/>
      <c r="R16" s="197"/>
      <c r="S16" s="197"/>
    </row>
    <row r="17" spans="1:19" ht="15.75">
      <c r="A17" s="90"/>
      <c r="B17" s="96">
        <v>9</v>
      </c>
      <c r="C17" s="98" t="s">
        <v>364</v>
      </c>
      <c r="D17" s="41">
        <f t="shared" si="5"/>
        <v>0</v>
      </c>
      <c r="E17" s="101">
        <f t="shared" si="1"/>
        <v>21713296.66</v>
      </c>
      <c r="F17" s="101">
        <f t="shared" si="0"/>
        <v>14051838.029999999</v>
      </c>
      <c r="G17" s="101">
        <f t="shared" si="2"/>
        <v>24730084.41</v>
      </c>
      <c r="H17" s="101">
        <f t="shared" si="3"/>
        <v>5783648.2400000002</v>
      </c>
      <c r="I17" s="101">
        <v>0</v>
      </c>
      <c r="J17" s="101">
        <v>0</v>
      </c>
      <c r="K17" s="102">
        <f t="shared" si="4"/>
        <v>66278867.339999996</v>
      </c>
      <c r="M17" s="198"/>
      <c r="N17" s="198"/>
      <c r="O17" s="198"/>
      <c r="P17" s="198"/>
      <c r="Q17" s="197"/>
      <c r="R17" s="197"/>
      <c r="S17" s="197"/>
    </row>
    <row r="18" spans="1:19" ht="15.75">
      <c r="A18" s="90"/>
      <c r="B18" s="96">
        <v>10</v>
      </c>
      <c r="C18" s="98" t="s">
        <v>365</v>
      </c>
      <c r="D18" s="41">
        <f t="shared" si="5"/>
        <v>0</v>
      </c>
      <c r="E18" s="101">
        <f t="shared" si="1"/>
        <v>21713296.66</v>
      </c>
      <c r="F18" s="101">
        <f t="shared" si="0"/>
        <v>14051838.029999999</v>
      </c>
      <c r="G18" s="101">
        <f t="shared" si="2"/>
        <v>24730084.41</v>
      </c>
      <c r="H18" s="101">
        <f t="shared" si="3"/>
        <v>5783648.2400000002</v>
      </c>
      <c r="I18" s="101">
        <v>0</v>
      </c>
      <c r="J18" s="101">
        <v>0</v>
      </c>
      <c r="K18" s="102">
        <f t="shared" si="4"/>
        <v>66278867.339999996</v>
      </c>
      <c r="M18" s="198"/>
      <c r="N18" s="198"/>
      <c r="O18" s="198"/>
      <c r="P18" s="198"/>
      <c r="Q18" s="197"/>
      <c r="R18" s="197"/>
      <c r="S18" s="197"/>
    </row>
    <row r="19" spans="1:19" ht="15.75">
      <c r="A19" s="90"/>
      <c r="B19" s="96">
        <v>11</v>
      </c>
      <c r="C19" s="98" t="s">
        <v>366</v>
      </c>
      <c r="D19" s="41">
        <f t="shared" si="5"/>
        <v>0</v>
      </c>
      <c r="E19" s="101">
        <f t="shared" si="1"/>
        <v>21713296.66</v>
      </c>
      <c r="F19" s="101">
        <f t="shared" si="0"/>
        <v>14051838.029999999</v>
      </c>
      <c r="G19" s="101">
        <f t="shared" si="2"/>
        <v>24730084.41</v>
      </c>
      <c r="H19" s="101">
        <f t="shared" si="3"/>
        <v>5783648.2400000002</v>
      </c>
      <c r="I19" s="101">
        <v>0</v>
      </c>
      <c r="J19" s="101">
        <v>0</v>
      </c>
      <c r="K19" s="102">
        <f t="shared" si="4"/>
        <v>66278867.339999996</v>
      </c>
      <c r="M19" s="198"/>
      <c r="N19" s="198"/>
      <c r="O19" s="198"/>
      <c r="P19" s="198"/>
      <c r="Q19" s="197"/>
      <c r="R19" s="197"/>
      <c r="S19" s="197"/>
    </row>
    <row r="20" spans="1:19" ht="15.75">
      <c r="A20" s="90"/>
      <c r="B20" s="96">
        <v>12</v>
      </c>
      <c r="C20" s="98" t="s">
        <v>367</v>
      </c>
      <c r="D20" s="41">
        <f t="shared" si="5"/>
        <v>0</v>
      </c>
      <c r="E20" s="101">
        <f t="shared" si="1"/>
        <v>21713296.66</v>
      </c>
      <c r="F20" s="101">
        <f t="shared" si="0"/>
        <v>14051838.029999999</v>
      </c>
      <c r="G20" s="101">
        <f t="shared" si="2"/>
        <v>24730084.41</v>
      </c>
      <c r="H20" s="101">
        <f t="shared" si="3"/>
        <v>5783648.2400000002</v>
      </c>
      <c r="I20" s="101">
        <v>0</v>
      </c>
      <c r="J20" s="101">
        <v>0</v>
      </c>
      <c r="K20" s="102">
        <f t="shared" si="4"/>
        <v>66278867.339999996</v>
      </c>
      <c r="M20" s="198"/>
      <c r="N20" s="198"/>
      <c r="O20" s="198"/>
      <c r="P20" s="198"/>
      <c r="Q20" s="197"/>
      <c r="R20" s="197"/>
      <c r="S20" s="197"/>
    </row>
    <row r="21" spans="1:19" ht="15.75">
      <c r="A21" s="90"/>
      <c r="B21" s="96">
        <v>13</v>
      </c>
      <c r="C21" s="98" t="s">
        <v>356</v>
      </c>
      <c r="D21" s="41">
        <f t="shared" si="5"/>
        <v>0</v>
      </c>
      <c r="E21" s="101">
        <f t="shared" si="1"/>
        <v>21713296.66</v>
      </c>
      <c r="F21" s="101">
        <f>14051838.03+177500</f>
        <v>14229338.029999999</v>
      </c>
      <c r="G21" s="101">
        <f>23542860.41+1187224+1542094</f>
        <v>26272178.41</v>
      </c>
      <c r="H21" s="101">
        <f>5402548.24+55000+326100+135000</f>
        <v>5918648.2400000002</v>
      </c>
      <c r="I21" s="101">
        <v>0</v>
      </c>
      <c r="J21" s="101">
        <v>0</v>
      </c>
      <c r="K21" s="171">
        <f t="shared" si="4"/>
        <v>68133461.339999989</v>
      </c>
      <c r="M21" s="198"/>
      <c r="N21" s="198"/>
      <c r="O21" s="198"/>
      <c r="P21" s="198"/>
      <c r="Q21" s="197"/>
      <c r="R21" s="197"/>
      <c r="S21" s="197"/>
    </row>
    <row r="22" spans="1:19">
      <c r="A22" s="90"/>
      <c r="B22" s="96">
        <v>14</v>
      </c>
      <c r="C22" s="90"/>
      <c r="D22" s="90"/>
      <c r="E22" s="439"/>
      <c r="G22" s="438"/>
      <c r="H22" s="90"/>
      <c r="I22" s="90"/>
      <c r="J22" s="90"/>
      <c r="K22" s="90"/>
    </row>
    <row r="23" spans="1:19" ht="23.25">
      <c r="A23" s="90"/>
      <c r="B23" s="96">
        <v>15</v>
      </c>
      <c r="C23" s="92" t="s">
        <v>368</v>
      </c>
      <c r="D23" s="99"/>
      <c r="E23" s="128">
        <f>SUM(E9:E21)/13</f>
        <v>21713296.66</v>
      </c>
      <c r="F23" s="128">
        <f t="shared" ref="F23:J23" si="6">SUM(F9:F21)/13</f>
        <v>14065491.876153845</v>
      </c>
      <c r="G23" s="128">
        <f t="shared" si="6"/>
        <v>24848707.02538462</v>
      </c>
      <c r="H23" s="128">
        <f t="shared" si="6"/>
        <v>5794032.8553846162</v>
      </c>
      <c r="I23" s="104">
        <f>SUM(I9:I21)/13</f>
        <v>0</v>
      </c>
      <c r="J23" s="104">
        <f t="shared" si="6"/>
        <v>0</v>
      </c>
      <c r="K23" s="128">
        <f>SUM(K9:K21)/13</f>
        <v>66421528.416923083</v>
      </c>
      <c r="L23" s="456" t="s">
        <v>608</v>
      </c>
      <c r="M23" s="455"/>
      <c r="N23" s="455"/>
      <c r="O23" s="201"/>
      <c r="P23" s="201"/>
      <c r="Q23" s="196"/>
      <c r="R23" s="196"/>
      <c r="S23" s="196"/>
    </row>
    <row r="24" spans="1:19">
      <c r="A24" s="90"/>
      <c r="B24" s="90"/>
      <c r="C24" s="105" t="s">
        <v>373</v>
      </c>
      <c r="D24" s="105"/>
      <c r="E24" s="105" t="s">
        <v>389</v>
      </c>
      <c r="F24" s="105" t="s">
        <v>390</v>
      </c>
      <c r="G24" s="105" t="s">
        <v>391</v>
      </c>
      <c r="H24" s="105" t="s">
        <v>392</v>
      </c>
      <c r="I24" s="105" t="s">
        <v>392</v>
      </c>
      <c r="J24" s="105" t="s">
        <v>393</v>
      </c>
      <c r="K24" s="105"/>
    </row>
    <row r="25" spans="1:19" s="202" customFormat="1" ht="15.75">
      <c r="A25" s="90"/>
      <c r="B25" s="90"/>
      <c r="C25" s="92" t="s">
        <v>333</v>
      </c>
      <c r="D25" s="105"/>
      <c r="E25" s="222">
        <f>E23-E9</f>
        <v>0</v>
      </c>
      <c r="F25" s="222">
        <f t="shared" ref="F25:J25" si="7">F23-F9</f>
        <v>13653.846153846011</v>
      </c>
      <c r="G25" s="222">
        <f t="shared" si="7"/>
        <v>118622.61538461968</v>
      </c>
      <c r="H25" s="222">
        <f t="shared" si="7"/>
        <v>10384.615384615958</v>
      </c>
      <c r="I25" s="222">
        <f t="shared" si="7"/>
        <v>0</v>
      </c>
      <c r="J25" s="222">
        <f t="shared" si="7"/>
        <v>0</v>
      </c>
      <c r="K25" s="222">
        <f>SUM(E25:J25)</f>
        <v>142661.07692308165</v>
      </c>
    </row>
    <row r="26" spans="1:19">
      <c r="A26" s="90"/>
      <c r="B26" s="90"/>
      <c r="C26" s="90"/>
      <c r="D26" s="90"/>
      <c r="E26" s="90"/>
      <c r="G26" s="90"/>
      <c r="H26" s="90"/>
      <c r="I26" s="90"/>
      <c r="J26" s="90"/>
      <c r="K26" s="90"/>
    </row>
    <row r="27" spans="1:19" ht="30">
      <c r="A27" s="90"/>
      <c r="B27" s="94" t="s">
        <v>352</v>
      </c>
      <c r="C27" s="94" t="s">
        <v>394</v>
      </c>
      <c r="D27" s="94" t="s">
        <v>354</v>
      </c>
      <c r="E27" s="94" t="s">
        <v>383</v>
      </c>
      <c r="F27" s="94" t="s">
        <v>45</v>
      </c>
      <c r="G27" s="94" t="s">
        <v>384</v>
      </c>
      <c r="H27" s="94" t="str">
        <f>H8</f>
        <v xml:space="preserve">General </v>
      </c>
      <c r="I27" s="94" t="str">
        <f>I8</f>
        <v>Intangible</v>
      </c>
      <c r="J27" s="94" t="s">
        <v>387</v>
      </c>
      <c r="K27" s="94" t="s">
        <v>395</v>
      </c>
    </row>
    <row r="28" spans="1:19">
      <c r="A28" s="90"/>
      <c r="B28" s="96">
        <v>16</v>
      </c>
      <c r="C28" s="100" t="s">
        <v>356</v>
      </c>
      <c r="D28" s="46">
        <f>$E$6-1</f>
        <v>-1</v>
      </c>
      <c r="E28" s="101">
        <f>12939910.44+366300.18</f>
        <v>13306210.619999999</v>
      </c>
      <c r="F28" s="101">
        <f>10349404.82+148054.86</f>
        <v>10497459.68</v>
      </c>
      <c r="G28" s="101">
        <f>14778698.24+311075.7</f>
        <v>15089773.939999999</v>
      </c>
      <c r="H28" s="101">
        <f>3113130+110692.32</f>
        <v>3223822.32</v>
      </c>
      <c r="I28" s="101">
        <v>0</v>
      </c>
      <c r="J28" s="101">
        <v>0</v>
      </c>
      <c r="K28" s="102">
        <f>SUM(E28:J28)</f>
        <v>42117266.559999995</v>
      </c>
    </row>
    <row r="29" spans="1:19">
      <c r="A29" s="90"/>
      <c r="B29" s="96">
        <v>17</v>
      </c>
      <c r="C29" s="97" t="s">
        <v>357</v>
      </c>
      <c r="D29" s="41">
        <f>$E$6</f>
        <v>0</v>
      </c>
      <c r="E29" s="101">
        <f>E28+61050.03+128.76</f>
        <v>13367389.409999998</v>
      </c>
      <c r="F29" s="101">
        <f t="shared" ref="F29:F40" si="8">F28+24675.81</f>
        <v>10522135.49</v>
      </c>
      <c r="G29" s="101">
        <f>G28+51845.95+9096.81</f>
        <v>15150716.699999999</v>
      </c>
      <c r="H29" s="101">
        <f>H28+18448.72+1536.84</f>
        <v>3243807.88</v>
      </c>
      <c r="I29" s="101">
        <v>0</v>
      </c>
      <c r="J29" s="101">
        <v>0</v>
      </c>
      <c r="K29" s="102">
        <f t="shared" ref="K29:K40" si="9">SUM(E29:J29)</f>
        <v>42284049.479999997</v>
      </c>
    </row>
    <row r="30" spans="1:19" ht="15.75">
      <c r="A30" s="90"/>
      <c r="B30" s="96">
        <v>18</v>
      </c>
      <c r="C30" s="98" t="s">
        <v>358</v>
      </c>
      <c r="D30" s="41">
        <f t="shared" ref="D30:D40" si="10">$E$6</f>
        <v>0</v>
      </c>
      <c r="E30" s="101">
        <f t="shared" ref="E30:E40" si="11">E29+61050.03</f>
        <v>13428439.439999998</v>
      </c>
      <c r="F30" s="101">
        <f t="shared" si="8"/>
        <v>10546811.300000001</v>
      </c>
      <c r="G30" s="101">
        <f t="shared" ref="G30:G40" si="12">G29+51845.95+9096.81</f>
        <v>15211659.459999999</v>
      </c>
      <c r="H30" s="101">
        <f t="shared" ref="H30:H40" si="13">H29+18448.72+1536.84</f>
        <v>3263793.44</v>
      </c>
      <c r="I30" s="101">
        <v>0</v>
      </c>
      <c r="J30" s="101">
        <v>0</v>
      </c>
      <c r="K30" s="102">
        <f t="shared" si="9"/>
        <v>42450703.639999993</v>
      </c>
    </row>
    <row r="31" spans="1:19" ht="15.75">
      <c r="A31" s="90"/>
      <c r="B31" s="96">
        <v>19</v>
      </c>
      <c r="C31" s="98" t="s">
        <v>359</v>
      </c>
      <c r="D31" s="41">
        <f t="shared" si="10"/>
        <v>0</v>
      </c>
      <c r="E31" s="101">
        <f t="shared" si="11"/>
        <v>13489489.469999997</v>
      </c>
      <c r="F31" s="101">
        <f t="shared" si="8"/>
        <v>10571487.110000001</v>
      </c>
      <c r="G31" s="101">
        <f t="shared" si="12"/>
        <v>15272602.219999999</v>
      </c>
      <c r="H31" s="101">
        <f t="shared" si="13"/>
        <v>3283779</v>
      </c>
      <c r="I31" s="101">
        <v>0</v>
      </c>
      <c r="J31" s="101">
        <v>0</v>
      </c>
      <c r="K31" s="102">
        <f t="shared" si="9"/>
        <v>42617357.799999997</v>
      </c>
    </row>
    <row r="32" spans="1:19" ht="15.75">
      <c r="A32" s="90"/>
      <c r="B32" s="96">
        <v>20</v>
      </c>
      <c r="C32" s="98" t="s">
        <v>360</v>
      </c>
      <c r="D32" s="41">
        <f t="shared" si="10"/>
        <v>0</v>
      </c>
      <c r="E32" s="101">
        <f t="shared" si="11"/>
        <v>13550539.499999996</v>
      </c>
      <c r="F32" s="101">
        <f t="shared" si="8"/>
        <v>10596162.920000002</v>
      </c>
      <c r="G32" s="101">
        <f t="shared" si="12"/>
        <v>15333544.979999999</v>
      </c>
      <c r="H32" s="101">
        <f t="shared" si="13"/>
        <v>3303764.56</v>
      </c>
      <c r="I32" s="101">
        <v>0</v>
      </c>
      <c r="J32" s="101">
        <v>0</v>
      </c>
      <c r="K32" s="102">
        <f t="shared" si="9"/>
        <v>42784011.960000001</v>
      </c>
    </row>
    <row r="33" spans="1:11" ht="15.75">
      <c r="A33" s="90"/>
      <c r="B33" s="96">
        <v>21</v>
      </c>
      <c r="C33" s="98" t="s">
        <v>361</v>
      </c>
      <c r="D33" s="41">
        <f t="shared" si="10"/>
        <v>0</v>
      </c>
      <c r="E33" s="101">
        <f t="shared" si="11"/>
        <v>13611589.529999996</v>
      </c>
      <c r="F33" s="101">
        <f t="shared" si="8"/>
        <v>10620838.730000002</v>
      </c>
      <c r="G33" s="101">
        <f t="shared" si="12"/>
        <v>15394487.739999998</v>
      </c>
      <c r="H33" s="101">
        <f t="shared" si="13"/>
        <v>3323750.12</v>
      </c>
      <c r="I33" s="101">
        <v>0</v>
      </c>
      <c r="J33" s="101">
        <v>0</v>
      </c>
      <c r="K33" s="102">
        <f t="shared" si="9"/>
        <v>42950666.119999997</v>
      </c>
    </row>
    <row r="34" spans="1:11" ht="15.75">
      <c r="A34" s="90"/>
      <c r="B34" s="96">
        <v>22</v>
      </c>
      <c r="C34" s="98" t="s">
        <v>362</v>
      </c>
      <c r="D34" s="41">
        <f t="shared" si="10"/>
        <v>0</v>
      </c>
      <c r="E34" s="101">
        <f t="shared" si="11"/>
        <v>13672639.559999995</v>
      </c>
      <c r="F34" s="101">
        <f t="shared" si="8"/>
        <v>10645514.540000003</v>
      </c>
      <c r="G34" s="101">
        <f t="shared" si="12"/>
        <v>15455430.499999998</v>
      </c>
      <c r="H34" s="101">
        <f t="shared" si="13"/>
        <v>3343735.68</v>
      </c>
      <c r="I34" s="101">
        <v>0</v>
      </c>
      <c r="J34" s="101">
        <v>0</v>
      </c>
      <c r="K34" s="102">
        <f t="shared" si="9"/>
        <v>43117320.279999994</v>
      </c>
    </row>
    <row r="35" spans="1:11" ht="15.75">
      <c r="A35" s="90"/>
      <c r="B35" s="96">
        <v>23</v>
      </c>
      <c r="C35" s="98" t="s">
        <v>363</v>
      </c>
      <c r="D35" s="41">
        <f t="shared" si="10"/>
        <v>0</v>
      </c>
      <c r="E35" s="101">
        <f t="shared" si="11"/>
        <v>13733689.589999994</v>
      </c>
      <c r="F35" s="101">
        <f t="shared" si="8"/>
        <v>10670190.350000003</v>
      </c>
      <c r="G35" s="101">
        <f t="shared" si="12"/>
        <v>15516373.259999998</v>
      </c>
      <c r="H35" s="101">
        <f t="shared" si="13"/>
        <v>3363721.24</v>
      </c>
      <c r="I35" s="101">
        <v>0</v>
      </c>
      <c r="J35" s="101">
        <v>0</v>
      </c>
      <c r="K35" s="102">
        <f t="shared" si="9"/>
        <v>43283974.439999998</v>
      </c>
    </row>
    <row r="36" spans="1:11" ht="15.75">
      <c r="A36" s="90"/>
      <c r="B36" s="96">
        <v>24</v>
      </c>
      <c r="C36" s="98" t="s">
        <v>364</v>
      </c>
      <c r="D36" s="41">
        <f t="shared" si="10"/>
        <v>0</v>
      </c>
      <c r="E36" s="101">
        <f t="shared" si="11"/>
        <v>13794739.619999994</v>
      </c>
      <c r="F36" s="101">
        <f t="shared" si="8"/>
        <v>10694866.160000004</v>
      </c>
      <c r="G36" s="101">
        <f t="shared" si="12"/>
        <v>15577316.019999998</v>
      </c>
      <c r="H36" s="101">
        <f t="shared" si="13"/>
        <v>3383706.8000000003</v>
      </c>
      <c r="I36" s="101">
        <v>0</v>
      </c>
      <c r="J36" s="101">
        <v>0</v>
      </c>
      <c r="K36" s="102">
        <f t="shared" si="9"/>
        <v>43450628.599999994</v>
      </c>
    </row>
    <row r="37" spans="1:11" ht="15.75">
      <c r="A37" s="90"/>
      <c r="B37" s="96">
        <v>25</v>
      </c>
      <c r="C37" s="98" t="s">
        <v>365</v>
      </c>
      <c r="D37" s="41">
        <f t="shared" si="10"/>
        <v>0</v>
      </c>
      <c r="E37" s="101">
        <f t="shared" si="11"/>
        <v>13855789.649999993</v>
      </c>
      <c r="F37" s="101">
        <f t="shared" si="8"/>
        <v>10719541.970000004</v>
      </c>
      <c r="G37" s="101">
        <f t="shared" si="12"/>
        <v>15638258.779999997</v>
      </c>
      <c r="H37" s="101">
        <f t="shared" si="13"/>
        <v>3403692.3600000003</v>
      </c>
      <c r="I37" s="101">
        <v>0</v>
      </c>
      <c r="J37" s="101">
        <v>0</v>
      </c>
      <c r="K37" s="102">
        <f t="shared" si="9"/>
        <v>43617282.75999999</v>
      </c>
    </row>
    <row r="38" spans="1:11" ht="15.75">
      <c r="A38" s="90"/>
      <c r="B38" s="96">
        <v>26</v>
      </c>
      <c r="C38" s="98" t="s">
        <v>366</v>
      </c>
      <c r="D38" s="41">
        <f t="shared" si="10"/>
        <v>0</v>
      </c>
      <c r="E38" s="101">
        <f t="shared" si="11"/>
        <v>13916839.679999992</v>
      </c>
      <c r="F38" s="101">
        <f t="shared" si="8"/>
        <v>10744217.780000005</v>
      </c>
      <c r="G38" s="101">
        <f t="shared" si="12"/>
        <v>15699201.539999997</v>
      </c>
      <c r="H38" s="101">
        <f t="shared" si="13"/>
        <v>3423677.9200000004</v>
      </c>
      <c r="I38" s="101">
        <v>0</v>
      </c>
      <c r="J38" s="101">
        <v>0</v>
      </c>
      <c r="K38" s="102">
        <f t="shared" si="9"/>
        <v>43783936.919999994</v>
      </c>
    </row>
    <row r="39" spans="1:11" ht="15.75">
      <c r="A39" s="90"/>
      <c r="B39" s="96">
        <v>27</v>
      </c>
      <c r="C39" s="98" t="s">
        <v>367</v>
      </c>
      <c r="D39" s="41">
        <f t="shared" si="10"/>
        <v>0</v>
      </c>
      <c r="E39" s="101">
        <f t="shared" si="11"/>
        <v>13977889.709999992</v>
      </c>
      <c r="F39" s="101">
        <f t="shared" si="8"/>
        <v>10768893.590000005</v>
      </c>
      <c r="G39" s="101">
        <f t="shared" si="12"/>
        <v>15760144.299999997</v>
      </c>
      <c r="H39" s="101">
        <f t="shared" si="13"/>
        <v>3443663.4800000004</v>
      </c>
      <c r="I39" s="101">
        <v>0</v>
      </c>
      <c r="J39" s="101">
        <v>0</v>
      </c>
      <c r="K39" s="102">
        <f t="shared" si="9"/>
        <v>43950591.079999998</v>
      </c>
    </row>
    <row r="40" spans="1:11" ht="15.75">
      <c r="A40" s="90"/>
      <c r="B40" s="96">
        <v>28</v>
      </c>
      <c r="C40" s="98" t="s">
        <v>356</v>
      </c>
      <c r="D40" s="41">
        <f t="shared" si="10"/>
        <v>0</v>
      </c>
      <c r="E40" s="101">
        <f t="shared" si="11"/>
        <v>14038939.739999991</v>
      </c>
      <c r="F40" s="101">
        <f t="shared" si="8"/>
        <v>10793569.400000006</v>
      </c>
      <c r="G40" s="101">
        <f t="shared" si="12"/>
        <v>15821087.059999997</v>
      </c>
      <c r="H40" s="101">
        <f t="shared" si="13"/>
        <v>3463649.0400000005</v>
      </c>
      <c r="I40" s="101">
        <v>0</v>
      </c>
      <c r="J40" s="101">
        <v>0</v>
      </c>
      <c r="K40" s="171">
        <f t="shared" si="9"/>
        <v>44117245.239999995</v>
      </c>
    </row>
    <row r="41" spans="1:11">
      <c r="A41" s="90"/>
      <c r="B41" s="96">
        <v>29</v>
      </c>
      <c r="C41" s="90"/>
      <c r="D41" s="90"/>
      <c r="E41" s="90"/>
      <c r="F41" s="90"/>
      <c r="G41" s="90"/>
      <c r="H41" s="90"/>
      <c r="I41" s="90"/>
      <c r="J41" s="90"/>
      <c r="K41" s="90"/>
    </row>
    <row r="42" spans="1:11" ht="17.25">
      <c r="A42" s="90"/>
      <c r="B42" s="96">
        <v>30</v>
      </c>
      <c r="C42" s="92" t="s">
        <v>368</v>
      </c>
      <c r="D42" s="99"/>
      <c r="E42" s="128">
        <f>SUM(E28:E40)/13</f>
        <v>13672629.655384611</v>
      </c>
      <c r="F42" s="128">
        <f t="shared" ref="F42:K42" si="14">SUM(F28:F40)/13</f>
        <v>10645514.540000003</v>
      </c>
      <c r="G42" s="128">
        <f t="shared" si="14"/>
        <v>15455430.5</v>
      </c>
      <c r="H42" s="128">
        <f t="shared" si="14"/>
        <v>3343735.6799999997</v>
      </c>
      <c r="I42" s="104">
        <f>SUM(I28:I40)/13</f>
        <v>0</v>
      </c>
      <c r="J42" s="104">
        <f t="shared" si="14"/>
        <v>0</v>
      </c>
      <c r="K42" s="104">
        <f t="shared" si="14"/>
        <v>43117310.375384614</v>
      </c>
    </row>
    <row r="43" spans="1:11">
      <c r="A43" s="90"/>
      <c r="B43" s="90"/>
      <c r="C43" s="105" t="s">
        <v>373</v>
      </c>
      <c r="D43" s="105"/>
      <c r="E43" s="105" t="s">
        <v>396</v>
      </c>
      <c r="F43" s="105" t="s">
        <v>397</v>
      </c>
      <c r="G43" s="105" t="s">
        <v>398</v>
      </c>
      <c r="H43" s="105" t="s">
        <v>399</v>
      </c>
      <c r="I43" s="105" t="s">
        <v>399</v>
      </c>
      <c r="J43" s="105" t="s">
        <v>400</v>
      </c>
      <c r="K43" s="90"/>
    </row>
    <row r="44" spans="1:11" s="202" customFormat="1">
      <c r="A44" s="90"/>
      <c r="B44" s="90"/>
      <c r="C44" s="105"/>
      <c r="D44" s="105"/>
      <c r="E44" s="105"/>
      <c r="F44" s="105"/>
      <c r="G44" s="105"/>
      <c r="H44" s="105"/>
      <c r="I44" s="105"/>
      <c r="J44" s="105"/>
      <c r="K44" s="90"/>
    </row>
    <row r="45" spans="1:11" s="202" customFormat="1" ht="15.75">
      <c r="A45" s="90"/>
      <c r="B45" s="90"/>
      <c r="C45" s="204" t="s">
        <v>604</v>
      </c>
      <c r="D45" s="140"/>
      <c r="E45" s="223">
        <f>E40-E28</f>
        <v>732729.11999999173</v>
      </c>
      <c r="F45" s="223">
        <f>F40-F28</f>
        <v>296109.72000000626</v>
      </c>
      <c r="G45" s="223">
        <f t="shared" ref="G45:H45" si="15">G40-G28</f>
        <v>731313.11999999732</v>
      </c>
      <c r="H45" s="223">
        <f t="shared" si="15"/>
        <v>239826.72000000067</v>
      </c>
      <c r="I45" s="223">
        <f>I40-I28</f>
        <v>0</v>
      </c>
      <c r="J45" s="223">
        <f>J40-J28</f>
        <v>0</v>
      </c>
      <c r="K45" s="224">
        <f>SUM(E45:J45)</f>
        <v>1999978.679999996</v>
      </c>
    </row>
    <row r="46" spans="1:11" s="202" customFormat="1">
      <c r="A46" s="90"/>
      <c r="B46" s="90"/>
      <c r="C46" s="140" t="s">
        <v>373</v>
      </c>
      <c r="D46" s="140"/>
      <c r="E46" s="205"/>
      <c r="F46" s="206" t="s">
        <v>398</v>
      </c>
      <c r="G46" s="206"/>
      <c r="H46" s="206" t="s">
        <v>399</v>
      </c>
      <c r="I46" s="206" t="s">
        <v>399</v>
      </c>
      <c r="J46" s="206" t="s">
        <v>400</v>
      </c>
      <c r="K46" s="90"/>
    </row>
    <row r="47" spans="1:11" ht="30">
      <c r="A47" s="90"/>
      <c r="B47" s="94" t="s">
        <v>352</v>
      </c>
      <c r="C47" s="94" t="s">
        <v>401</v>
      </c>
      <c r="D47" s="94" t="s">
        <v>354</v>
      </c>
      <c r="E47" s="94" t="s">
        <v>383</v>
      </c>
      <c r="F47" s="94" t="s">
        <v>45</v>
      </c>
      <c r="G47" s="94" t="s">
        <v>384</v>
      </c>
      <c r="H47" s="94" t="str">
        <f>H27</f>
        <v xml:space="preserve">General </v>
      </c>
      <c r="I47" s="94" t="str">
        <f>I27</f>
        <v>Intangible</v>
      </c>
      <c r="J47" s="94" t="s">
        <v>387</v>
      </c>
      <c r="K47" s="94" t="s">
        <v>402</v>
      </c>
    </row>
    <row r="48" spans="1:11">
      <c r="A48" s="90"/>
      <c r="B48" s="96">
        <v>31</v>
      </c>
      <c r="C48" s="100" t="s">
        <v>356</v>
      </c>
      <c r="D48" s="46">
        <f>$E$6-1</f>
        <v>-1</v>
      </c>
      <c r="E48" s="101">
        <f t="shared" ref="E48:K60" si="16">E9-E28</f>
        <v>8407086.040000001</v>
      </c>
      <c r="F48" s="101">
        <f t="shared" si="16"/>
        <v>3554378.3499999996</v>
      </c>
      <c r="G48" s="101">
        <f t="shared" si="16"/>
        <v>9640310.4700000007</v>
      </c>
      <c r="H48" s="101">
        <f t="shared" si="16"/>
        <v>2559825.9200000004</v>
      </c>
      <c r="I48" s="101">
        <f t="shared" si="16"/>
        <v>0</v>
      </c>
      <c r="J48" s="101">
        <f t="shared" si="16"/>
        <v>0</v>
      </c>
      <c r="K48" s="101">
        <f t="shared" si="16"/>
        <v>24161600.780000001</v>
      </c>
    </row>
    <row r="49" spans="1:11">
      <c r="A49" s="90"/>
      <c r="B49" s="96">
        <v>32</v>
      </c>
      <c r="C49" s="97" t="s">
        <v>357</v>
      </c>
      <c r="D49" s="41">
        <f>$E$6</f>
        <v>0</v>
      </c>
      <c r="E49" s="101">
        <f t="shared" si="16"/>
        <v>8345907.2500000019</v>
      </c>
      <c r="F49" s="101">
        <f t="shared" si="16"/>
        <v>3529702.5399999991</v>
      </c>
      <c r="G49" s="101">
        <f t="shared" si="16"/>
        <v>9579367.7100000009</v>
      </c>
      <c r="H49" s="101">
        <f t="shared" si="16"/>
        <v>2539840.3600000003</v>
      </c>
      <c r="I49" s="101">
        <f t="shared" si="16"/>
        <v>0</v>
      </c>
      <c r="J49" s="101">
        <f t="shared" si="16"/>
        <v>0</v>
      </c>
      <c r="K49" s="101">
        <f t="shared" si="16"/>
        <v>23994817.859999999</v>
      </c>
    </row>
    <row r="50" spans="1:11" ht="15.75">
      <c r="A50" s="90"/>
      <c r="B50" s="96">
        <v>33</v>
      </c>
      <c r="C50" s="98" t="s">
        <v>358</v>
      </c>
      <c r="D50" s="41">
        <f t="shared" ref="D50:D60" si="17">$E$6</f>
        <v>0</v>
      </c>
      <c r="E50" s="101">
        <f t="shared" si="16"/>
        <v>8284857.2200000025</v>
      </c>
      <c r="F50" s="101">
        <f t="shared" si="16"/>
        <v>3505026.7299999986</v>
      </c>
      <c r="G50" s="101">
        <f t="shared" si="16"/>
        <v>9518424.9500000011</v>
      </c>
      <c r="H50" s="101">
        <f t="shared" si="16"/>
        <v>2519854.8000000003</v>
      </c>
      <c r="I50" s="101">
        <f t="shared" si="16"/>
        <v>0</v>
      </c>
      <c r="J50" s="101">
        <f t="shared" si="16"/>
        <v>0</v>
      </c>
      <c r="K50" s="101">
        <f t="shared" si="16"/>
        <v>23828163.700000003</v>
      </c>
    </row>
    <row r="51" spans="1:11" ht="15.75">
      <c r="A51" s="90"/>
      <c r="B51" s="96">
        <v>34</v>
      </c>
      <c r="C51" s="98" t="s">
        <v>359</v>
      </c>
      <c r="D51" s="41">
        <f t="shared" si="17"/>
        <v>0</v>
      </c>
      <c r="E51" s="101">
        <f t="shared" si="16"/>
        <v>8223807.1900000032</v>
      </c>
      <c r="F51" s="101">
        <f t="shared" si="16"/>
        <v>3480350.9199999981</v>
      </c>
      <c r="G51" s="101">
        <f t="shared" si="16"/>
        <v>9457482.1900000013</v>
      </c>
      <c r="H51" s="101">
        <f t="shared" si="16"/>
        <v>2499869.2400000002</v>
      </c>
      <c r="I51" s="101">
        <f t="shared" si="16"/>
        <v>0</v>
      </c>
      <c r="J51" s="101">
        <f t="shared" si="16"/>
        <v>0</v>
      </c>
      <c r="K51" s="101">
        <f t="shared" si="16"/>
        <v>23661509.539999999</v>
      </c>
    </row>
    <row r="52" spans="1:11" ht="15.75">
      <c r="A52" s="90"/>
      <c r="B52" s="96">
        <v>35</v>
      </c>
      <c r="C52" s="98" t="s">
        <v>360</v>
      </c>
      <c r="D52" s="41">
        <f t="shared" si="17"/>
        <v>0</v>
      </c>
      <c r="E52" s="101">
        <f t="shared" si="16"/>
        <v>8162757.1600000039</v>
      </c>
      <c r="F52" s="101">
        <f t="shared" si="16"/>
        <v>3455675.1099999975</v>
      </c>
      <c r="G52" s="101">
        <f t="shared" si="16"/>
        <v>9396539.4300000016</v>
      </c>
      <c r="H52" s="101">
        <f t="shared" si="16"/>
        <v>2479883.6800000002</v>
      </c>
      <c r="I52" s="101">
        <f t="shared" si="16"/>
        <v>0</v>
      </c>
      <c r="J52" s="101">
        <f t="shared" si="16"/>
        <v>0</v>
      </c>
      <c r="K52" s="101">
        <f t="shared" si="16"/>
        <v>23494855.379999995</v>
      </c>
    </row>
    <row r="53" spans="1:11" ht="15.75">
      <c r="A53" s="90"/>
      <c r="B53" s="96">
        <v>36</v>
      </c>
      <c r="C53" s="98" t="s">
        <v>361</v>
      </c>
      <c r="D53" s="41">
        <f t="shared" si="17"/>
        <v>0</v>
      </c>
      <c r="E53" s="101">
        <f t="shared" si="16"/>
        <v>8101707.1300000045</v>
      </c>
      <c r="F53" s="101">
        <f t="shared" si="16"/>
        <v>3430999.299999997</v>
      </c>
      <c r="G53" s="101">
        <f t="shared" si="16"/>
        <v>9335596.6700000018</v>
      </c>
      <c r="H53" s="101">
        <f t="shared" si="16"/>
        <v>2459898.12</v>
      </c>
      <c r="I53" s="101">
        <f t="shared" si="16"/>
        <v>0</v>
      </c>
      <c r="J53" s="101">
        <f t="shared" si="16"/>
        <v>0</v>
      </c>
      <c r="K53" s="101">
        <f t="shared" si="16"/>
        <v>23328201.219999999</v>
      </c>
    </row>
    <row r="54" spans="1:11" ht="15.75">
      <c r="A54" s="90"/>
      <c r="B54" s="96">
        <v>37</v>
      </c>
      <c r="C54" s="98" t="s">
        <v>362</v>
      </c>
      <c r="D54" s="41">
        <f t="shared" si="17"/>
        <v>0</v>
      </c>
      <c r="E54" s="101">
        <f t="shared" si="16"/>
        <v>8040657.1000000052</v>
      </c>
      <c r="F54" s="101">
        <f t="shared" si="16"/>
        <v>3406323.4899999965</v>
      </c>
      <c r="G54" s="101">
        <f t="shared" si="16"/>
        <v>9274653.910000002</v>
      </c>
      <c r="H54" s="101">
        <f t="shared" si="16"/>
        <v>2439912.56</v>
      </c>
      <c r="I54" s="101">
        <f t="shared" si="16"/>
        <v>0</v>
      </c>
      <c r="J54" s="101">
        <f t="shared" si="16"/>
        <v>0</v>
      </c>
      <c r="K54" s="101">
        <f t="shared" si="16"/>
        <v>23161547.060000002</v>
      </c>
    </row>
    <row r="55" spans="1:11" ht="15.75">
      <c r="A55" s="90"/>
      <c r="B55" s="96">
        <v>38</v>
      </c>
      <c r="C55" s="98" t="s">
        <v>363</v>
      </c>
      <c r="D55" s="41">
        <f t="shared" si="17"/>
        <v>0</v>
      </c>
      <c r="E55" s="101">
        <f t="shared" si="16"/>
        <v>7979607.0700000059</v>
      </c>
      <c r="F55" s="101">
        <f t="shared" si="16"/>
        <v>3381647.679999996</v>
      </c>
      <c r="G55" s="101">
        <f t="shared" si="16"/>
        <v>9213711.1500000022</v>
      </c>
      <c r="H55" s="101">
        <f t="shared" si="16"/>
        <v>2419927</v>
      </c>
      <c r="I55" s="101">
        <f t="shared" si="16"/>
        <v>0</v>
      </c>
      <c r="J55" s="101">
        <f t="shared" si="16"/>
        <v>0</v>
      </c>
      <c r="K55" s="101">
        <f t="shared" si="16"/>
        <v>22994892.899999999</v>
      </c>
    </row>
    <row r="56" spans="1:11" ht="15.75">
      <c r="A56" s="90"/>
      <c r="B56" s="96">
        <v>39</v>
      </c>
      <c r="C56" s="98" t="s">
        <v>364</v>
      </c>
      <c r="D56" s="41">
        <f t="shared" si="17"/>
        <v>0</v>
      </c>
      <c r="E56" s="101">
        <f t="shared" si="16"/>
        <v>7918557.0400000066</v>
      </c>
      <c r="F56" s="101">
        <f t="shared" si="16"/>
        <v>3356971.8699999955</v>
      </c>
      <c r="G56" s="101">
        <f t="shared" si="16"/>
        <v>9152768.3900000025</v>
      </c>
      <c r="H56" s="101">
        <f t="shared" si="16"/>
        <v>2399941.44</v>
      </c>
      <c r="I56" s="101">
        <f t="shared" si="16"/>
        <v>0</v>
      </c>
      <c r="J56" s="101">
        <f t="shared" si="16"/>
        <v>0</v>
      </c>
      <c r="K56" s="101">
        <f t="shared" si="16"/>
        <v>22828238.740000002</v>
      </c>
    </row>
    <row r="57" spans="1:11" ht="15.75">
      <c r="A57" s="90"/>
      <c r="B57" s="96">
        <v>40</v>
      </c>
      <c r="C57" s="98" t="s">
        <v>365</v>
      </c>
      <c r="D57" s="41">
        <f t="shared" si="17"/>
        <v>0</v>
      </c>
      <c r="E57" s="101">
        <f t="shared" si="16"/>
        <v>7857507.0100000072</v>
      </c>
      <c r="F57" s="101">
        <f t="shared" si="16"/>
        <v>3332296.0599999949</v>
      </c>
      <c r="G57" s="101">
        <f t="shared" si="16"/>
        <v>9091825.6300000027</v>
      </c>
      <c r="H57" s="101">
        <f t="shared" si="16"/>
        <v>2379955.88</v>
      </c>
      <c r="I57" s="101">
        <f t="shared" si="16"/>
        <v>0</v>
      </c>
      <c r="J57" s="101">
        <f t="shared" si="16"/>
        <v>0</v>
      </c>
      <c r="K57" s="101">
        <f t="shared" si="16"/>
        <v>22661584.580000006</v>
      </c>
    </row>
    <row r="58" spans="1:11" ht="15.75">
      <c r="A58" s="90"/>
      <c r="B58" s="96">
        <v>41</v>
      </c>
      <c r="C58" s="98" t="s">
        <v>366</v>
      </c>
      <c r="D58" s="41">
        <f t="shared" si="17"/>
        <v>0</v>
      </c>
      <c r="E58" s="101">
        <f t="shared" si="16"/>
        <v>7796456.9800000079</v>
      </c>
      <c r="F58" s="101">
        <f t="shared" si="16"/>
        <v>3307620.2499999944</v>
      </c>
      <c r="G58" s="101">
        <f t="shared" si="16"/>
        <v>9030882.8700000029</v>
      </c>
      <c r="H58" s="101">
        <f t="shared" si="16"/>
        <v>2359970.3199999998</v>
      </c>
      <c r="I58" s="101">
        <f t="shared" si="16"/>
        <v>0</v>
      </c>
      <c r="J58" s="101">
        <f t="shared" si="16"/>
        <v>0</v>
      </c>
      <c r="K58" s="101">
        <f t="shared" si="16"/>
        <v>22494930.420000002</v>
      </c>
    </row>
    <row r="59" spans="1:11" ht="15.75">
      <c r="A59" s="90"/>
      <c r="B59" s="96">
        <v>42</v>
      </c>
      <c r="C59" s="98" t="s">
        <v>367</v>
      </c>
      <c r="D59" s="41">
        <f t="shared" si="17"/>
        <v>0</v>
      </c>
      <c r="E59" s="101">
        <f t="shared" si="16"/>
        <v>7735406.9500000086</v>
      </c>
      <c r="F59" s="101">
        <f t="shared" si="16"/>
        <v>3282944.4399999939</v>
      </c>
      <c r="G59" s="101">
        <f t="shared" si="16"/>
        <v>8969940.1100000031</v>
      </c>
      <c r="H59" s="101">
        <f t="shared" si="16"/>
        <v>2339984.7599999998</v>
      </c>
      <c r="I59" s="101">
        <f t="shared" si="16"/>
        <v>0</v>
      </c>
      <c r="J59" s="101">
        <f t="shared" si="16"/>
        <v>0</v>
      </c>
      <c r="K59" s="101">
        <f t="shared" si="16"/>
        <v>22328276.259999998</v>
      </c>
    </row>
    <row r="60" spans="1:11" ht="15.75">
      <c r="A60" s="90"/>
      <c r="B60" s="96">
        <v>43</v>
      </c>
      <c r="C60" s="98" t="s">
        <v>356</v>
      </c>
      <c r="D60" s="41">
        <f t="shared" si="17"/>
        <v>0</v>
      </c>
      <c r="E60" s="103">
        <f t="shared" si="16"/>
        <v>7674356.9200000092</v>
      </c>
      <c r="F60" s="103">
        <f t="shared" si="16"/>
        <v>3435768.6299999934</v>
      </c>
      <c r="G60" s="103">
        <f t="shared" si="16"/>
        <v>10451091.350000003</v>
      </c>
      <c r="H60" s="103">
        <f t="shared" si="16"/>
        <v>2454999.1999999997</v>
      </c>
      <c r="I60" s="103">
        <f t="shared" si="16"/>
        <v>0</v>
      </c>
      <c r="J60" s="103">
        <f t="shared" si="16"/>
        <v>0</v>
      </c>
      <c r="K60" s="172">
        <f t="shared" si="16"/>
        <v>24016216.099999994</v>
      </c>
    </row>
    <row r="61" spans="1:11">
      <c r="A61" s="90"/>
      <c r="B61" s="96">
        <v>44</v>
      </c>
      <c r="C61" s="90"/>
      <c r="D61" s="90"/>
      <c r="E61" s="90"/>
      <c r="F61" s="90"/>
      <c r="G61" s="90"/>
      <c r="H61" s="90"/>
      <c r="I61" s="90"/>
      <c r="J61" s="90"/>
      <c r="K61" s="90"/>
    </row>
    <row r="62" spans="1:11" ht="17.25">
      <c r="A62" s="90"/>
      <c r="B62" s="96">
        <v>45</v>
      </c>
      <c r="C62" s="92" t="s">
        <v>368</v>
      </c>
      <c r="D62" s="99"/>
      <c r="E62" s="128">
        <f>SUM(E48:E60)/13</f>
        <v>8040667.0046153897</v>
      </c>
      <c r="F62" s="128">
        <f t="shared" ref="F62:K62" si="18">SUM(F48:F60)/13</f>
        <v>3419977.336153842</v>
      </c>
      <c r="G62" s="128">
        <f t="shared" si="18"/>
        <v>9393276.525384618</v>
      </c>
      <c r="H62" s="128">
        <f t="shared" si="18"/>
        <v>2450297.1753846151</v>
      </c>
      <c r="I62" s="104">
        <f t="shared" si="18"/>
        <v>0</v>
      </c>
      <c r="J62" s="104">
        <f t="shared" si="18"/>
        <v>0</v>
      </c>
      <c r="K62" s="104">
        <f t="shared" si="18"/>
        <v>23304218.041538458</v>
      </c>
    </row>
  </sheetData>
  <mergeCells count="4">
    <mergeCell ref="A1:K1"/>
    <mergeCell ref="A2:K2"/>
    <mergeCell ref="A3:K3"/>
    <mergeCell ref="A4:K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F9" sqref="F9:F22"/>
    </sheetView>
  </sheetViews>
  <sheetFormatPr defaultRowHeight="15"/>
  <cols>
    <col min="1" max="1" width="3.44140625" customWidth="1"/>
    <col min="2" max="2" width="1" customWidth="1"/>
    <col min="3" max="3" width="19.21875" customWidth="1"/>
    <col min="4" max="4" width="35.44140625" customWidth="1"/>
    <col min="5" max="6" width="25.5546875" customWidth="1"/>
  </cols>
  <sheetData>
    <row r="1" spans="1:6" ht="18.75">
      <c r="A1" s="568" t="s">
        <v>330</v>
      </c>
      <c r="B1" s="568"/>
      <c r="C1" s="568"/>
      <c r="D1" s="568"/>
      <c r="E1" s="568"/>
      <c r="F1" s="568"/>
    </row>
    <row r="2" spans="1:6" ht="18.75">
      <c r="A2" s="568" t="s">
        <v>332</v>
      </c>
      <c r="B2" s="568"/>
      <c r="C2" s="568"/>
      <c r="D2" s="568"/>
      <c r="E2" s="568"/>
      <c r="F2" s="568"/>
    </row>
    <row r="3" spans="1:6" ht="18.75">
      <c r="A3" s="568" t="s">
        <v>577</v>
      </c>
      <c r="B3" s="568"/>
      <c r="C3" s="568"/>
      <c r="D3" s="568"/>
      <c r="E3" s="568"/>
      <c r="F3" s="568"/>
    </row>
    <row r="4" spans="1:6" ht="18.75">
      <c r="A4" s="569">
        <f>Coversheet!E7</f>
        <v>43465</v>
      </c>
      <c r="B4" s="569"/>
      <c r="C4" s="569"/>
      <c r="D4" s="569"/>
      <c r="E4" s="569"/>
      <c r="F4" s="569"/>
    </row>
    <row r="5" spans="1:6" ht="18.75">
      <c r="A5" s="143"/>
      <c r="B5" s="143"/>
      <c r="C5" s="572"/>
      <c r="D5" s="572"/>
      <c r="E5" s="572"/>
      <c r="F5" s="572"/>
    </row>
    <row r="6" spans="1:6">
      <c r="A6" s="143"/>
      <c r="B6" s="143"/>
      <c r="C6" s="142"/>
      <c r="D6" s="143"/>
      <c r="E6" s="142"/>
      <c r="F6" s="142"/>
    </row>
    <row r="7" spans="1:6" ht="15.75" thickBot="1">
      <c r="A7" s="143"/>
      <c r="B7" s="143"/>
      <c r="C7" s="142"/>
      <c r="D7" s="143"/>
      <c r="E7" s="142"/>
      <c r="F7" s="142"/>
    </row>
    <row r="8" spans="1:6" ht="30">
      <c r="A8" s="143"/>
      <c r="B8" s="143"/>
      <c r="C8" s="144" t="s">
        <v>403</v>
      </c>
      <c r="D8" s="145" t="s">
        <v>404</v>
      </c>
      <c r="E8" s="146" t="s">
        <v>405</v>
      </c>
      <c r="F8" s="147" t="s">
        <v>406</v>
      </c>
    </row>
    <row r="9" spans="1:6">
      <c r="A9" s="143"/>
      <c r="B9" s="143"/>
      <c r="C9" s="148">
        <v>350</v>
      </c>
      <c r="D9" s="149" t="s">
        <v>407</v>
      </c>
      <c r="E9" s="150" t="s">
        <v>408</v>
      </c>
      <c r="F9" s="475">
        <v>0</v>
      </c>
    </row>
    <row r="10" spans="1:6">
      <c r="A10" s="143"/>
      <c r="B10" s="143"/>
      <c r="C10" s="148">
        <v>352</v>
      </c>
      <c r="D10" s="149" t="s">
        <v>409</v>
      </c>
      <c r="E10" s="150">
        <v>25</v>
      </c>
      <c r="F10" s="475">
        <f>1/E10</f>
        <v>0.04</v>
      </c>
    </row>
    <row r="11" spans="1:6">
      <c r="A11" s="143"/>
      <c r="B11" s="143"/>
      <c r="C11" s="148">
        <v>353</v>
      </c>
      <c r="D11" s="149" t="s">
        <v>410</v>
      </c>
      <c r="E11" s="150">
        <v>25</v>
      </c>
      <c r="F11" s="475">
        <f>1/E11</f>
        <v>0.04</v>
      </c>
    </row>
    <row r="12" spans="1:6">
      <c r="A12" s="143"/>
      <c r="B12" s="143"/>
      <c r="C12" s="148">
        <v>355</v>
      </c>
      <c r="D12" s="149" t="s">
        <v>411</v>
      </c>
      <c r="E12" s="150">
        <v>25</v>
      </c>
      <c r="F12" s="475">
        <f>1/E12</f>
        <v>0.04</v>
      </c>
    </row>
    <row r="13" spans="1:6">
      <c r="A13" s="143"/>
      <c r="B13" s="143"/>
      <c r="C13" s="148">
        <v>356</v>
      </c>
      <c r="D13" s="149" t="s">
        <v>412</v>
      </c>
      <c r="E13" s="150">
        <v>25</v>
      </c>
      <c r="F13" s="475">
        <f>1/E13</f>
        <v>0.04</v>
      </c>
    </row>
    <row r="14" spans="1:6">
      <c r="A14" s="143"/>
      <c r="B14" s="143"/>
      <c r="C14" s="148">
        <v>358</v>
      </c>
      <c r="D14" s="149" t="s">
        <v>413</v>
      </c>
      <c r="E14" s="150">
        <v>25</v>
      </c>
      <c r="F14" s="475">
        <f>1/E14</f>
        <v>0.04</v>
      </c>
    </row>
    <row r="15" spans="1:6" ht="18.75">
      <c r="A15" s="143"/>
      <c r="B15" s="143"/>
      <c r="C15" s="151"/>
      <c r="D15" s="152" t="s">
        <v>414</v>
      </c>
      <c r="E15" s="153"/>
      <c r="F15" s="453"/>
    </row>
    <row r="16" spans="1:6">
      <c r="A16" s="143"/>
      <c r="B16" s="143"/>
      <c r="C16" s="148">
        <v>390</v>
      </c>
      <c r="D16" s="149" t="s">
        <v>409</v>
      </c>
      <c r="E16" s="150">
        <v>25</v>
      </c>
      <c r="F16" s="475">
        <f t="shared" ref="F16:F22" si="0">1/E16</f>
        <v>0.04</v>
      </c>
    </row>
    <row r="17" spans="1:6">
      <c r="A17" s="143"/>
      <c r="B17" s="143"/>
      <c r="C17" s="148">
        <v>391</v>
      </c>
      <c r="D17" s="149" t="s">
        <v>415</v>
      </c>
      <c r="E17" s="150">
        <v>10</v>
      </c>
      <c r="F17" s="475">
        <f t="shared" si="0"/>
        <v>0.1</v>
      </c>
    </row>
    <row r="18" spans="1:6">
      <c r="A18" s="143"/>
      <c r="B18" s="143"/>
      <c r="C18" s="148">
        <v>392</v>
      </c>
      <c r="D18" s="149" t="s">
        <v>416</v>
      </c>
      <c r="E18" s="150">
        <v>10</v>
      </c>
      <c r="F18" s="475">
        <f t="shared" si="0"/>
        <v>0.1</v>
      </c>
    </row>
    <row r="19" spans="1:6">
      <c r="A19" s="143"/>
      <c r="B19" s="143"/>
      <c r="C19" s="148">
        <v>394</v>
      </c>
      <c r="D19" s="149" t="s">
        <v>417</v>
      </c>
      <c r="E19" s="150">
        <v>10</v>
      </c>
      <c r="F19" s="475">
        <f t="shared" si="0"/>
        <v>0.1</v>
      </c>
    </row>
    <row r="20" spans="1:6">
      <c r="A20" s="143"/>
      <c r="B20" s="143"/>
      <c r="C20" s="148">
        <v>395</v>
      </c>
      <c r="D20" s="149" t="s">
        <v>418</v>
      </c>
      <c r="E20" s="150">
        <v>10</v>
      </c>
      <c r="F20" s="475">
        <f t="shared" si="0"/>
        <v>0.1</v>
      </c>
    </row>
    <row r="21" spans="1:6">
      <c r="A21" s="143"/>
      <c r="B21" s="143"/>
      <c r="C21" s="148">
        <v>396</v>
      </c>
      <c r="D21" s="149" t="s">
        <v>419</v>
      </c>
      <c r="E21" s="150">
        <v>10</v>
      </c>
      <c r="F21" s="475">
        <f t="shared" si="0"/>
        <v>0.1</v>
      </c>
    </row>
    <row r="22" spans="1:6" ht="15.75" thickBot="1">
      <c r="A22" s="143"/>
      <c r="B22" s="143"/>
      <c r="C22" s="154">
        <v>397</v>
      </c>
      <c r="D22" s="155" t="s">
        <v>420</v>
      </c>
      <c r="E22" s="156">
        <v>10</v>
      </c>
      <c r="F22" s="449">
        <f t="shared" si="0"/>
        <v>0.1</v>
      </c>
    </row>
    <row r="23" spans="1:6">
      <c r="A23" s="143"/>
      <c r="B23" s="143"/>
      <c r="C23" s="153"/>
      <c r="D23" s="157"/>
      <c r="E23" s="153"/>
      <c r="F23" s="158"/>
    </row>
    <row r="24" spans="1:6">
      <c r="A24" s="143"/>
      <c r="B24" s="143"/>
      <c r="C24" s="159" t="s">
        <v>421</v>
      </c>
      <c r="D24" s="143"/>
      <c r="E24" s="142"/>
      <c r="F24" s="142"/>
    </row>
    <row r="25" spans="1:6">
      <c r="A25" s="143"/>
      <c r="B25" s="143"/>
      <c r="C25" s="159" t="s">
        <v>422</v>
      </c>
      <c r="D25" s="143"/>
      <c r="E25" s="142"/>
      <c r="F25" s="142"/>
    </row>
    <row r="26" spans="1:6">
      <c r="A26" s="143"/>
      <c r="B26" s="143"/>
      <c r="C26" s="142"/>
      <c r="D26" s="143"/>
      <c r="E26" s="142"/>
      <c r="F26" s="142"/>
    </row>
    <row r="27" spans="1:6">
      <c r="A27" s="143"/>
      <c r="B27" s="143"/>
      <c r="C27" s="142"/>
      <c r="D27" s="143"/>
      <c r="E27" s="142"/>
      <c r="F27" s="142"/>
    </row>
  </sheetData>
  <mergeCells count="5">
    <mergeCell ref="C5:F5"/>
    <mergeCell ref="A1:F1"/>
    <mergeCell ref="A2:F2"/>
    <mergeCell ref="A3:F3"/>
    <mergeCell ref="A4:F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A4" sqref="A4:D4"/>
    </sheetView>
  </sheetViews>
  <sheetFormatPr defaultRowHeight="15"/>
  <cols>
    <col min="2" max="2" width="34.109375" customWidth="1"/>
    <col min="3" max="3" width="15.21875" customWidth="1"/>
  </cols>
  <sheetData>
    <row r="1" spans="1:4" s="177" customFormat="1" ht="18.75">
      <c r="A1" s="568" t="s">
        <v>330</v>
      </c>
      <c r="B1" s="568"/>
      <c r="C1" s="568"/>
      <c r="D1" s="568"/>
    </row>
    <row r="2" spans="1:4" s="177" customFormat="1" ht="18.75">
      <c r="A2" s="568" t="s">
        <v>332</v>
      </c>
      <c r="B2" s="568"/>
      <c r="C2" s="568"/>
      <c r="D2" s="568"/>
    </row>
    <row r="3" spans="1:4" s="177" customFormat="1" ht="18.75">
      <c r="A3" s="568" t="s">
        <v>576</v>
      </c>
      <c r="B3" s="568"/>
      <c r="C3" s="568"/>
      <c r="D3" s="568"/>
    </row>
    <row r="4" spans="1:4" ht="18.75">
      <c r="A4" s="569">
        <f>Coversheet!E7</f>
        <v>43465</v>
      </c>
      <c r="B4" s="569"/>
      <c r="C4" s="569"/>
      <c r="D4" s="569"/>
    </row>
    <row r="5" spans="1:4" ht="15.75">
      <c r="A5" s="64"/>
      <c r="B5" s="91"/>
      <c r="C5" s="91"/>
    </row>
    <row r="6" spans="1:4" ht="15.75">
      <c r="A6" s="91"/>
      <c r="B6" s="179" t="s">
        <v>331</v>
      </c>
      <c r="C6" s="42">
        <f>Coversheet!F5</f>
        <v>2018</v>
      </c>
    </row>
    <row r="7" spans="1:4">
      <c r="A7" s="90"/>
      <c r="B7" s="90"/>
      <c r="C7" s="90"/>
    </row>
    <row r="8" spans="1:4">
      <c r="A8" s="90"/>
      <c r="B8" s="108" t="s">
        <v>423</v>
      </c>
      <c r="C8" s="90"/>
    </row>
    <row r="9" spans="1:4">
      <c r="A9" s="90"/>
      <c r="B9" s="109" t="s">
        <v>424</v>
      </c>
      <c r="C9" s="101">
        <v>0</v>
      </c>
    </row>
    <row r="10" spans="1:4">
      <c r="A10" s="90"/>
      <c r="B10" s="109" t="s">
        <v>425</v>
      </c>
      <c r="C10" s="101">
        <v>0</v>
      </c>
    </row>
    <row r="11" spans="1:4">
      <c r="A11" s="90"/>
      <c r="B11" s="109" t="s">
        <v>426</v>
      </c>
      <c r="C11" s="101">
        <v>0</v>
      </c>
    </row>
    <row r="12" spans="1:4">
      <c r="A12" s="90"/>
      <c r="B12" s="109" t="s">
        <v>427</v>
      </c>
      <c r="C12" s="101">
        <v>0</v>
      </c>
    </row>
    <row r="13" spans="1:4">
      <c r="A13" s="90"/>
      <c r="B13" s="109" t="s">
        <v>428</v>
      </c>
      <c r="C13" s="103">
        <v>0</v>
      </c>
    </row>
    <row r="14" spans="1:4">
      <c r="A14" s="90"/>
      <c r="B14" s="90"/>
      <c r="C14" s="101"/>
    </row>
    <row r="15" spans="1:4">
      <c r="A15" s="90"/>
      <c r="B15" s="109" t="s">
        <v>429</v>
      </c>
      <c r="C15" s="101">
        <f>SUM(C9:C13)</f>
        <v>0</v>
      </c>
    </row>
    <row r="16" spans="1:4">
      <c r="A16" s="90"/>
      <c r="B16" s="90"/>
      <c r="C16" s="90"/>
    </row>
    <row r="17" spans="1:3">
      <c r="A17" s="90"/>
      <c r="B17" s="90"/>
      <c r="C17" s="90"/>
    </row>
    <row r="18" spans="1:3">
      <c r="A18" s="90"/>
      <c r="B18" s="90"/>
      <c r="C18" s="90"/>
    </row>
    <row r="19" spans="1:3">
      <c r="A19" s="90"/>
      <c r="B19" s="90"/>
      <c r="C19" s="90"/>
    </row>
    <row r="20" spans="1:3">
      <c r="A20" s="90"/>
      <c r="B20" s="90"/>
      <c r="C20" s="90"/>
    </row>
    <row r="21" spans="1:3">
      <c r="A21" s="90"/>
      <c r="B21" s="90"/>
      <c r="C21" s="90"/>
    </row>
    <row r="22" spans="1:3">
      <c r="A22" s="90"/>
      <c r="B22" s="90"/>
      <c r="C22" s="90"/>
    </row>
  </sheetData>
  <mergeCells count="4">
    <mergeCell ref="A1:D1"/>
    <mergeCell ref="A2:D2"/>
    <mergeCell ref="A3:D3"/>
    <mergeCell ref="A4:D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D6" sqref="D6"/>
    </sheetView>
  </sheetViews>
  <sheetFormatPr defaultRowHeight="15"/>
  <cols>
    <col min="1" max="1" width="5.21875" customWidth="1"/>
    <col min="3" max="3" width="18.77734375" customWidth="1"/>
    <col min="5" max="5" width="14" customWidth="1"/>
  </cols>
  <sheetData>
    <row r="1" spans="1:10" s="178" customFormat="1" ht="18.75">
      <c r="B1" s="568" t="s">
        <v>330</v>
      </c>
      <c r="C1" s="568"/>
      <c r="D1" s="568"/>
      <c r="E1" s="568"/>
      <c r="F1" s="568"/>
      <c r="G1" s="568"/>
      <c r="I1" s="202"/>
      <c r="J1" s="202"/>
    </row>
    <row r="2" spans="1:10" s="178" customFormat="1" ht="18.75">
      <c r="B2" s="568" t="s">
        <v>332</v>
      </c>
      <c r="C2" s="568"/>
      <c r="D2" s="568"/>
      <c r="E2" s="568"/>
      <c r="F2" s="568"/>
      <c r="G2" s="568"/>
    </row>
    <row r="3" spans="1:10" s="178" customFormat="1" ht="18.75">
      <c r="B3" s="568" t="s">
        <v>575</v>
      </c>
      <c r="C3" s="568"/>
      <c r="D3" s="568"/>
      <c r="E3" s="568"/>
      <c r="F3" s="568"/>
      <c r="G3" s="568"/>
    </row>
    <row r="4" spans="1:10" ht="18.75">
      <c r="A4" s="66"/>
      <c r="B4" s="569">
        <f>Coversheet!E7</f>
        <v>43465</v>
      </c>
      <c r="C4" s="569"/>
      <c r="D4" s="569"/>
      <c r="E4" s="569"/>
      <c r="F4" s="569"/>
      <c r="G4" s="569"/>
    </row>
    <row r="5" spans="1:10" ht="18.75">
      <c r="A5" s="66"/>
      <c r="B5" s="62"/>
      <c r="C5" s="63"/>
      <c r="D5" s="63"/>
      <c r="E5" s="48"/>
      <c r="F5" s="66"/>
      <c r="G5" s="66"/>
    </row>
    <row r="6" spans="1:10" ht="18.75">
      <c r="A6" s="66"/>
      <c r="C6" s="63"/>
      <c r="D6" s="50" t="s">
        <v>331</v>
      </c>
      <c r="E6" s="51">
        <f>Coversheet!F5</f>
        <v>2018</v>
      </c>
      <c r="F6" s="66"/>
      <c r="G6" s="66"/>
    </row>
    <row r="7" spans="1:10" ht="18.75">
      <c r="A7" s="66"/>
      <c r="B7" s="63"/>
      <c r="C7" s="63"/>
      <c r="D7" s="63"/>
      <c r="E7" s="61"/>
      <c r="F7" s="66"/>
      <c r="G7" s="66"/>
    </row>
    <row r="8" spans="1:10" ht="63">
      <c r="A8" s="69"/>
      <c r="B8" s="60" t="s">
        <v>352</v>
      </c>
      <c r="C8" s="60" t="s">
        <v>353</v>
      </c>
      <c r="D8" s="60" t="s">
        <v>354</v>
      </c>
      <c r="E8" s="60" t="s">
        <v>355</v>
      </c>
      <c r="F8" s="59"/>
      <c r="G8" s="69"/>
    </row>
    <row r="9" spans="1:10" ht="15.75">
      <c r="A9" s="69"/>
      <c r="B9" s="58">
        <v>1</v>
      </c>
      <c r="C9" s="58" t="s">
        <v>356</v>
      </c>
      <c r="D9" s="45">
        <f>$E$6-1</f>
        <v>2017</v>
      </c>
      <c r="E9" s="57">
        <v>354384</v>
      </c>
      <c r="F9" s="59"/>
      <c r="G9" s="69"/>
    </row>
    <row r="10" spans="1:10" ht="15.75">
      <c r="A10" s="66"/>
      <c r="B10" s="70">
        <v>2</v>
      </c>
      <c r="C10" s="70" t="s">
        <v>357</v>
      </c>
      <c r="D10" s="70">
        <f t="shared" ref="D10:D21" si="0">$E$6</f>
        <v>2018</v>
      </c>
      <c r="E10" s="57">
        <v>354384</v>
      </c>
      <c r="F10" s="56"/>
      <c r="G10" s="66"/>
    </row>
    <row r="11" spans="1:10" ht="15.75">
      <c r="A11" s="66"/>
      <c r="B11" s="70">
        <v>3</v>
      </c>
      <c r="C11" s="70" t="s">
        <v>358</v>
      </c>
      <c r="D11" s="70">
        <f t="shared" si="0"/>
        <v>2018</v>
      </c>
      <c r="E11" s="57">
        <v>354384</v>
      </c>
      <c r="F11" s="56"/>
      <c r="G11" s="66"/>
    </row>
    <row r="12" spans="1:10" ht="15.75">
      <c r="A12" s="66"/>
      <c r="B12" s="70">
        <v>4</v>
      </c>
      <c r="C12" s="70" t="s">
        <v>359</v>
      </c>
      <c r="D12" s="70">
        <f t="shared" si="0"/>
        <v>2018</v>
      </c>
      <c r="E12" s="57">
        <v>354384</v>
      </c>
      <c r="F12" s="56"/>
      <c r="G12" s="66"/>
    </row>
    <row r="13" spans="1:10" ht="15.75">
      <c r="A13" s="66"/>
      <c r="B13" s="70">
        <v>5</v>
      </c>
      <c r="C13" s="70" t="s">
        <v>360</v>
      </c>
      <c r="D13" s="70">
        <f t="shared" si="0"/>
        <v>2018</v>
      </c>
      <c r="E13" s="57">
        <v>354384</v>
      </c>
      <c r="F13" s="56"/>
      <c r="G13" s="66"/>
    </row>
    <row r="14" spans="1:10" ht="15.75">
      <c r="A14" s="66"/>
      <c r="B14" s="70">
        <v>6</v>
      </c>
      <c r="C14" s="70" t="s">
        <v>361</v>
      </c>
      <c r="D14" s="70">
        <f t="shared" si="0"/>
        <v>2018</v>
      </c>
      <c r="E14" s="57">
        <v>354384</v>
      </c>
      <c r="F14" s="56"/>
      <c r="G14" s="66"/>
    </row>
    <row r="15" spans="1:10" ht="15.75">
      <c r="A15" s="66"/>
      <c r="B15" s="70">
        <v>7</v>
      </c>
      <c r="C15" s="70" t="s">
        <v>362</v>
      </c>
      <c r="D15" s="70">
        <f t="shared" si="0"/>
        <v>2018</v>
      </c>
      <c r="E15" s="57">
        <v>354384</v>
      </c>
      <c r="F15" s="56"/>
      <c r="G15" s="66"/>
    </row>
    <row r="16" spans="1:10" ht="15.75">
      <c r="A16" s="66"/>
      <c r="B16" s="70">
        <v>8</v>
      </c>
      <c r="C16" s="70" t="s">
        <v>363</v>
      </c>
      <c r="D16" s="70">
        <f t="shared" si="0"/>
        <v>2018</v>
      </c>
      <c r="E16" s="57">
        <v>354384</v>
      </c>
      <c r="F16" s="56"/>
      <c r="G16" s="66"/>
    </row>
    <row r="17" spans="1:7" ht="15.75">
      <c r="A17" s="66"/>
      <c r="B17" s="70">
        <v>9</v>
      </c>
      <c r="C17" s="70" t="s">
        <v>364</v>
      </c>
      <c r="D17" s="70">
        <f t="shared" si="0"/>
        <v>2018</v>
      </c>
      <c r="E17" s="57">
        <v>354384</v>
      </c>
      <c r="F17" s="56"/>
      <c r="G17" s="66"/>
    </row>
    <row r="18" spans="1:7" ht="15.75">
      <c r="A18" s="66"/>
      <c r="B18" s="70">
        <v>10</v>
      </c>
      <c r="C18" s="70" t="s">
        <v>365</v>
      </c>
      <c r="D18" s="70">
        <f t="shared" si="0"/>
        <v>2018</v>
      </c>
      <c r="E18" s="57">
        <v>354384</v>
      </c>
      <c r="F18" s="56"/>
      <c r="G18" s="66"/>
    </row>
    <row r="19" spans="1:7" ht="15.75">
      <c r="A19" s="66"/>
      <c r="B19" s="70">
        <v>11</v>
      </c>
      <c r="C19" s="70" t="s">
        <v>366</v>
      </c>
      <c r="D19" s="70">
        <f t="shared" si="0"/>
        <v>2018</v>
      </c>
      <c r="E19" s="57">
        <v>354384</v>
      </c>
      <c r="F19" s="56"/>
      <c r="G19" s="66"/>
    </row>
    <row r="20" spans="1:7" ht="15.75">
      <c r="A20" s="66"/>
      <c r="B20" s="70">
        <v>12</v>
      </c>
      <c r="C20" s="70" t="s">
        <v>367</v>
      </c>
      <c r="D20" s="70">
        <f t="shared" si="0"/>
        <v>2018</v>
      </c>
      <c r="E20" s="57">
        <v>354384</v>
      </c>
      <c r="F20" s="56"/>
      <c r="G20" s="66"/>
    </row>
    <row r="21" spans="1:7" ht="15.75">
      <c r="A21" s="66"/>
      <c r="B21" s="70">
        <v>13</v>
      </c>
      <c r="C21" s="70" t="s">
        <v>356</v>
      </c>
      <c r="D21" s="70">
        <f t="shared" si="0"/>
        <v>2018</v>
      </c>
      <c r="E21" s="57">
        <v>354384</v>
      </c>
      <c r="F21" s="56"/>
      <c r="G21" s="66"/>
    </row>
    <row r="22" spans="1:7" ht="15.75">
      <c r="A22" s="66"/>
      <c r="B22" s="70">
        <v>14</v>
      </c>
      <c r="C22" s="56"/>
      <c r="D22" s="56"/>
      <c r="E22" s="56"/>
      <c r="F22" s="56"/>
      <c r="G22" s="66"/>
    </row>
    <row r="23" spans="1:7" ht="15.75">
      <c r="A23" s="66"/>
      <c r="B23" s="70">
        <v>15</v>
      </c>
      <c r="C23" s="68" t="s">
        <v>368</v>
      </c>
      <c r="D23" s="67"/>
      <c r="E23" s="55">
        <f>SUM(E9:E21)/13</f>
        <v>354384</v>
      </c>
      <c r="F23" s="194" t="s">
        <v>592</v>
      </c>
    </row>
    <row r="24" spans="1:7">
      <c r="A24" s="66"/>
      <c r="B24" s="66"/>
      <c r="C24" s="66"/>
      <c r="D24" s="66"/>
      <c r="E24" s="66"/>
      <c r="F24" s="66"/>
      <c r="G24" s="66"/>
    </row>
    <row r="25" spans="1:7">
      <c r="A25" s="66"/>
      <c r="B25" s="66"/>
      <c r="C25" s="66"/>
      <c r="D25" s="66"/>
      <c r="E25" s="66"/>
      <c r="F25" s="66"/>
      <c r="G25" s="66"/>
    </row>
  </sheetData>
  <mergeCells count="4">
    <mergeCell ref="B1:G1"/>
    <mergeCell ref="B2:G2"/>
    <mergeCell ref="B3:G3"/>
    <mergeCell ref="B4:G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vt:i4>
      </vt:variant>
    </vt:vector>
  </HeadingPairs>
  <TitlesOfParts>
    <vt:vector size="22" baseType="lpstr">
      <vt:lpstr>Coversheet</vt:lpstr>
      <vt:lpstr>Nonlevelized-EIA 412</vt:lpstr>
      <vt:lpstr>Weighted True-Up</vt:lpstr>
      <vt:lpstr>Quick Bal</vt:lpstr>
      <vt:lpstr>Divisor</vt:lpstr>
      <vt:lpstr>Plant</vt:lpstr>
      <vt:lpstr>Depr Rates</vt:lpstr>
      <vt:lpstr>Adj to Rate Base</vt:lpstr>
      <vt:lpstr>Land Held for future use</vt:lpstr>
      <vt:lpstr>Materials &amp; PrePay</vt:lpstr>
      <vt:lpstr>Capital Structure</vt:lpstr>
      <vt:lpstr>Transmission O&amp;M</vt:lpstr>
      <vt:lpstr>Admin &amp; General</vt:lpstr>
      <vt:lpstr>FERC Fees</vt:lpstr>
      <vt:lpstr>EPRI Reg Comm Non Safety</vt:lpstr>
      <vt:lpstr>Taxes other than Inc Taxes</vt:lpstr>
      <vt:lpstr>Wages &amp; Salaries</vt:lpstr>
      <vt:lpstr>Acct 454</vt:lpstr>
      <vt:lpstr>Acct 456.1</vt:lpstr>
      <vt:lpstr>LT Interest</vt:lpstr>
      <vt:lpstr>'Admin &amp; General'!Print_Area</vt:lpstr>
      <vt:lpstr>'Nonlevelized-EIA 412'!Print_Area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 Coultas</dc:creator>
  <cp:lastModifiedBy>Chris Carlson</cp:lastModifiedBy>
  <cp:lastPrinted>2016-11-15T13:49:06Z</cp:lastPrinted>
  <dcterms:created xsi:type="dcterms:W3CDTF">2008-03-20T17:17:49Z</dcterms:created>
  <dcterms:modified xsi:type="dcterms:W3CDTF">2017-09-29T14:56:21Z</dcterms:modified>
</cp:coreProperties>
</file>