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Trans Formula Rate\2017 TFR Update\2017 FRT Update\"/>
    </mc:Choice>
  </mc:AlternateContent>
  <bookViews>
    <workbookView xWindow="0" yWindow="0" windowWidth="28800" windowHeight="12504" tabRatio="839" firstSheet="1" activeTab="1"/>
  </bookViews>
  <sheets>
    <sheet name="Index" sheetId="1" r:id="rId1"/>
    <sheet name="Summary ATRR" sheetId="2" r:id="rId2"/>
    <sheet name="Revenue Requirements Schedule 1" sheetId="3" r:id="rId3"/>
    <sheet name="Worksheet A, Rate Base" sheetId="4" r:id="rId4"/>
    <sheet name="Worksheet B, Expenses" sheetId="5" r:id="rId5"/>
    <sheet name="Worksheet C, Return" sheetId="25" r:id="rId6"/>
    <sheet name="Worksheet D, Load" sheetId="7" r:id="rId7"/>
    <sheet name="Worksheet E, Alloc. Factor" sheetId="8" r:id="rId8"/>
    <sheet name="Worksheet F, Inputs" sheetId="9" r:id="rId9"/>
    <sheet name="Worksheet G, O&amp;M Input" sheetId="10" r:id="rId10"/>
    <sheet name="Worksheet H SPP Upgrade Proj." sheetId="26" r:id="rId11"/>
    <sheet name="Worksheet I Reconciliation" sheetId="12" r:id="rId12"/>
    <sheet name="Worksheet J, Depr Rates" sheetId="13" r:id="rId13"/>
    <sheet name="Worksheet K, Wages Input" sheetId="15" r:id="rId14"/>
    <sheet name="Worksheet L, Depr Input" sheetId="16" r:id="rId15"/>
    <sheet name="Worksheet M, TranPlant Funct" sheetId="17" r:id="rId16"/>
    <sheet name="Worksheet N, OthRev Input" sheetId="18" r:id="rId17"/>
    <sheet name="Worksheet O, CWIP" sheetId="27" r:id="rId18"/>
    <sheet name="Worksheet P, CCnC" sheetId="20" r:id="rId19"/>
    <sheet name="Worksheet Q, Future Use" sheetId="21" r:id="rId20"/>
    <sheet name="Worksheet R, Reg. &amp; Comm. Exp." sheetId="23" r:id="rId21"/>
    <sheet name="Worksheet S, Qualified Subs" sheetId="29" r:id="rId22"/>
    <sheet name="Worksheet T, Qualified Lines" sheetId="30" r:id="rId23"/>
    <sheet name="Worksheet U 575 576 Expense" sheetId="3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ADM1" localSheetId="5">#REF!</definedName>
    <definedName name="_ADM1" localSheetId="6">#REF!</definedName>
    <definedName name="_ADM1" localSheetId="10">#REF!</definedName>
    <definedName name="_ADM1" localSheetId="11">#REF!</definedName>
    <definedName name="_ADM1" localSheetId="13">#REF!</definedName>
    <definedName name="_ADM1" localSheetId="16">#REF!</definedName>
    <definedName name="_ADM1" localSheetId="17">#REF!</definedName>
    <definedName name="_ADM1" localSheetId="18">#REF!</definedName>
    <definedName name="_ADM1" localSheetId="19">#REF!</definedName>
    <definedName name="_ADM1" localSheetId="20">#REF!</definedName>
    <definedName name="_ADM1">#REF!</definedName>
    <definedName name="_ADM2" localSheetId="5">#REF!</definedName>
    <definedName name="_ADM2" localSheetId="6">#REF!</definedName>
    <definedName name="_ADM2" localSheetId="10">#REF!</definedName>
    <definedName name="_ADM2" localSheetId="11">#REF!</definedName>
    <definedName name="_ADM2" localSheetId="13">#REF!</definedName>
    <definedName name="_ADM2" localSheetId="16">#REF!</definedName>
    <definedName name="_ADM2" localSheetId="17">#REF!</definedName>
    <definedName name="_ADM2" localSheetId="18">#REF!</definedName>
    <definedName name="_ADM2" localSheetId="19">#REF!</definedName>
    <definedName name="_ADM2" localSheetId="20">#REF!</definedName>
    <definedName name="_ADM2">#REF!</definedName>
    <definedName name="_DSR1" localSheetId="5">[1]ratio!#REF!</definedName>
    <definedName name="_DSR1" localSheetId="10">[1]ratio!#REF!</definedName>
    <definedName name="_DSR1" localSheetId="11">[2]ratio!#REF!</definedName>
    <definedName name="_DSR1" localSheetId="17">[1]ratio!#REF!</definedName>
    <definedName name="_DSR1" localSheetId="18">[1]ratio!#REF!</definedName>
    <definedName name="_DSR1" localSheetId="19">[2]ratio!#REF!</definedName>
    <definedName name="_DSR1" localSheetId="20">[2]ratio!#REF!</definedName>
    <definedName name="_DSR1">[1]ratio!#REF!</definedName>
    <definedName name="_DSR2" localSheetId="5">[1]ratio!#REF!</definedName>
    <definedName name="_DSR2" localSheetId="10">[1]ratio!#REF!</definedName>
    <definedName name="_DSR2" localSheetId="11">[2]ratio!#REF!</definedName>
    <definedName name="_DSR2" localSheetId="17">[1]ratio!#REF!</definedName>
    <definedName name="_DSR2" localSheetId="18">[1]ratio!#REF!</definedName>
    <definedName name="_DSR2" localSheetId="19">[2]ratio!#REF!</definedName>
    <definedName name="_DSR2" localSheetId="20">[2]ratio!#REF!</definedName>
    <definedName name="_DSR2">[1]ratio!#REF!</definedName>
    <definedName name="_xlnm._FilterDatabase" localSheetId="10" hidden="1">'Worksheet H SPP Upgrade Proj.'!$A$10:$W$175</definedName>
    <definedName name="_INT1" localSheetId="5">#REF!</definedName>
    <definedName name="_INT1" localSheetId="6">#REF!</definedName>
    <definedName name="_INT1" localSheetId="10">#REF!</definedName>
    <definedName name="_INT1" localSheetId="11">#REF!</definedName>
    <definedName name="_INT1" localSheetId="13">#REF!</definedName>
    <definedName name="_INT1" localSheetId="16">#REF!</definedName>
    <definedName name="_INT1" localSheetId="17">#REF!</definedName>
    <definedName name="_INT1" localSheetId="18">#REF!</definedName>
    <definedName name="_INT1" localSheetId="19">#REF!</definedName>
    <definedName name="_INT1" localSheetId="20">#REF!</definedName>
    <definedName name="_INT1">#REF!</definedName>
    <definedName name="_INT2" localSheetId="5">#REF!</definedName>
    <definedName name="_INT2" localSheetId="6">#REF!</definedName>
    <definedName name="_INT2" localSheetId="10">#REF!</definedName>
    <definedName name="_INT2" localSheetId="11">#REF!</definedName>
    <definedName name="_INT2" localSheetId="13">#REF!</definedName>
    <definedName name="_INT2" localSheetId="16">#REF!</definedName>
    <definedName name="_INT2" localSheetId="17">#REF!</definedName>
    <definedName name="_INT2" localSheetId="18">#REF!</definedName>
    <definedName name="_INT2" localSheetId="19">#REF!</definedName>
    <definedName name="_INT2" localSheetId="20">#REF!</definedName>
    <definedName name="_INT2">#REF!</definedName>
    <definedName name="_INT3" localSheetId="5">#REF!</definedName>
    <definedName name="_INT3" localSheetId="6">#REF!</definedName>
    <definedName name="_INT3" localSheetId="10">#REF!</definedName>
    <definedName name="_INT3" localSheetId="11">#REF!</definedName>
    <definedName name="_INT3" localSheetId="13">#REF!</definedName>
    <definedName name="_INT3" localSheetId="16">#REF!</definedName>
    <definedName name="_INT3" localSheetId="17">#REF!</definedName>
    <definedName name="_INT3" localSheetId="18">#REF!</definedName>
    <definedName name="_INT3" localSheetId="19">#REF!</definedName>
    <definedName name="_INT3" localSheetId="20">#REF!</definedName>
    <definedName name="_INT3">#REF!</definedName>
    <definedName name="_INT4" localSheetId="5">#REF!</definedName>
    <definedName name="_INT4" localSheetId="6">#REF!</definedName>
    <definedName name="_INT4" localSheetId="10">#REF!</definedName>
    <definedName name="_INT4" localSheetId="13">#REF!</definedName>
    <definedName name="_INT4" localSheetId="16">#REF!</definedName>
    <definedName name="_INT4" localSheetId="17">#REF!</definedName>
    <definedName name="_INT4" localSheetId="18">#REF!</definedName>
    <definedName name="_INT4" localSheetId="20">#REF!</definedName>
    <definedName name="_INT4">#REF!</definedName>
    <definedName name="_LEA1" localSheetId="5">#REF!</definedName>
    <definedName name="_LEA1" localSheetId="6">#REF!</definedName>
    <definedName name="_LEA1" localSheetId="10">#REF!</definedName>
    <definedName name="_LEA1" localSheetId="13">#REF!</definedName>
    <definedName name="_LEA1" localSheetId="16">#REF!</definedName>
    <definedName name="_LEA1" localSheetId="17">#REF!</definedName>
    <definedName name="_LEA1" localSheetId="18">#REF!</definedName>
    <definedName name="_LEA1" localSheetId="20">#REF!</definedName>
    <definedName name="_LEA1">#REF!</definedName>
    <definedName name="_LEA2" localSheetId="5">#REF!</definedName>
    <definedName name="_LEA2" localSheetId="6">#REF!</definedName>
    <definedName name="_LEA2" localSheetId="10">#REF!</definedName>
    <definedName name="_LEA2" localSheetId="13">#REF!</definedName>
    <definedName name="_LEA2" localSheetId="16">#REF!</definedName>
    <definedName name="_LEA2" localSheetId="17">#REF!</definedName>
    <definedName name="_LEA2" localSheetId="18">#REF!</definedName>
    <definedName name="_LEA2" localSheetId="20">#REF!</definedName>
    <definedName name="_LEA2">#REF!</definedName>
    <definedName name="_SPR1" localSheetId="5">#REF!</definedName>
    <definedName name="_SPR1" localSheetId="6">#REF!</definedName>
    <definedName name="_SPR1" localSheetId="10">#REF!</definedName>
    <definedName name="_SPR1" localSheetId="13">#REF!</definedName>
    <definedName name="_SPR1" localSheetId="16">#REF!</definedName>
    <definedName name="_SPR1" localSheetId="17">#REF!</definedName>
    <definedName name="_SPR1" localSheetId="18">#REF!</definedName>
    <definedName name="_SPR1" localSheetId="20">#REF!</definedName>
    <definedName name="_SPR1">#REF!</definedName>
    <definedName name="_SPR2" localSheetId="5">#REF!</definedName>
    <definedName name="_SPR2" localSheetId="6">#REF!</definedName>
    <definedName name="_SPR2" localSheetId="10">#REF!</definedName>
    <definedName name="_SPR2" localSheetId="13">#REF!</definedName>
    <definedName name="_SPR2" localSheetId="16">#REF!</definedName>
    <definedName name="_SPR2" localSheetId="17">#REF!</definedName>
    <definedName name="_SPR2" localSheetId="18">#REF!</definedName>
    <definedName name="_SPR2" localSheetId="20">#REF!</definedName>
    <definedName name="_SPR2">#REF!</definedName>
    <definedName name="A" localSheetId="5">#REF!</definedName>
    <definedName name="A" localSheetId="6">#REF!</definedName>
    <definedName name="A" localSheetId="10">#REF!</definedName>
    <definedName name="A" localSheetId="13">#REF!</definedName>
    <definedName name="A" localSheetId="16">#REF!</definedName>
    <definedName name="A" localSheetId="17">#REF!</definedName>
    <definedName name="A" localSheetId="18">#REF!</definedName>
    <definedName name="A" localSheetId="20">#REF!</definedName>
    <definedName name="A">#REF!</definedName>
    <definedName name="AlloFactors" localSheetId="11">'[3]Worksheet E, Alloc. Factor'!$B$98:$F$119</definedName>
    <definedName name="AlloFactors" localSheetId="19">'[3]Worksheet E, Alloc. Factor'!$B$98:$F$119</definedName>
    <definedName name="AlloFactors" localSheetId="20">'[3]Worksheet E, Alloc. Factor'!$B$98:$F$119</definedName>
    <definedName name="AlloFactors">'Worksheet E, Alloc. Factor'!$B$45:$F$54</definedName>
    <definedName name="Allofacts" localSheetId="11">'[2]Apx E - ATRR - Total'!$L$335:$Q$352</definedName>
    <definedName name="Allofacts" localSheetId="19">'[2]Apx E - ATRR - Total'!$L$335:$Q$352</definedName>
    <definedName name="Allofacts" localSheetId="20">'[2]Apx E - ATRR - Total'!$L$335:$Q$352</definedName>
    <definedName name="Allofacts">'[1]Apx E - ATRR - Total'!$L$335:$Q$352</definedName>
    <definedName name="AvgPlant" localSheetId="5">Index!#REF!</definedName>
    <definedName name="AvgPlant" localSheetId="10">Index!#REF!</definedName>
    <definedName name="AvgPlant" localSheetId="11">[4]Index!$D$31</definedName>
    <definedName name="AvgPlant" localSheetId="17">[5]Index!#REF!</definedName>
    <definedName name="AvgPlant" localSheetId="18">Index!#REF!</definedName>
    <definedName name="AvgPlant" localSheetId="19">[3]Index!#REF!</definedName>
    <definedName name="AvgPlant" localSheetId="20">[6]Index!#REF!</definedName>
    <definedName name="AvgPlant" localSheetId="23">[7]Index!#REF!</definedName>
    <definedName name="AvgPlant">Index!#REF!</definedName>
    <definedName name="AvgPlant1" localSheetId="5">[8]Index!#REF!</definedName>
    <definedName name="AvgPlant1" localSheetId="10">[8]Index!#REF!</definedName>
    <definedName name="AvgPlant1" localSheetId="11">[8]Index!#REF!</definedName>
    <definedName name="AvgPlant1" localSheetId="17">[8]Index!#REF!</definedName>
    <definedName name="AvgPlant1" localSheetId="18">[8]Index!#REF!</definedName>
    <definedName name="AvgPlant1" localSheetId="20">[9]Index!#REF!</definedName>
    <definedName name="AvgPlant1" localSheetId="23">[9]Index!#REF!</definedName>
    <definedName name="AvgPlant1">[8]Index!#REF!</definedName>
    <definedName name="AvgPlant2" localSheetId="5">[10]Index!#REF!</definedName>
    <definedName name="AvgPlant2" localSheetId="10">[10]Index!#REF!</definedName>
    <definedName name="AvgPlant2" localSheetId="11">[10]Index!#REF!</definedName>
    <definedName name="AvgPlant2" localSheetId="17">[10]Index!#REF!</definedName>
    <definedName name="AvgPlant2" localSheetId="18">[10]Index!#REF!</definedName>
    <definedName name="AvgPlant2" localSheetId="20">[11]Index!#REF!</definedName>
    <definedName name="AvgPlant2" localSheetId="23">[11]Index!#REF!</definedName>
    <definedName name="AvgPlant2">[10]Index!#REF!</definedName>
    <definedName name="AvgPlant3" localSheetId="5">[8]Index!#REF!</definedName>
    <definedName name="AvgPlant3" localSheetId="10">[8]Index!#REF!</definedName>
    <definedName name="AvgPlant3" localSheetId="11">[8]Index!#REF!</definedName>
    <definedName name="AvgPlant3" localSheetId="17">[8]Index!#REF!</definedName>
    <definedName name="AvgPlant3" localSheetId="18">[8]Index!#REF!</definedName>
    <definedName name="AvgPlant3" localSheetId="20">[9]Index!#REF!</definedName>
    <definedName name="AvgPlant3" localSheetId="23">[9]Index!#REF!</definedName>
    <definedName name="AvgPlant3">[8]Index!#REF!</definedName>
    <definedName name="AvgPlant5" localSheetId="5">[10]Index!#REF!</definedName>
    <definedName name="AvgPlant5" localSheetId="10">[10]Index!#REF!</definedName>
    <definedName name="AvgPlant5" localSheetId="11">[10]Index!#REF!</definedName>
    <definedName name="AvgPlant5" localSheetId="17">[10]Index!#REF!</definedName>
    <definedName name="AvgPlant5" localSheetId="18">[10]Index!#REF!</definedName>
    <definedName name="AvgPlant5" localSheetId="20">[11]Index!#REF!</definedName>
    <definedName name="AvgPlant5" localSheetId="23">[11]Index!#REF!</definedName>
    <definedName name="AvgPlant5">[10]Index!#REF!</definedName>
    <definedName name="B" localSheetId="13">'Worksheet K, Wages Input'!#REF!</definedName>
    <definedName name="BalName" localSheetId="5">Index!#REF!</definedName>
    <definedName name="BalName" localSheetId="10">Index!#REF!</definedName>
    <definedName name="BalName" localSheetId="11">[4]Index!$G$33</definedName>
    <definedName name="BalName" localSheetId="17">[5]Index!#REF!</definedName>
    <definedName name="BalName" localSheetId="18">Index!#REF!</definedName>
    <definedName name="BalName" localSheetId="19">[3]Index!#REF!</definedName>
    <definedName name="BalName" localSheetId="20">[6]Index!#REF!</definedName>
    <definedName name="BalName" localSheetId="23">[7]Index!#REF!</definedName>
    <definedName name="BalName">Index!#REF!</definedName>
    <definedName name="BalName1" localSheetId="5">[12]Index!#REF!</definedName>
    <definedName name="BalName1" localSheetId="10">[12]Index!#REF!</definedName>
    <definedName name="BalName1" localSheetId="11">[12]Index!#REF!</definedName>
    <definedName name="BalName1" localSheetId="17">[12]Index!#REF!</definedName>
    <definedName name="BalName1" localSheetId="18">[12]Index!#REF!</definedName>
    <definedName name="BalName1" localSheetId="20">[9]Index!#REF!</definedName>
    <definedName name="BalName1" localSheetId="23">[9]Index!#REF!</definedName>
    <definedName name="BalName1">[12]Index!#REF!</definedName>
    <definedName name="BalName2" localSheetId="5">[10]Index!#REF!</definedName>
    <definedName name="BalName2" localSheetId="10">[10]Index!#REF!</definedName>
    <definedName name="BalName2" localSheetId="11">[10]Index!#REF!</definedName>
    <definedName name="BalName2" localSheetId="17">[10]Index!#REF!</definedName>
    <definedName name="BalName2" localSheetId="18">[10]Index!#REF!</definedName>
    <definedName name="BalName2" localSheetId="20">[11]Index!#REF!</definedName>
    <definedName name="BalName2" localSheetId="23">[11]Index!#REF!</definedName>
    <definedName name="BalName2">[10]Index!#REF!</definedName>
    <definedName name="C_" localSheetId="5">'[13]RR 8 2'!#REF!</definedName>
    <definedName name="C_" localSheetId="6">'[13]RR 8 2'!#REF!</definedName>
    <definedName name="C_" localSheetId="10">'[13]RR 8 2'!#REF!</definedName>
    <definedName name="C_" localSheetId="11">'[13]RR 8 2'!#REF!</definedName>
    <definedName name="C_" localSheetId="13">'[13]RR 8 2'!#REF!</definedName>
    <definedName name="C_" localSheetId="16">'[13]RR 8 2'!#REF!</definedName>
    <definedName name="C_" localSheetId="17">'[13]RR 8 2'!#REF!</definedName>
    <definedName name="C_" localSheetId="18">'[13]RR 8 2'!#REF!</definedName>
    <definedName name="C_" localSheetId="19">'[13]RR 8 2'!#REF!</definedName>
    <definedName name="C_" localSheetId="20">'[13]RR 8 2'!#REF!</definedName>
    <definedName name="C_">'[13]RR 8 2'!#REF!</definedName>
    <definedName name="CAPSUM1" localSheetId="5">#REF!</definedName>
    <definedName name="CAPSUM1" localSheetId="6">#REF!</definedName>
    <definedName name="CAPSUM1" localSheetId="10">#REF!</definedName>
    <definedName name="CAPSUM1" localSheetId="11">#REF!</definedName>
    <definedName name="CAPSUM1" localSheetId="13">#REF!</definedName>
    <definedName name="CAPSUM1" localSheetId="16">#REF!</definedName>
    <definedName name="CAPSUM1" localSheetId="17">#REF!</definedName>
    <definedName name="CAPSUM1" localSheetId="18">#REF!</definedName>
    <definedName name="CAPSUM1" localSheetId="19">#REF!</definedName>
    <definedName name="CAPSUM1" localSheetId="20">#REF!</definedName>
    <definedName name="CAPSUM1">#REF!</definedName>
    <definedName name="CAPSUM2" localSheetId="5">#REF!</definedName>
    <definedName name="CAPSUM2" localSheetId="6">#REF!</definedName>
    <definedName name="CAPSUM2" localSheetId="10">#REF!</definedName>
    <definedName name="CAPSUM2" localSheetId="11">#REF!</definedName>
    <definedName name="CAPSUM2" localSheetId="13">#REF!</definedName>
    <definedName name="CAPSUM2" localSheetId="16">#REF!</definedName>
    <definedName name="CAPSUM2" localSheetId="17">#REF!</definedName>
    <definedName name="CAPSUM2" localSheetId="18">#REF!</definedName>
    <definedName name="CAPSUM2" localSheetId="19">#REF!</definedName>
    <definedName name="CAPSUM2" localSheetId="20">#REF!</definedName>
    <definedName name="CAPSUM2">#REF!</definedName>
    <definedName name="EIGHT" localSheetId="5">#REF!</definedName>
    <definedName name="EIGHT" localSheetId="6">#REF!</definedName>
    <definedName name="EIGHT" localSheetId="10">#REF!</definedName>
    <definedName name="EIGHT" localSheetId="11">#REF!</definedName>
    <definedName name="EIGHT" localSheetId="13">#REF!</definedName>
    <definedName name="EIGHT" localSheetId="16">#REF!</definedName>
    <definedName name="EIGHT" localSheetId="17">#REF!</definedName>
    <definedName name="EIGHT" localSheetId="18">#REF!</definedName>
    <definedName name="EIGHT" localSheetId="19">#REF!</definedName>
    <definedName name="EIGHT" localSheetId="20">#REF!</definedName>
    <definedName name="EIGHT">#REF!</definedName>
    <definedName name="Elec08185">'[14]ALLOC FAC'!$N$22</definedName>
    <definedName name="Elec08189">'[14]ALLOC FAC'!$N$23</definedName>
    <definedName name="Elec08194">'[14]ALLOC FAC'!$N$24</definedName>
    <definedName name="Elec08992">'[14]ALLOC FAC'!$N$30</definedName>
    <definedName name="ELEVEN" localSheetId="5">#REF!</definedName>
    <definedName name="ELEVEN" localSheetId="6">#REF!</definedName>
    <definedName name="ELEVEN" localSheetId="10">#REF!</definedName>
    <definedName name="ELEVEN" localSheetId="11">#REF!</definedName>
    <definedName name="ELEVEN" localSheetId="13">#REF!</definedName>
    <definedName name="ELEVEN" localSheetId="16">#REF!</definedName>
    <definedName name="ELEVEN" localSheetId="17">#REF!</definedName>
    <definedName name="ELEVEN" localSheetId="18">#REF!</definedName>
    <definedName name="ELEVEN" localSheetId="19">#REF!</definedName>
    <definedName name="ELEVEN" localSheetId="20">#REF!</definedName>
    <definedName name="ELEVEN">#REF!</definedName>
    <definedName name="ENBAL1" localSheetId="5">[1]rev1!#REF!</definedName>
    <definedName name="ENBAL1" localSheetId="10">[1]rev1!#REF!</definedName>
    <definedName name="ENBAL1" localSheetId="11">[2]rev1!#REF!</definedName>
    <definedName name="ENBAL1" localSheetId="13">[1]rev1!#REF!</definedName>
    <definedName name="ENBAL1" localSheetId="16">[1]rev1!#REF!</definedName>
    <definedName name="ENBAL1" localSheetId="17">[1]rev1!#REF!</definedName>
    <definedName name="ENBAL1" localSheetId="18">[1]rev1!#REF!</definedName>
    <definedName name="ENBAL1" localSheetId="19">[2]rev1!#REF!</definedName>
    <definedName name="ENBAL1" localSheetId="20">[2]rev1!#REF!</definedName>
    <definedName name="ENBAL1">[1]rev1!#REF!</definedName>
    <definedName name="ENBAL2" localSheetId="5">[1]rev1!#REF!</definedName>
    <definedName name="ENBAL2" localSheetId="10">[1]rev1!#REF!</definedName>
    <definedName name="ENBAL2" localSheetId="11">[2]rev1!#REF!</definedName>
    <definedName name="ENBAL2" localSheetId="13">[1]rev1!#REF!</definedName>
    <definedName name="ENBAL2" localSheetId="16">[1]rev1!#REF!</definedName>
    <definedName name="ENBAL2" localSheetId="17">[1]rev1!#REF!</definedName>
    <definedName name="ENBAL2" localSheetId="18">[1]rev1!#REF!</definedName>
    <definedName name="ENBAL2" localSheetId="19">[2]rev1!#REF!</definedName>
    <definedName name="ENBAL2" localSheetId="20">[2]rev1!#REF!</definedName>
    <definedName name="ENBAL2">[1]rev1!#REF!</definedName>
    <definedName name="FILENAME" localSheetId="5">#REF!</definedName>
    <definedName name="FILENAME" localSheetId="6">#REF!</definedName>
    <definedName name="FILENAME" localSheetId="10">#REF!</definedName>
    <definedName name="FILENAME" localSheetId="11">#REF!</definedName>
    <definedName name="FILENAME" localSheetId="13">#REF!</definedName>
    <definedName name="FILENAME" localSheetId="16">#REF!</definedName>
    <definedName name="FILENAME" localSheetId="17">#REF!</definedName>
    <definedName name="FILENAME" localSheetId="18">#REF!</definedName>
    <definedName name="FILENAME" localSheetId="19">#REF!</definedName>
    <definedName name="FILENAME" localSheetId="20">#REF!</definedName>
    <definedName name="FILENAME">#REF!</definedName>
    <definedName name="FIVE" localSheetId="5">#REF!</definedName>
    <definedName name="FIVE" localSheetId="6">#REF!</definedName>
    <definedName name="FIVE" localSheetId="10">#REF!</definedName>
    <definedName name="FIVE" localSheetId="11">#REF!</definedName>
    <definedName name="FIVE" localSheetId="13">#REF!</definedName>
    <definedName name="FIVE" localSheetId="16">#REF!</definedName>
    <definedName name="FIVE" localSheetId="17">#REF!</definedName>
    <definedName name="FIVE" localSheetId="18">#REF!</definedName>
    <definedName name="FIVE" localSheetId="19">#REF!</definedName>
    <definedName name="FIVE" localSheetId="20">#REF!</definedName>
    <definedName name="FIVE">#REF!</definedName>
    <definedName name="Formula" localSheetId="23">[15]Index!$A$5</definedName>
    <definedName name="Formula">[16]Index!$A$5</definedName>
    <definedName name="FOUR" localSheetId="5">#REF!</definedName>
    <definedName name="FOUR" localSheetId="6">#REF!</definedName>
    <definedName name="FOUR" localSheetId="10">#REF!</definedName>
    <definedName name="FOUR" localSheetId="11">#REF!</definedName>
    <definedName name="FOUR" localSheetId="13">#REF!</definedName>
    <definedName name="FOUR" localSheetId="16">#REF!</definedName>
    <definedName name="FOUR" localSheetId="17">#REF!</definedName>
    <definedName name="FOUR" localSheetId="18">#REF!</definedName>
    <definedName name="FOUR" localSheetId="19">#REF!</definedName>
    <definedName name="FOUR" localSheetId="20">#REF!</definedName>
    <definedName name="FOUR">#REF!</definedName>
    <definedName name="FuelCost1" localSheetId="5">#REF!</definedName>
    <definedName name="FuelCost1" localSheetId="6">#REF!</definedName>
    <definedName name="FuelCost1" localSheetId="10">#REF!</definedName>
    <definedName name="FuelCost1" localSheetId="13">#REF!</definedName>
    <definedName name="FuelCost1" localSheetId="16">#REF!</definedName>
    <definedName name="FuelCost1" localSheetId="17">#REF!</definedName>
    <definedName name="FuelCost1" localSheetId="18">#REF!</definedName>
    <definedName name="FuelCost1" localSheetId="20">#REF!</definedName>
    <definedName name="FuelCost1">#REF!</definedName>
    <definedName name="FuelCost2" localSheetId="5">#REF!</definedName>
    <definedName name="FuelCost2" localSheetId="6">#REF!</definedName>
    <definedName name="FuelCost2" localSheetId="10">#REF!</definedName>
    <definedName name="FuelCost2" localSheetId="13">#REF!</definedName>
    <definedName name="FuelCost2" localSheetId="16">#REF!</definedName>
    <definedName name="FuelCost2" localSheetId="17">#REF!</definedName>
    <definedName name="FuelCost2" localSheetId="18">#REF!</definedName>
    <definedName name="FuelCost2" localSheetId="20">#REF!</definedName>
    <definedName name="FuelCost2">#REF!</definedName>
    <definedName name="GENCAP1" localSheetId="5">#REF!</definedName>
    <definedName name="GENCAP1" localSheetId="6">#REF!</definedName>
    <definedName name="GENCAP1" localSheetId="10">#REF!</definedName>
    <definedName name="GENCAP1" localSheetId="13">#REF!</definedName>
    <definedName name="GENCAP1" localSheetId="16">#REF!</definedName>
    <definedName name="GENCAP1" localSheetId="17">#REF!</definedName>
    <definedName name="GENCAP1" localSheetId="18">#REF!</definedName>
    <definedName name="GENCAP1" localSheetId="20">#REF!</definedName>
    <definedName name="GENCAP1">#REF!</definedName>
    <definedName name="GENCAP2" localSheetId="5">#REF!</definedName>
    <definedName name="GENCAP2" localSheetId="6">#REF!</definedName>
    <definedName name="GENCAP2" localSheetId="10">#REF!</definedName>
    <definedName name="GENCAP2" localSheetId="13">#REF!</definedName>
    <definedName name="GENCAP2" localSheetId="16">#REF!</definedName>
    <definedName name="GENCAP2" localSheetId="17">#REF!</definedName>
    <definedName name="GENCAP2" localSheetId="18">#REF!</definedName>
    <definedName name="GENCAP2" localSheetId="20">#REF!</definedName>
    <definedName name="GENCAP2">#REF!</definedName>
    <definedName name="GENCAP3" localSheetId="5">#REF!</definedName>
    <definedName name="GENCAP3" localSheetId="6">#REF!</definedName>
    <definedName name="GENCAP3" localSheetId="10">#REF!</definedName>
    <definedName name="GENCAP3" localSheetId="13">#REF!</definedName>
    <definedName name="GENCAP3" localSheetId="16">#REF!</definedName>
    <definedName name="GENCAP3" localSheetId="17">#REF!</definedName>
    <definedName name="GENCAP3" localSheetId="18">#REF!</definedName>
    <definedName name="GENCAP3" localSheetId="20">#REF!</definedName>
    <definedName name="GENCAP3">#REF!</definedName>
    <definedName name="GENCAP4" localSheetId="5">#REF!</definedName>
    <definedName name="GENCAP4" localSheetId="6">#REF!</definedName>
    <definedName name="GENCAP4" localSheetId="10">#REF!</definedName>
    <definedName name="GENCAP4" localSheetId="13">#REF!</definedName>
    <definedName name="GENCAP4" localSheetId="16">#REF!</definedName>
    <definedName name="GENCAP4" localSheetId="17">#REF!</definedName>
    <definedName name="GENCAP4" localSheetId="18">#REF!</definedName>
    <definedName name="GENCAP4" localSheetId="20">#REF!</definedName>
    <definedName name="GENCAP4">#REF!</definedName>
    <definedName name="GenOM1" localSheetId="5">#REF!</definedName>
    <definedName name="GenOM1" localSheetId="6">#REF!</definedName>
    <definedName name="GenOM1" localSheetId="10">#REF!</definedName>
    <definedName name="GenOM1" localSheetId="13">#REF!</definedName>
    <definedName name="GenOM1" localSheetId="16">#REF!</definedName>
    <definedName name="GenOM1" localSheetId="17">#REF!</definedName>
    <definedName name="GenOM1" localSheetId="18">#REF!</definedName>
    <definedName name="GenOM1" localSheetId="20">#REF!</definedName>
    <definedName name="GenOM1">#REF!</definedName>
    <definedName name="Historical" localSheetId="5">[12]Index!#REF!</definedName>
    <definedName name="Historical" localSheetId="10">[12]Index!#REF!</definedName>
    <definedName name="Historical" localSheetId="17">[12]Index!#REF!</definedName>
    <definedName name="Historical" localSheetId="18">[12]Index!#REF!</definedName>
    <definedName name="Historical" localSheetId="20">[6]Index!#REF!</definedName>
    <definedName name="Historical" localSheetId="23">[17]Index!$D$33</definedName>
    <definedName name="Historical">[12]Index!#REF!</definedName>
    <definedName name="INDEX" localSheetId="5">#REF!</definedName>
    <definedName name="INDEX" localSheetId="6">#REF!</definedName>
    <definedName name="INDEX" localSheetId="10">#REF!</definedName>
    <definedName name="INDEX" localSheetId="11">#REF!</definedName>
    <definedName name="INDEX" localSheetId="13">#REF!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#REF!</definedName>
    <definedName name="JURALLOC" localSheetId="5">#REF!</definedName>
    <definedName name="JURALLOC" localSheetId="6">#REF!</definedName>
    <definedName name="JURALLOC" localSheetId="10">#REF!</definedName>
    <definedName name="JURALLOC" localSheetId="11">#REF!</definedName>
    <definedName name="JURALLOC" localSheetId="13">#REF!</definedName>
    <definedName name="JURALLOC" localSheetId="16">#REF!</definedName>
    <definedName name="JURALLOC" localSheetId="17">#REF!</definedName>
    <definedName name="JURALLOC" localSheetId="18">#REF!</definedName>
    <definedName name="JURALLOC" localSheetId="19">#REF!</definedName>
    <definedName name="JURALLOC" localSheetId="20">#REF!</definedName>
    <definedName name="JURALLOC">#REF!</definedName>
    <definedName name="MATran" localSheetId="5">Index!#REF!</definedName>
    <definedName name="MATran" localSheetId="10">Index!#REF!</definedName>
    <definedName name="MATran" localSheetId="11">[4]Index!$D$34</definedName>
    <definedName name="MATran" localSheetId="17">[5]Index!#REF!</definedName>
    <definedName name="MATran" localSheetId="18">Index!#REF!</definedName>
    <definedName name="MATran" localSheetId="19">[18]Index!$D$34</definedName>
    <definedName name="MATran" localSheetId="20">[18]Index!$D$30</definedName>
    <definedName name="MATran" localSheetId="23">[7]Index!#REF!</definedName>
    <definedName name="MATran">Index!#REF!</definedName>
    <definedName name="memrev1" localSheetId="5">[1]rev1!#REF!</definedName>
    <definedName name="memrev1" localSheetId="6">[1]rev1!#REF!</definedName>
    <definedName name="memrev1" localSheetId="10">[1]rev1!#REF!</definedName>
    <definedName name="memrev1" localSheetId="11">[2]rev1!#REF!</definedName>
    <definedName name="memrev1" localSheetId="13">[1]rev1!#REF!</definedName>
    <definedName name="memrev1" localSheetId="16">[1]rev1!#REF!</definedName>
    <definedName name="memrev1" localSheetId="17">[1]rev1!#REF!</definedName>
    <definedName name="memrev1" localSheetId="18">[1]rev1!#REF!</definedName>
    <definedName name="memrev1" localSheetId="19">[2]rev1!#REF!</definedName>
    <definedName name="memrev1" localSheetId="20">[2]rev1!#REF!</definedName>
    <definedName name="memrev1">[1]rev1!#REF!</definedName>
    <definedName name="memrev2" localSheetId="5">[1]rev1!#REF!</definedName>
    <definedName name="memrev2" localSheetId="10">[1]rev1!#REF!</definedName>
    <definedName name="memrev2" localSheetId="11">[2]rev1!#REF!</definedName>
    <definedName name="memrev2" localSheetId="13">[1]rev1!#REF!</definedName>
    <definedName name="memrev2" localSheetId="16">[1]rev1!#REF!</definedName>
    <definedName name="memrev2" localSheetId="17">[1]rev1!#REF!</definedName>
    <definedName name="memrev2" localSheetId="18">[1]rev1!#REF!</definedName>
    <definedName name="memrev2" localSheetId="19">[2]rev1!#REF!</definedName>
    <definedName name="memrev2" localSheetId="20">[2]rev1!#REF!</definedName>
    <definedName name="memrev2">[1]rev1!#REF!</definedName>
    <definedName name="NOCircuits" localSheetId="5">Index!#REF!</definedName>
    <definedName name="NOCircuits" localSheetId="10">Index!#REF!</definedName>
    <definedName name="NOCircuits" localSheetId="11">[4]Index!#REF!</definedName>
    <definedName name="NOCircuits" localSheetId="17">[5]Index!#REF!</definedName>
    <definedName name="NOCircuits" localSheetId="18">Index!#REF!</definedName>
    <definedName name="NOCircuits" localSheetId="19">[18]Index!#REF!</definedName>
    <definedName name="NOCircuits" localSheetId="20">[18]Index!#REF!</definedName>
    <definedName name="NOCircuits" localSheetId="23">[7]Index!#REF!</definedName>
    <definedName name="NOCircuits">Index!#REF!</definedName>
    <definedName name="NONMEM1" localSheetId="5">#REF!</definedName>
    <definedName name="NONMEM1" localSheetId="6">#REF!</definedName>
    <definedName name="NONMEM1" localSheetId="10">#REF!</definedName>
    <definedName name="NONMEM1" localSheetId="11">#REF!</definedName>
    <definedName name="NONMEM1" localSheetId="13">#REF!</definedName>
    <definedName name="NONMEM1" localSheetId="16">#REF!</definedName>
    <definedName name="NONMEM1" localSheetId="17">#REF!</definedName>
    <definedName name="NONMEM1" localSheetId="18">#REF!</definedName>
    <definedName name="NONMEM1" localSheetId="19">#REF!</definedName>
    <definedName name="NONMEM1" localSheetId="20">#REF!</definedName>
    <definedName name="NONMEM1">#REF!</definedName>
    <definedName name="NONMEM2" localSheetId="5">#REF!</definedName>
    <definedName name="NONMEM2" localSheetId="6">#REF!</definedName>
    <definedName name="NONMEM2" localSheetId="10">#REF!</definedName>
    <definedName name="NONMEM2" localSheetId="11">#REF!</definedName>
    <definedName name="NONMEM2" localSheetId="13">#REF!</definedName>
    <definedName name="NONMEM2" localSheetId="16">#REF!</definedName>
    <definedName name="NONMEM2" localSheetId="17">#REF!</definedName>
    <definedName name="NONMEM2" localSheetId="18">#REF!</definedName>
    <definedName name="NONMEM2" localSheetId="19">#REF!</definedName>
    <definedName name="NONMEM2" localSheetId="20">#REF!</definedName>
    <definedName name="NONMEM2">#REF!</definedName>
    <definedName name="NONMEM3" localSheetId="5">#REF!</definedName>
    <definedName name="NONMEM3" localSheetId="6">#REF!</definedName>
    <definedName name="NONMEM3" localSheetId="10">#REF!</definedName>
    <definedName name="NONMEM3" localSheetId="11">#REF!</definedName>
    <definedName name="NONMEM3" localSheetId="13">#REF!</definedName>
    <definedName name="NONMEM3" localSheetId="16">#REF!</definedName>
    <definedName name="NONMEM3" localSheetId="17">#REF!</definedName>
    <definedName name="NONMEM3" localSheetId="18">#REF!</definedName>
    <definedName name="NONMEM3" localSheetId="19">#REF!</definedName>
    <definedName name="NONMEM3" localSheetId="20">#REF!</definedName>
    <definedName name="NONMEM3">#REF!</definedName>
    <definedName name="NONMEM4" localSheetId="5">#REF!</definedName>
    <definedName name="NONMEM4" localSheetId="6">#REF!</definedName>
    <definedName name="NONMEM4" localSheetId="10">#REF!</definedName>
    <definedName name="NONMEM4" localSheetId="13">#REF!</definedName>
    <definedName name="NONMEM4" localSheetId="16">#REF!</definedName>
    <definedName name="NONMEM4" localSheetId="17">#REF!</definedName>
    <definedName name="NONMEM4" localSheetId="18">#REF!</definedName>
    <definedName name="NONMEM4" localSheetId="20">#REF!</definedName>
    <definedName name="NONMEM4">#REF!</definedName>
    <definedName name="NvsASD">"V2014-12-31"</definedName>
    <definedName name="NvsAutoDrillOk">"VY"</definedName>
    <definedName name="NvsElapsedTime">0.000104166669188999</definedName>
    <definedName name="NvsEndTime" localSheetId="17">42019.6382986111</definedName>
    <definedName name="NvsEndTime" localSheetId="18">42019.6382986111</definedName>
    <definedName name="NvsEndTime">42020.5548958333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"VWFECO"</definedName>
    <definedName name="NvsPanelEffdt">"V1900-01-01"</definedName>
    <definedName name="NvsPanelSetid">"VSHARE"</definedName>
    <definedName name="NvsReqBU">"VWFECO"</definedName>
    <definedName name="NvsReqBUOnly">"VY"</definedName>
    <definedName name="NvsSheetType" localSheetId="17">"M"</definedName>
    <definedName name="NvsSheetType" localSheetId="18">"M"</definedName>
    <definedName name="NvsTransLed">"VN"</definedName>
    <definedName name="NvsTreeASD">"V2014-12-31"</definedName>
    <definedName name="NvsValTbl.ACCOUNT">"GL_ACCOUNT_TBL"</definedName>
    <definedName name="ONE" localSheetId="5">#REF!</definedName>
    <definedName name="ONE" localSheetId="6">#REF!</definedName>
    <definedName name="ONE" localSheetId="10">#REF!</definedName>
    <definedName name="ONE" localSheetId="13">#REF!</definedName>
    <definedName name="ONE" localSheetId="16">#REF!</definedName>
    <definedName name="ONE" localSheetId="17">#REF!</definedName>
    <definedName name="ONE" localSheetId="18">#REF!</definedName>
    <definedName name="ONE" localSheetId="20">#REF!</definedName>
    <definedName name="ONE">#REF!</definedName>
    <definedName name="ONEBEE" localSheetId="5">#REF!</definedName>
    <definedName name="ONEBEE" localSheetId="6">#REF!</definedName>
    <definedName name="ONEBEE" localSheetId="10">#REF!</definedName>
    <definedName name="ONEBEE" localSheetId="13">#REF!</definedName>
    <definedName name="ONEBEE" localSheetId="16">#REF!</definedName>
    <definedName name="ONEBEE" localSheetId="17">#REF!</definedName>
    <definedName name="ONEBEE" localSheetId="18">#REF!</definedName>
    <definedName name="ONEBEE" localSheetId="20">#REF!</definedName>
    <definedName name="ONEBEE">#REF!</definedName>
    <definedName name="OTHINC1" localSheetId="5">#REF!</definedName>
    <definedName name="OTHINC1" localSheetId="6">#REF!</definedName>
    <definedName name="OTHINC1" localSheetId="10">#REF!</definedName>
    <definedName name="OTHINC1" localSheetId="13">#REF!</definedName>
    <definedName name="OTHINC1" localSheetId="16">#REF!</definedName>
    <definedName name="OTHINC1" localSheetId="17">#REF!</definedName>
    <definedName name="OTHINC1" localSheetId="18">#REF!</definedName>
    <definedName name="OTHINC1" localSheetId="20">#REF!</definedName>
    <definedName name="OTHINC1">#REF!</definedName>
    <definedName name="OTHINC2" localSheetId="5">#REF!</definedName>
    <definedName name="OTHINC2" localSheetId="6">#REF!</definedName>
    <definedName name="OTHINC2" localSheetId="10">#REF!</definedName>
    <definedName name="OTHINC2" localSheetId="13">#REF!</definedName>
    <definedName name="OTHINC2" localSheetId="16">#REF!</definedName>
    <definedName name="OTHINC2" localSheetId="17">#REF!</definedName>
    <definedName name="OTHINC2" localSheetId="18">#REF!</definedName>
    <definedName name="OTHINC2" localSheetId="20">#REF!</definedName>
    <definedName name="OTHINC2">#REF!</definedName>
    <definedName name="page1" localSheetId="5">'[19]W&amp;S by group'!#REF!</definedName>
    <definedName name="page1" localSheetId="10">'[19]W&amp;S by group'!#REF!</definedName>
    <definedName name="page1" localSheetId="11">'[19]W&amp;S by group'!#REF!</definedName>
    <definedName name="page1" localSheetId="17">'[19]W&amp;S by group'!#REF!</definedName>
    <definedName name="page1" localSheetId="18">'[19]W&amp;S by group'!#REF!</definedName>
    <definedName name="page1" localSheetId="19">'[19]W&amp;S by group'!#REF!</definedName>
    <definedName name="page1" localSheetId="20">'[19]W&amp;S by group'!#REF!</definedName>
    <definedName name="page1" localSheetId="23">'[19]W&amp;S by group'!#REF!</definedName>
    <definedName name="page1">'[19]W&amp;S by group'!#REF!</definedName>
    <definedName name="page10" localSheetId="5">'[19]W&amp;S by group'!#REF!</definedName>
    <definedName name="page10" localSheetId="10">'[19]W&amp;S by group'!#REF!</definedName>
    <definedName name="page10" localSheetId="11">'[19]W&amp;S by group'!#REF!</definedName>
    <definedName name="page10" localSheetId="17">'[19]W&amp;S by group'!#REF!</definedName>
    <definedName name="page10" localSheetId="18">'[19]W&amp;S by group'!#REF!</definedName>
    <definedName name="page10" localSheetId="19">'[19]W&amp;S by group'!#REF!</definedName>
    <definedName name="page10" localSheetId="20">'[19]W&amp;S by group'!#REF!</definedName>
    <definedName name="page10">'[19]W&amp;S by group'!#REF!</definedName>
    <definedName name="page11" localSheetId="5">'[19]W&amp;S by group'!#REF!</definedName>
    <definedName name="page11" localSheetId="10">'[19]W&amp;S by group'!#REF!</definedName>
    <definedName name="page11" localSheetId="11">'[19]W&amp;S by group'!#REF!</definedName>
    <definedName name="page11" localSheetId="17">'[19]W&amp;S by group'!#REF!</definedName>
    <definedName name="page11" localSheetId="18">'[19]W&amp;S by group'!#REF!</definedName>
    <definedName name="page11" localSheetId="19">'[19]W&amp;S by group'!#REF!</definedName>
    <definedName name="page11" localSheetId="20">'[19]W&amp;S by group'!#REF!</definedName>
    <definedName name="page11">'[19]W&amp;S by group'!#REF!</definedName>
    <definedName name="page12" localSheetId="5">'[19]W&amp;S by group'!#REF!</definedName>
    <definedName name="page12" localSheetId="10">'[19]W&amp;S by group'!#REF!</definedName>
    <definedName name="page12" localSheetId="11">'[19]W&amp;S by group'!#REF!</definedName>
    <definedName name="page12" localSheetId="17">'[19]W&amp;S by group'!#REF!</definedName>
    <definedName name="page12" localSheetId="18">'[19]W&amp;S by group'!#REF!</definedName>
    <definedName name="page12" localSheetId="19">'[19]W&amp;S by group'!#REF!</definedName>
    <definedName name="page12" localSheetId="20">'[19]W&amp;S by group'!#REF!</definedName>
    <definedName name="page12">'[19]W&amp;S by group'!#REF!</definedName>
    <definedName name="page13" localSheetId="5">'[19]W&amp;S by group'!#REF!</definedName>
    <definedName name="page13" localSheetId="10">'[19]W&amp;S by group'!#REF!</definedName>
    <definedName name="page13" localSheetId="11">'[19]W&amp;S by group'!#REF!</definedName>
    <definedName name="page13" localSheetId="17">'[19]W&amp;S by group'!#REF!</definedName>
    <definedName name="page13" localSheetId="18">'[19]W&amp;S by group'!#REF!</definedName>
    <definedName name="page13" localSheetId="19">'[19]W&amp;S by group'!#REF!</definedName>
    <definedName name="page13" localSheetId="20">'[19]W&amp;S by group'!#REF!</definedName>
    <definedName name="page13">'[19]W&amp;S by group'!#REF!</definedName>
    <definedName name="page14" localSheetId="5">'[19]W&amp;S by group'!#REF!</definedName>
    <definedName name="page14" localSheetId="10">'[19]W&amp;S by group'!#REF!</definedName>
    <definedName name="page14" localSheetId="11">'[19]W&amp;S by group'!#REF!</definedName>
    <definedName name="page14" localSheetId="17">'[19]W&amp;S by group'!#REF!</definedName>
    <definedName name="page14" localSheetId="18">'[19]W&amp;S by group'!#REF!</definedName>
    <definedName name="page14" localSheetId="19">'[19]W&amp;S by group'!#REF!</definedName>
    <definedName name="page14" localSheetId="20">'[19]W&amp;S by group'!#REF!</definedName>
    <definedName name="page14">'[19]W&amp;S by group'!#REF!</definedName>
    <definedName name="page15" localSheetId="5">'[19]W&amp;S by group'!#REF!</definedName>
    <definedName name="page15" localSheetId="10">'[19]W&amp;S by group'!#REF!</definedName>
    <definedName name="page15" localSheetId="11">'[19]W&amp;S by group'!#REF!</definedName>
    <definedName name="page15" localSheetId="17">'[19]W&amp;S by group'!#REF!</definedName>
    <definedName name="page15" localSheetId="18">'[19]W&amp;S by group'!#REF!</definedName>
    <definedName name="page15" localSheetId="19">'[19]W&amp;S by group'!#REF!</definedName>
    <definedName name="page15" localSheetId="20">'[19]W&amp;S by group'!#REF!</definedName>
    <definedName name="page15">'[19]W&amp;S by group'!#REF!</definedName>
    <definedName name="page16" localSheetId="5">'[19]W&amp;S by group'!#REF!</definedName>
    <definedName name="page16" localSheetId="10">'[19]W&amp;S by group'!#REF!</definedName>
    <definedName name="page16" localSheetId="11">'[19]W&amp;S by group'!#REF!</definedName>
    <definedName name="page16" localSheetId="17">'[19]W&amp;S by group'!#REF!</definedName>
    <definedName name="page16" localSheetId="18">'[19]W&amp;S by group'!#REF!</definedName>
    <definedName name="page16" localSheetId="19">'[19]W&amp;S by group'!#REF!</definedName>
    <definedName name="page16" localSheetId="20">'[19]W&amp;S by group'!#REF!</definedName>
    <definedName name="page16">'[19]W&amp;S by group'!#REF!</definedName>
    <definedName name="page2" localSheetId="5">'[19]W&amp;S by group'!#REF!</definedName>
    <definedName name="page2" localSheetId="10">'[19]W&amp;S by group'!#REF!</definedName>
    <definedName name="page2" localSheetId="11">'[19]W&amp;S by group'!#REF!</definedName>
    <definedName name="page2" localSheetId="17">'[19]W&amp;S by group'!#REF!</definedName>
    <definedName name="page2" localSheetId="18">'[19]W&amp;S by group'!#REF!</definedName>
    <definedName name="page2" localSheetId="19">'[19]W&amp;S by group'!#REF!</definedName>
    <definedName name="page2" localSheetId="20">'[19]W&amp;S by group'!#REF!</definedName>
    <definedName name="page2">'[19]W&amp;S by group'!#REF!</definedName>
    <definedName name="page3" localSheetId="5">'[19]W&amp;S by group'!#REF!</definedName>
    <definedName name="page3" localSheetId="10">'[19]W&amp;S by group'!#REF!</definedName>
    <definedName name="page3" localSheetId="11">'[19]W&amp;S by group'!#REF!</definedName>
    <definedName name="page3" localSheetId="17">'[19]W&amp;S by group'!#REF!</definedName>
    <definedName name="page3" localSheetId="18">'[19]W&amp;S by group'!#REF!</definedName>
    <definedName name="page3" localSheetId="19">'[19]W&amp;S by group'!#REF!</definedName>
    <definedName name="page3" localSheetId="20">'[19]W&amp;S by group'!#REF!</definedName>
    <definedName name="page3">'[19]W&amp;S by group'!#REF!</definedName>
    <definedName name="page4" localSheetId="5">'[19]W&amp;S by group'!#REF!</definedName>
    <definedName name="page4" localSheetId="10">'[19]W&amp;S by group'!#REF!</definedName>
    <definedName name="page4" localSheetId="11">'[19]W&amp;S by group'!#REF!</definedName>
    <definedName name="page4" localSheetId="17">'[19]W&amp;S by group'!#REF!</definedName>
    <definedName name="page4" localSheetId="18">'[19]W&amp;S by group'!#REF!</definedName>
    <definedName name="page4" localSheetId="19">'[19]W&amp;S by group'!#REF!</definedName>
    <definedName name="page4" localSheetId="20">'[19]W&amp;S by group'!#REF!</definedName>
    <definedName name="page4">'[19]W&amp;S by group'!#REF!</definedName>
    <definedName name="page5" localSheetId="5">#REF!</definedName>
    <definedName name="page5" localSheetId="6">#REF!</definedName>
    <definedName name="page5" localSheetId="10">#REF!</definedName>
    <definedName name="page5" localSheetId="11">#REF!</definedName>
    <definedName name="page5" localSheetId="13">#REF!</definedName>
    <definedName name="page5" localSheetId="16">#REF!</definedName>
    <definedName name="page5" localSheetId="17">#REF!</definedName>
    <definedName name="page5" localSheetId="18">#REF!</definedName>
    <definedName name="page5" localSheetId="19">#REF!</definedName>
    <definedName name="page5" localSheetId="20">#REF!</definedName>
    <definedName name="page5">#REF!</definedName>
    <definedName name="page6" localSheetId="5">#REF!</definedName>
    <definedName name="page6" localSheetId="6">#REF!</definedName>
    <definedName name="page6" localSheetId="10">#REF!</definedName>
    <definedName name="page6" localSheetId="11">#REF!</definedName>
    <definedName name="page6" localSheetId="13">#REF!</definedName>
    <definedName name="page6" localSheetId="16">#REF!</definedName>
    <definedName name="page6" localSheetId="17">#REF!</definedName>
    <definedName name="page6" localSheetId="18">#REF!</definedName>
    <definedName name="page6" localSheetId="19">#REF!</definedName>
    <definedName name="page6" localSheetId="20">#REF!</definedName>
    <definedName name="page6">#REF!</definedName>
    <definedName name="page7" localSheetId="5">'[19]W&amp;S by group'!#REF!</definedName>
    <definedName name="page7" localSheetId="10">'[19]W&amp;S by group'!#REF!</definedName>
    <definedName name="page7" localSheetId="11">'[19]W&amp;S by group'!#REF!</definedName>
    <definedName name="page7" localSheetId="17">'[19]W&amp;S by group'!#REF!</definedName>
    <definedName name="page7" localSheetId="18">'[19]W&amp;S by group'!#REF!</definedName>
    <definedName name="page7" localSheetId="19">'[19]W&amp;S by group'!#REF!</definedName>
    <definedName name="page7" localSheetId="20">'[19]W&amp;S by group'!#REF!</definedName>
    <definedName name="page7" localSheetId="23">'[19]W&amp;S by group'!#REF!</definedName>
    <definedName name="page7">'[19]W&amp;S by group'!#REF!</definedName>
    <definedName name="page8" localSheetId="5">'[19]W&amp;S by group'!#REF!</definedName>
    <definedName name="page8" localSheetId="10">'[19]W&amp;S by group'!#REF!</definedName>
    <definedName name="page8" localSheetId="11">'[19]W&amp;S by group'!#REF!</definedName>
    <definedName name="page8" localSheetId="17">'[19]W&amp;S by group'!#REF!</definedName>
    <definedName name="page8" localSheetId="18">'[19]W&amp;S by group'!#REF!</definedName>
    <definedName name="page8" localSheetId="19">'[19]W&amp;S by group'!#REF!</definedName>
    <definedName name="page8" localSheetId="20">'[19]W&amp;S by group'!#REF!</definedName>
    <definedName name="page8">'[19]W&amp;S by group'!#REF!</definedName>
    <definedName name="page9" localSheetId="5">'[19]W&amp;S by group'!#REF!</definedName>
    <definedName name="page9" localSheetId="10">'[19]W&amp;S by group'!#REF!</definedName>
    <definedName name="page9" localSheetId="11">'[19]W&amp;S by group'!#REF!</definedName>
    <definedName name="page9" localSheetId="17">'[19]W&amp;S by group'!#REF!</definedName>
    <definedName name="page9" localSheetId="18">'[19]W&amp;S by group'!#REF!</definedName>
    <definedName name="page9" localSheetId="19">'[19]W&amp;S by group'!#REF!</definedName>
    <definedName name="page9" localSheetId="20">'[19]W&amp;S by group'!#REF!</definedName>
    <definedName name="page9">'[19]W&amp;S by group'!#REF!</definedName>
    <definedName name="PageA" localSheetId="5">#REF!</definedName>
    <definedName name="PageA" localSheetId="6">#REF!</definedName>
    <definedName name="PageA" localSheetId="10">#REF!</definedName>
    <definedName name="PageA" localSheetId="11">#REF!</definedName>
    <definedName name="PageA" localSheetId="13">#REF!</definedName>
    <definedName name="PageA" localSheetId="16">#REF!</definedName>
    <definedName name="PageA" localSheetId="17">#REF!</definedName>
    <definedName name="PageA" localSheetId="18">#REF!</definedName>
    <definedName name="PageA" localSheetId="19">#REF!</definedName>
    <definedName name="PageA" localSheetId="20">#REF!</definedName>
    <definedName name="PageA">#REF!</definedName>
    <definedName name="PageB" localSheetId="5">#REF!</definedName>
    <definedName name="PageB" localSheetId="6">#REF!</definedName>
    <definedName name="PageB" localSheetId="10">#REF!</definedName>
    <definedName name="PageB" localSheetId="11">#REF!</definedName>
    <definedName name="PageB" localSheetId="13">#REF!</definedName>
    <definedName name="PageB" localSheetId="16">#REF!</definedName>
    <definedName name="PageB" localSheetId="17">#REF!</definedName>
    <definedName name="PageB" localSheetId="18">#REF!</definedName>
    <definedName name="PageB" localSheetId="19">#REF!</definedName>
    <definedName name="PageB" localSheetId="20">#REF!</definedName>
    <definedName name="PageB">#REF!</definedName>
    <definedName name="PageC" localSheetId="5">#REF!</definedName>
    <definedName name="PageC" localSheetId="6">#REF!</definedName>
    <definedName name="PageC" localSheetId="10">#REF!</definedName>
    <definedName name="PageC" localSheetId="11">#REF!</definedName>
    <definedName name="PageC" localSheetId="13">#REF!</definedName>
    <definedName name="PageC" localSheetId="16">#REF!</definedName>
    <definedName name="PageC" localSheetId="17">#REF!</definedName>
    <definedName name="PageC" localSheetId="18">#REF!</definedName>
    <definedName name="PageC" localSheetId="19">#REF!</definedName>
    <definedName name="PageC" localSheetId="20">#REF!</definedName>
    <definedName name="PageC">#REF!</definedName>
    <definedName name="POWER1" localSheetId="5">#REF!</definedName>
    <definedName name="POWER1" localSheetId="6">#REF!</definedName>
    <definedName name="POWER1" localSheetId="10">#REF!</definedName>
    <definedName name="POWER1" localSheetId="13">#REF!</definedName>
    <definedName name="POWER1" localSheetId="16">#REF!</definedName>
    <definedName name="POWER1" localSheetId="17">#REF!</definedName>
    <definedName name="POWER1" localSheetId="18">#REF!</definedName>
    <definedName name="POWER1" localSheetId="20">#REF!</definedName>
    <definedName name="POWER1">#REF!</definedName>
    <definedName name="POWER2" localSheetId="5">#REF!</definedName>
    <definedName name="POWER2" localSheetId="6">#REF!</definedName>
    <definedName name="POWER2" localSheetId="10">#REF!</definedName>
    <definedName name="POWER2" localSheetId="13">#REF!</definedName>
    <definedName name="POWER2" localSheetId="16">#REF!</definedName>
    <definedName name="POWER2" localSheetId="17">#REF!</definedName>
    <definedName name="POWER2" localSheetId="18">#REF!</definedName>
    <definedName name="POWER2" localSheetId="20">#REF!</definedName>
    <definedName name="POWER2">#REF!</definedName>
    <definedName name="_xlnm.Print_Area" localSheetId="0">Index!$A$1:$C$35</definedName>
    <definedName name="_xlnm.Print_Area" localSheetId="2">'Revenue Requirements Schedule 1'!$A$12:$E$42</definedName>
    <definedName name="_xlnm.Print_Area" localSheetId="1">'Summary ATRR'!$A$11:$I$44</definedName>
    <definedName name="_xlnm.Print_Area" localSheetId="3">'Worksheet A, Rate Base'!$A$1:$M$93</definedName>
    <definedName name="_xlnm.Print_Area" localSheetId="4">'Worksheet B, Expenses'!$A$11:$M$63</definedName>
    <definedName name="_xlnm.Print_Area" localSheetId="5">'Worksheet C, Return'!$A$1:$K$25</definedName>
    <definedName name="_xlnm.Print_Area" localSheetId="6">'Worksheet D, Load'!$A$1:$D$26</definedName>
    <definedName name="_xlnm.Print_Area" localSheetId="7">'Worksheet E, Alloc. Factor'!$A$1:$G$42</definedName>
    <definedName name="_xlnm.Print_Area" localSheetId="8">'Worksheet F, Inputs'!$A$11:$G$165</definedName>
    <definedName name="_xlnm.Print_Area" localSheetId="9">'Worksheet G, O&amp;M Input'!$A$1:$F$48</definedName>
    <definedName name="_xlnm.Print_Area" localSheetId="10">'Worksheet H SPP Upgrade Proj.'!$A$11:$T$191</definedName>
    <definedName name="_xlnm.Print_Area" localSheetId="11">'Worksheet I Reconciliation'!$A$10:$M$84</definedName>
    <definedName name="_xlnm.Print_Area" localSheetId="12">'Worksheet J, Depr Rates'!$A$11:$J$137</definedName>
    <definedName name="_xlnm.Print_Area" localSheetId="13">'Worksheet K, Wages Input'!$A$12:$O$287</definedName>
    <definedName name="_xlnm.Print_Area" localSheetId="14">'Worksheet L, Depr Input'!$A$1:$M$29</definedName>
    <definedName name="_xlnm.Print_Area" localSheetId="15">'Worksheet M, TranPlant Funct'!$A$11:$O$67</definedName>
    <definedName name="_xlnm.Print_Area" localSheetId="16">'Worksheet N, OthRev Input'!$A$1:$F$74</definedName>
    <definedName name="_xlnm.Print_Area" localSheetId="17">'Worksheet O, CWIP'!$D$11:$L$109</definedName>
    <definedName name="_xlnm.Print_Area" localSheetId="18">'Worksheet P, CCnC'!$A$11:$H$58</definedName>
    <definedName name="_xlnm.Print_Area" localSheetId="19">'Worksheet Q, Future Use'!$A$11:$H$32</definedName>
    <definedName name="_xlnm.Print_Area" localSheetId="20">'Worksheet R, Reg. &amp; Comm. Exp.'!$A$1:$G$29</definedName>
    <definedName name="_xlnm.Print_Area" localSheetId="21">'Worksheet S, Qualified Subs'!$A$10:$E$132</definedName>
    <definedName name="_xlnm.Print_Area" localSheetId="22">'Worksheet T, Qualified Lines'!$A$8:$F$314</definedName>
    <definedName name="_xlnm.Print_Area" localSheetId="23">'Worksheet U 575 576 Expense'!$A$1:$F$36</definedName>
    <definedName name="_xlnm.Print_Titles" localSheetId="2">'Revenue Requirements Schedule 1'!$1:$10</definedName>
    <definedName name="_xlnm.Print_Titles" localSheetId="1">'Summary ATRR'!$1:$10</definedName>
    <definedName name="_xlnm.Print_Titles" localSheetId="3">'Worksheet A, Rate Base'!$1:$10</definedName>
    <definedName name="_xlnm.Print_Titles" localSheetId="4">'Worksheet B, Expenses'!$1:$10</definedName>
    <definedName name="_xlnm.Print_Titles" localSheetId="5">'Worksheet C, Return'!$1:$10</definedName>
    <definedName name="_xlnm.Print_Titles" localSheetId="7">'Worksheet E, Alloc. Factor'!$1:$9</definedName>
    <definedName name="_xlnm.Print_Titles" localSheetId="8">'Worksheet F, Inputs'!$2:$10</definedName>
    <definedName name="_xlnm.Print_Titles" localSheetId="9">'Worksheet G, O&amp;M Input'!$1:$8</definedName>
    <definedName name="_xlnm.Print_Titles" localSheetId="10">'Worksheet H SPP Upgrade Proj.'!$4:$10</definedName>
    <definedName name="_xlnm.Print_Titles" localSheetId="11">'Worksheet I Reconciliation'!$1:$9</definedName>
    <definedName name="_xlnm.Print_Titles" localSheetId="12">'Worksheet J, Depr Rates'!$1:$10</definedName>
    <definedName name="_xlnm.Print_Titles" localSheetId="13">'Worksheet K, Wages Input'!$1:$11</definedName>
    <definedName name="_xlnm.Print_Titles" localSheetId="15">'Worksheet M, TranPlant Funct'!$A:$F,'Worksheet M, TranPlant Funct'!$1:$10</definedName>
    <definedName name="_xlnm.Print_Titles" localSheetId="16">'Worksheet N, OthRev Input'!$1:$10</definedName>
    <definedName name="_xlnm.Print_Titles" localSheetId="17">'Worksheet O, CWIP'!$A:$C,'Worksheet O, CWIP'!$1:$10</definedName>
    <definedName name="_xlnm.Print_Titles" localSheetId="18">'Worksheet P, CCnC'!$A:$B,'Worksheet P, CCnC'!$4:$10</definedName>
    <definedName name="_xlnm.Print_Titles" localSheetId="19">'Worksheet Q, Future Use'!$4:$10</definedName>
    <definedName name="_xlnm.Print_Titles" localSheetId="20">'Worksheet R, Reg. &amp; Comm. Exp.'!$1:$11</definedName>
    <definedName name="_xlnm.Print_Titles" localSheetId="21">'Worksheet S, Qualified Subs'!$4:$10</definedName>
    <definedName name="_xlnm.Print_Titles" localSheetId="22">'Worksheet T, Qualified Lines'!$1:$7</definedName>
    <definedName name="PURPWR1" localSheetId="5">#REF!</definedName>
    <definedName name="PURPWR1" localSheetId="6">#REF!</definedName>
    <definedName name="PURPWR1" localSheetId="10">#REF!</definedName>
    <definedName name="PURPWR1" localSheetId="11">#REF!</definedName>
    <definedName name="PURPWR1" localSheetId="13">#REF!</definedName>
    <definedName name="PURPWR1" localSheetId="16">#REF!</definedName>
    <definedName name="PURPWR1" localSheetId="17">#REF!</definedName>
    <definedName name="PURPWR1" localSheetId="18">#REF!</definedName>
    <definedName name="PURPWR1" localSheetId="19">#REF!</definedName>
    <definedName name="PURPWR1" localSheetId="20">#REF!</definedName>
    <definedName name="PURPWR1">#REF!</definedName>
    <definedName name="PURPWR2" localSheetId="5">#REF!</definedName>
    <definedName name="PURPWR2" localSheetId="6">#REF!</definedName>
    <definedName name="PURPWR2" localSheetId="10">#REF!</definedName>
    <definedName name="PURPWR2" localSheetId="11">#REF!</definedName>
    <definedName name="PURPWR2" localSheetId="13">#REF!</definedName>
    <definedName name="PURPWR2" localSheetId="16">#REF!</definedName>
    <definedName name="PURPWR2" localSheetId="17">#REF!</definedName>
    <definedName name="PURPWR2" localSheetId="18">#REF!</definedName>
    <definedName name="PURPWR2" localSheetId="19">#REF!</definedName>
    <definedName name="PURPWR2" localSheetId="20">#REF!</definedName>
    <definedName name="PURPWR2">#REF!</definedName>
    <definedName name="SIX" localSheetId="5">#REF!</definedName>
    <definedName name="SIX" localSheetId="6">#REF!</definedName>
    <definedName name="SIX" localSheetId="10">#REF!</definedName>
    <definedName name="SIX" localSheetId="11">#REF!</definedName>
    <definedName name="SIX" localSheetId="13">#REF!</definedName>
    <definedName name="SIX" localSheetId="16">#REF!</definedName>
    <definedName name="SIX" localSheetId="17">#REF!</definedName>
    <definedName name="SIX" localSheetId="18">#REF!</definedName>
    <definedName name="SIX" localSheetId="19">#REF!</definedName>
    <definedName name="SIX" localSheetId="20">#REF!</definedName>
    <definedName name="SIX">#REF!</definedName>
    <definedName name="SnakeCreekSw">[20]Index!#REF!</definedName>
    <definedName name="TAXDEP1" localSheetId="5">#REF!</definedName>
    <definedName name="TAXDEP1" localSheetId="6">#REF!</definedName>
    <definedName name="TAXDEP1" localSheetId="10">#REF!</definedName>
    <definedName name="TAXDEP1" localSheetId="13">#REF!</definedName>
    <definedName name="TAXDEP1" localSheetId="16">#REF!</definedName>
    <definedName name="TAXDEP1" localSheetId="17">#REF!</definedName>
    <definedName name="TAXDEP1" localSheetId="18">#REF!</definedName>
    <definedName name="TAXDEP1" localSheetId="20">#REF!</definedName>
    <definedName name="TAXDEP1">#REF!</definedName>
    <definedName name="TAXDEP2" localSheetId="5">#REF!</definedName>
    <definedName name="TAXDEP2" localSheetId="6">#REF!</definedName>
    <definedName name="TAXDEP2" localSheetId="10">#REF!</definedName>
    <definedName name="TAXDEP2" localSheetId="13">#REF!</definedName>
    <definedName name="TAXDEP2" localSheetId="16">#REF!</definedName>
    <definedName name="TAXDEP2" localSheetId="17">#REF!</definedName>
    <definedName name="TAXDEP2" localSheetId="18">#REF!</definedName>
    <definedName name="TAXDEP2" localSheetId="20">#REF!</definedName>
    <definedName name="TAXDEP2">#REF!</definedName>
    <definedName name="THREE" localSheetId="5">#REF!</definedName>
    <definedName name="THREE" localSheetId="6">#REF!</definedName>
    <definedName name="THREE" localSheetId="10">#REF!</definedName>
    <definedName name="THREE" localSheetId="13">#REF!</definedName>
    <definedName name="THREE" localSheetId="16">#REF!</definedName>
    <definedName name="THREE" localSheetId="17">#REF!</definedName>
    <definedName name="THREE" localSheetId="18">#REF!</definedName>
    <definedName name="THREE" localSheetId="20">#REF!</definedName>
    <definedName name="THREE">#REF!</definedName>
    <definedName name="THREEBEE" localSheetId="5">#REF!</definedName>
    <definedName name="THREEBEE" localSheetId="6">#REF!</definedName>
    <definedName name="THREEBEE" localSheetId="10">#REF!</definedName>
    <definedName name="THREEBEE" localSheetId="13">#REF!</definedName>
    <definedName name="THREEBEE" localSheetId="16">#REF!</definedName>
    <definedName name="THREEBEE" localSheetId="17">#REF!</definedName>
    <definedName name="THREEBEE" localSheetId="18">#REF!</definedName>
    <definedName name="THREEBEE" localSheetId="20">#REF!</definedName>
    <definedName name="THREEBEE">#REF!</definedName>
    <definedName name="THREECEE" localSheetId="5">#REF!</definedName>
    <definedName name="THREECEE" localSheetId="6">#REF!</definedName>
    <definedName name="THREECEE" localSheetId="10">#REF!</definedName>
    <definedName name="THREECEE" localSheetId="13">#REF!</definedName>
    <definedName name="THREECEE" localSheetId="16">#REF!</definedName>
    <definedName name="THREECEE" localSheetId="17">#REF!</definedName>
    <definedName name="THREECEE" localSheetId="18">#REF!</definedName>
    <definedName name="THREECEE" localSheetId="20">#REF!</definedName>
    <definedName name="THREECEE">#REF!</definedName>
    <definedName name="THREEDEE" localSheetId="5">#REF!</definedName>
    <definedName name="THREEDEE" localSheetId="6">#REF!</definedName>
    <definedName name="THREEDEE" localSheetId="10">#REF!</definedName>
    <definedName name="THREEDEE" localSheetId="13">#REF!</definedName>
    <definedName name="THREEDEE" localSheetId="16">#REF!</definedName>
    <definedName name="THREEDEE" localSheetId="17">#REF!</definedName>
    <definedName name="THREEDEE" localSheetId="18">#REF!</definedName>
    <definedName name="THREEDEE" localSheetId="20">#REF!</definedName>
    <definedName name="THREEDEE">#REF!</definedName>
    <definedName name="THREEEEE" localSheetId="5">#REF!</definedName>
    <definedName name="THREEEEE" localSheetId="6">#REF!</definedName>
    <definedName name="THREEEEE" localSheetId="10">#REF!</definedName>
    <definedName name="THREEEEE" localSheetId="13">#REF!</definedName>
    <definedName name="THREEEEE" localSheetId="16">#REF!</definedName>
    <definedName name="THREEEEE" localSheetId="17">#REF!</definedName>
    <definedName name="THREEEEE" localSheetId="18">#REF!</definedName>
    <definedName name="THREEEEE" localSheetId="20">#REF!</definedName>
    <definedName name="THREEEEE">#REF!</definedName>
    <definedName name="TRANOM1" localSheetId="5">#REF!</definedName>
    <definedName name="TRANOM1" localSheetId="6">#REF!</definedName>
    <definedName name="TRANOM1" localSheetId="10">#REF!</definedName>
    <definedName name="TRANOM1" localSheetId="13">#REF!</definedName>
    <definedName name="TRANOM1" localSheetId="16">#REF!</definedName>
    <definedName name="TRANOM1" localSheetId="17">#REF!</definedName>
    <definedName name="TRANOM1" localSheetId="18">#REF!</definedName>
    <definedName name="TRANOM1" localSheetId="20">#REF!</definedName>
    <definedName name="TRANOM1">#REF!</definedName>
    <definedName name="TRANOM2" localSheetId="5">#REF!</definedName>
    <definedName name="TRANOM2" localSheetId="6">#REF!</definedName>
    <definedName name="TRANOM2" localSheetId="10">#REF!</definedName>
    <definedName name="TRANOM2" localSheetId="13">#REF!</definedName>
    <definedName name="TRANOM2" localSheetId="16">#REF!</definedName>
    <definedName name="TRANOM2" localSheetId="17">#REF!</definedName>
    <definedName name="TRANOM2" localSheetId="18">#REF!</definedName>
    <definedName name="TRANOM2" localSheetId="20">#REF!</definedName>
    <definedName name="TRANOM2">#REF!</definedName>
    <definedName name="Tri" localSheetId="23">[15]Index!$A$4</definedName>
    <definedName name="Tri">[16]Index!$A$4</definedName>
    <definedName name="TRI_STATE_GENERATION_AND_TRANSMISSION_ASSOCIATION" localSheetId="5">#REF!</definedName>
    <definedName name="TRI_STATE_GENERATION_AND_TRANSMISSION_ASSOCIATION" localSheetId="6">#REF!</definedName>
    <definedName name="TRI_STATE_GENERATION_AND_TRANSMISSION_ASSOCIATION" localSheetId="10">#REF!</definedName>
    <definedName name="TRI_STATE_GENERATION_AND_TRANSMISSION_ASSOCIATION" localSheetId="13">#REF!</definedName>
    <definedName name="TRI_STATE_GENERATION_AND_TRANSMISSION_ASSOCIATION" localSheetId="16">#REF!</definedName>
    <definedName name="TRI_STATE_GENERATION_AND_TRANSMISSION_ASSOCIATION" localSheetId="17">#REF!</definedName>
    <definedName name="TRI_STATE_GENERATION_AND_TRANSMISSION_ASSOCIATION" localSheetId="18">#REF!</definedName>
    <definedName name="TRI_STATE_GENERATION_AND_TRANSMISSION_ASSOCIATION" localSheetId="20">#REF!</definedName>
    <definedName name="TRI_STATE_GENERATION_AND_TRANSMISSION_ASSOCIATION">#REF!</definedName>
    <definedName name="twelve" localSheetId="23">[15]Index!$A$7</definedName>
    <definedName name="twelve">[16]Index!$A$7</definedName>
    <definedName name="TWO" localSheetId="5">#REF!</definedName>
    <definedName name="TWO" localSheetId="6">#REF!</definedName>
    <definedName name="TWO" localSheetId="10">#REF!</definedName>
    <definedName name="TWO" localSheetId="13">#REF!</definedName>
    <definedName name="TWO" localSheetId="16">#REF!</definedName>
    <definedName name="TWO" localSheetId="17">#REF!</definedName>
    <definedName name="TWO" localSheetId="18">#REF!</definedName>
    <definedName name="TWO" localSheetId="20">#REF!</definedName>
    <definedName name="TWO">#REF!</definedName>
    <definedName name="TWOBEE" localSheetId="5">#REF!</definedName>
    <definedName name="TWOBEE" localSheetId="6">#REF!</definedName>
    <definedName name="TWOBEE" localSheetId="10">#REF!</definedName>
    <definedName name="TWOBEE" localSheetId="13">#REF!</definedName>
    <definedName name="TWOBEE" localSheetId="16">#REF!</definedName>
    <definedName name="TWOBEE" localSheetId="17">#REF!</definedName>
    <definedName name="TWOBEE" localSheetId="18">#REF!</definedName>
    <definedName name="TWOBEE" localSheetId="20">#REF!</definedName>
    <definedName name="TWOBEE">#REF!</definedName>
    <definedName name="TWOCEE" localSheetId="5">#REF!</definedName>
    <definedName name="TWOCEE" localSheetId="6">#REF!</definedName>
    <definedName name="TWOCEE" localSheetId="10">#REF!</definedName>
    <definedName name="TWOCEE" localSheetId="13">#REF!</definedName>
    <definedName name="TWOCEE" localSheetId="16">#REF!</definedName>
    <definedName name="TWOCEE" localSheetId="17">#REF!</definedName>
    <definedName name="TWOCEE" localSheetId="18">#REF!</definedName>
    <definedName name="TWOCEE" localSheetId="20">#REF!</definedName>
    <definedName name="TWOCEE">#REF!</definedName>
    <definedName name="TWODEE" localSheetId="5">#REF!</definedName>
    <definedName name="TWODEE" localSheetId="6">#REF!</definedName>
    <definedName name="TWODEE" localSheetId="10">#REF!</definedName>
    <definedName name="TWODEE" localSheetId="13">#REF!</definedName>
    <definedName name="TWODEE" localSheetId="16">#REF!</definedName>
    <definedName name="TWODEE" localSheetId="17">#REF!</definedName>
    <definedName name="TWODEE" localSheetId="18">#REF!</definedName>
    <definedName name="TWODEE" localSheetId="20">#REF!</definedName>
    <definedName name="TWODEE">#REF!</definedName>
    <definedName name="Z_044070CD_07DF_4C60_A0FC_231ECA92032F_.wvu.PrintArea" localSheetId="17" hidden="1">'Worksheet O, CWIP'!$A$11:$L$103</definedName>
    <definedName name="Z_044070CD_07DF_4C60_A0FC_231ECA92032F_.wvu.PrintTitles" localSheetId="17" hidden="1">'Worksheet O, CWIP'!$A:$C,'Worksheet O, CWIP'!$1:$10</definedName>
    <definedName name="Z_044070CD_07DF_4C60_A0FC_231ECA92032F_.wvu.Rows" localSheetId="17" hidden="1">'Worksheet O, CWIP'!$1:$1</definedName>
    <definedName name="Z_3FBB0C90_C6C1_480D_B078_514EE8852FAF_.wvu.Cols" localSheetId="4" hidden="1">'Worksheet B, Expenses'!#REF!</definedName>
    <definedName name="Z_3FBB0C90_C6C1_480D_B078_514EE8852FAF_.wvu.PrintArea" localSheetId="0" hidden="1">Index!$B$1:$C$23</definedName>
    <definedName name="Z_3FBB0C90_C6C1_480D_B078_514EE8852FAF_.wvu.PrintArea" localSheetId="1" hidden="1">'Summary ATRR'!$A$11:$I$34</definedName>
    <definedName name="Z_3FBB0C90_C6C1_480D_B078_514EE8852FAF_.wvu.PrintArea" localSheetId="3" hidden="1">'Worksheet A, Rate Base'!$A$1:$M$88</definedName>
    <definedName name="Z_3FBB0C90_C6C1_480D_B078_514EE8852FAF_.wvu.PrintArea" localSheetId="4" hidden="1">'Worksheet B, Expenses'!$A$11:$K$59</definedName>
    <definedName name="Z_3FBB0C90_C6C1_480D_B078_514EE8852FAF_.wvu.PrintArea" localSheetId="5" hidden="1">'Worksheet C, Return'!$A$1:$K$11</definedName>
    <definedName name="Z_3FBB0C90_C6C1_480D_B078_514EE8852FAF_.wvu.PrintArea" localSheetId="7" hidden="1">'Worksheet E, Alloc. Factor'!$A$1:$F$39</definedName>
    <definedName name="Z_3FBB0C90_C6C1_480D_B078_514EE8852FAF_.wvu.PrintArea" localSheetId="8" hidden="1">'Worksheet F, Inputs'!$A$11:$G$162</definedName>
    <definedName name="Z_3FBB0C90_C6C1_480D_B078_514EE8852FAF_.wvu.PrintTitles" localSheetId="1" hidden="1">'Summary ATRR'!$1:$10</definedName>
    <definedName name="Z_3FBB0C90_C6C1_480D_B078_514EE8852FAF_.wvu.PrintTitles" localSheetId="4" hidden="1">'Worksheet B, Expenses'!$1:$10</definedName>
    <definedName name="Z_3FBB0C90_C6C1_480D_B078_514EE8852FAF_.wvu.PrintTitles" localSheetId="8" hidden="1">'Worksheet F, Inputs'!$1:$10</definedName>
    <definedName name="Z_6E11DDB1_46C7_4791_ADE4_4C191795EBAF_.wvu.PrintArea" localSheetId="17" hidden="1">'Worksheet O, CWIP'!$A$11:$L$103</definedName>
    <definedName name="Z_6E11DDB1_46C7_4791_ADE4_4C191795EBAF_.wvu.PrintTitles" localSheetId="17" hidden="1">'Worksheet O, CWIP'!$A:$C,'Worksheet O, CWIP'!$1:$10</definedName>
    <definedName name="Z_6E11DDB1_46C7_4791_ADE4_4C191795EBAF_.wvu.Rows" localSheetId="17" hidden="1">'Worksheet O, CWIP'!$1:$1</definedName>
    <definedName name="Z_8726B6F3_1C43_47F7_8923_4ED3DEBD0FA8_.wvu.PrintArea" localSheetId="17" hidden="1">'Worksheet O, CWIP'!$A$11:$L$103</definedName>
    <definedName name="Z_8726B6F3_1C43_47F7_8923_4ED3DEBD0FA8_.wvu.PrintTitles" localSheetId="17" hidden="1">'Worksheet O, CWIP'!$A:$C,'Worksheet O, CWIP'!$1:$10</definedName>
    <definedName name="Z_8726B6F3_1C43_47F7_8923_4ED3DEBD0FA8_.wvu.Rows" localSheetId="17" hidden="1">'Worksheet O, CWIP'!$1:$1</definedName>
    <definedName name="Z_89CFA5B2_4872_4386_809D_D449B51B88C0_.wvu.PrintArea" localSheetId="17" hidden="1">'Worksheet O, CWIP'!$A$11:$L$103</definedName>
    <definedName name="Z_89CFA5B2_4872_4386_809D_D449B51B88C0_.wvu.PrintTitles" localSheetId="17" hidden="1">'Worksheet O, CWIP'!$A:$C,'Worksheet O, CWIP'!$1:$10</definedName>
    <definedName name="Z_89CFA5B2_4872_4386_809D_D449B51B88C0_.wvu.Rows" localSheetId="17" hidden="1">'Worksheet O, CWIP'!$1:$1</definedName>
    <definedName name="Z_B289AAC1_107E_4E52_AB0C_D630EE01C8BF_.wvu.PrintArea" localSheetId="17" hidden="1">'Worksheet O, CWIP'!$A$11:$L$103</definedName>
    <definedName name="Z_B289AAC1_107E_4E52_AB0C_D630EE01C8BF_.wvu.PrintTitles" localSheetId="17" hidden="1">'Worksheet O, CWIP'!$A:$C,'Worksheet O, CWIP'!$1:$10</definedName>
    <definedName name="Z_B289AAC1_107E_4E52_AB0C_D630EE01C8BF_.wvu.Rows" localSheetId="17" hidden="1">'Worksheet O, CWIP'!$1:$1</definedName>
    <definedName name="Z_F5F74AAB_BA27_4323_8489_8BA966A1A6F2_.wvu.PrintArea" localSheetId="17" hidden="1">'Worksheet O, CWIP'!$A$11:$L$103</definedName>
    <definedName name="Z_F5F74AAB_BA27_4323_8489_8BA966A1A6F2_.wvu.PrintTitles" localSheetId="17" hidden="1">'Worksheet O, CWIP'!$A:$C,'Worksheet O, CWIP'!$1:$10</definedName>
    <definedName name="Z_F5F74AAB_BA27_4323_8489_8BA966A1A6F2_.wvu.Rows" localSheetId="17" hidden="1">'Worksheet O, CWIP'!$1:$1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18" l="1"/>
  <c r="J15" i="25" l="1"/>
  <c r="F15" i="25"/>
  <c r="D13" i="27" l="1"/>
  <c r="D14" i="27"/>
  <c r="D15" i="27" s="1"/>
  <c r="D16" i="27" s="1"/>
  <c r="D17" i="27" s="1"/>
  <c r="D18" i="27" s="1"/>
  <c r="D19" i="27" s="1"/>
  <c r="D20" i="27" s="1"/>
  <c r="D21" i="27" s="1"/>
  <c r="D22" i="27" s="1"/>
  <c r="D23" i="27" s="1"/>
  <c r="D24" i="27" s="1"/>
  <c r="D25" i="27" s="1"/>
  <c r="D26" i="27" s="1"/>
  <c r="D27" i="27" s="1"/>
  <c r="D28" i="27" s="1"/>
  <c r="D29" i="27" s="1"/>
  <c r="D30" i="27" s="1"/>
  <c r="D31" i="27" s="1"/>
  <c r="D32" i="27" s="1"/>
  <c r="D33" i="27" s="1"/>
  <c r="D34" i="27" s="1"/>
  <c r="D35" i="27" s="1"/>
  <c r="D36" i="27" s="1"/>
  <c r="D37" i="27" s="1"/>
  <c r="D38" i="27" s="1"/>
  <c r="D39" i="27" s="1"/>
  <c r="D40" i="27" s="1"/>
  <c r="D41" i="27" s="1"/>
  <c r="D42" i="27" s="1"/>
  <c r="D43" i="27" s="1"/>
  <c r="D44" i="27" s="1"/>
  <c r="D45" i="27" s="1"/>
  <c r="D46" i="27" s="1"/>
  <c r="D47" i="27" s="1"/>
  <c r="D48" i="27" s="1"/>
  <c r="D49" i="27" s="1"/>
  <c r="D50" i="27" s="1"/>
  <c r="D51" i="27" s="1"/>
  <c r="D52" i="27" s="1"/>
  <c r="D53" i="27" s="1"/>
  <c r="D54" i="27" s="1"/>
  <c r="D55" i="27" s="1"/>
  <c r="D56" i="27" s="1"/>
  <c r="D57" i="27" s="1"/>
  <c r="D58" i="27" s="1"/>
  <c r="D59" i="27" s="1"/>
  <c r="D60" i="27" s="1"/>
  <c r="D61" i="27" s="1"/>
  <c r="D62" i="27" s="1"/>
  <c r="D63" i="27" s="1"/>
  <c r="D64" i="27" s="1"/>
  <c r="D65" i="27" s="1"/>
  <c r="D66" i="27" s="1"/>
  <c r="D67" i="27" s="1"/>
  <c r="D68" i="27" s="1"/>
  <c r="D69" i="27" s="1"/>
  <c r="D70" i="27" s="1"/>
  <c r="D71" i="27" s="1"/>
  <c r="D72" i="27" s="1"/>
  <c r="D73" i="27" s="1"/>
  <c r="D74" i="27" s="1"/>
  <c r="D75" i="27" s="1"/>
  <c r="D76" i="27" s="1"/>
  <c r="D77" i="27" s="1"/>
  <c r="D78" i="27" s="1"/>
  <c r="D79" i="27" s="1"/>
  <c r="D80" i="27" s="1"/>
  <c r="D81" i="27" s="1"/>
  <c r="D82" i="27" s="1"/>
  <c r="D83" i="27" s="1"/>
  <c r="D84" i="27" s="1"/>
  <c r="D85" i="27" s="1"/>
  <c r="D86" i="27" s="1"/>
  <c r="D87" i="27" s="1"/>
  <c r="D88" i="27" s="1"/>
  <c r="D89" i="27" s="1"/>
  <c r="D90" i="27" s="1"/>
  <c r="D91" i="27" s="1"/>
  <c r="D92" i="27" s="1"/>
  <c r="D93" i="27" s="1"/>
  <c r="D94" i="27" s="1"/>
  <c r="D95" i="27" s="1"/>
  <c r="D96" i="27" s="1"/>
  <c r="A16" i="20" l="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15" i="20"/>
  <c r="A12" i="20"/>
  <c r="F24" i="16" l="1"/>
  <c r="J98" i="27" l="1"/>
  <c r="I98" i="27"/>
  <c r="K96" i="27"/>
  <c r="L96" i="27" s="1"/>
  <c r="A98" i="27"/>
  <c r="C303" i="30" l="1"/>
  <c r="D303" i="30"/>
  <c r="D305" i="30" s="1"/>
  <c r="F58" i="18" l="1"/>
  <c r="N117" i="26" l="1"/>
  <c r="G48" i="17" l="1"/>
  <c r="F66" i="18"/>
  <c r="F61" i="18"/>
  <c r="D58" i="18"/>
  <c r="F23" i="2"/>
  <c r="F62" i="18"/>
  <c r="D62" i="18"/>
  <c r="F57" i="18"/>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19" i="20"/>
  <c r="F11" i="20"/>
  <c r="F12" i="20"/>
  <c r="F13" i="20"/>
  <c r="F16" i="20"/>
  <c r="F17" i="20"/>
  <c r="F18" i="20"/>
  <c r="F20" i="20"/>
  <c r="O11" i="26"/>
  <c r="O12" i="26"/>
  <c r="O13" i="26"/>
  <c r="O14" i="26"/>
  <c r="P14" i="26" s="1"/>
  <c r="Q14" i="26" s="1"/>
  <c r="S14" i="26" s="1"/>
  <c r="O15" i="26"/>
  <c r="O16" i="26"/>
  <c r="O17" i="26"/>
  <c r="R17" i="26" s="1"/>
  <c r="O18" i="26"/>
  <c r="R18" i="26" s="1"/>
  <c r="O19" i="26"/>
  <c r="R19" i="26" s="1"/>
  <c r="O20" i="26"/>
  <c r="R20" i="26" s="1"/>
  <c r="O21" i="26"/>
  <c r="R21" i="26" s="1"/>
  <c r="O22" i="26"/>
  <c r="P22" i="26" s="1"/>
  <c r="O23" i="26"/>
  <c r="R23" i="26" s="1"/>
  <c r="O24" i="26"/>
  <c r="O25" i="26"/>
  <c r="R25" i="26" s="1"/>
  <c r="O26" i="26"/>
  <c r="R26" i="26" s="1"/>
  <c r="O27" i="26"/>
  <c r="O28" i="26"/>
  <c r="O29" i="26"/>
  <c r="O30" i="26"/>
  <c r="R30" i="26" s="1"/>
  <c r="O31" i="26"/>
  <c r="R31" i="26" s="1"/>
  <c r="O32" i="26"/>
  <c r="O33" i="26"/>
  <c r="O34" i="26"/>
  <c r="R34" i="26" s="1"/>
  <c r="O35" i="26"/>
  <c r="R35" i="26" s="1"/>
  <c r="O36" i="26"/>
  <c r="O37" i="26"/>
  <c r="R37" i="26" s="1"/>
  <c r="O38" i="26"/>
  <c r="R38" i="26" s="1"/>
  <c r="O39" i="26"/>
  <c r="O40" i="26"/>
  <c r="R40" i="26" s="1"/>
  <c r="O41" i="26"/>
  <c r="O42" i="26"/>
  <c r="R42" i="26" s="1"/>
  <c r="O43" i="26"/>
  <c r="O44" i="26"/>
  <c r="R44" i="26" s="1"/>
  <c r="O45" i="26"/>
  <c r="O46" i="26"/>
  <c r="O47" i="26"/>
  <c r="R47" i="26" s="1"/>
  <c r="O48" i="26"/>
  <c r="O49" i="26"/>
  <c r="R49" i="26" s="1"/>
  <c r="O50" i="26"/>
  <c r="R50" i="26" s="1"/>
  <c r="O51" i="26"/>
  <c r="O52" i="26"/>
  <c r="R52" i="26" s="1"/>
  <c r="O53" i="26"/>
  <c r="R53" i="26" s="1"/>
  <c r="O54" i="26"/>
  <c r="P54" i="26" s="1"/>
  <c r="Q54" i="26" s="1"/>
  <c r="S54" i="26" s="1"/>
  <c r="O55" i="26"/>
  <c r="O56" i="26"/>
  <c r="O57" i="26"/>
  <c r="R57" i="26" s="1"/>
  <c r="O58" i="26"/>
  <c r="O59" i="26"/>
  <c r="R59" i="26" s="1"/>
  <c r="O60" i="26"/>
  <c r="R60" i="26" s="1"/>
  <c r="O61" i="26"/>
  <c r="R61" i="26" s="1"/>
  <c r="O62" i="26"/>
  <c r="R62" i="26" s="1"/>
  <c r="O63" i="26"/>
  <c r="R63" i="26" s="1"/>
  <c r="O64" i="26"/>
  <c r="O65" i="26"/>
  <c r="R65" i="26" s="1"/>
  <c r="O66" i="26"/>
  <c r="R66" i="26" s="1"/>
  <c r="O67" i="26"/>
  <c r="R67" i="26" s="1"/>
  <c r="O68" i="26"/>
  <c r="O69" i="26"/>
  <c r="O70" i="26"/>
  <c r="O71" i="26"/>
  <c r="O72" i="26"/>
  <c r="R72" i="26" s="1"/>
  <c r="O73" i="26"/>
  <c r="R73" i="26" s="1"/>
  <c r="O74" i="26"/>
  <c r="R74" i="26" s="1"/>
  <c r="O75" i="26"/>
  <c r="O76" i="26"/>
  <c r="R76" i="26" s="1"/>
  <c r="O77" i="26"/>
  <c r="R77" i="26" s="1"/>
  <c r="O78" i="26"/>
  <c r="R78" i="26" s="1"/>
  <c r="O79" i="26"/>
  <c r="R79" i="26" s="1"/>
  <c r="O80" i="26"/>
  <c r="O81" i="26"/>
  <c r="R81" i="26" s="1"/>
  <c r="O82" i="26"/>
  <c r="R82" i="26" s="1"/>
  <c r="O83" i="26"/>
  <c r="O84" i="26"/>
  <c r="O85" i="26"/>
  <c r="R85" i="26" s="1"/>
  <c r="O86" i="26"/>
  <c r="O87" i="26"/>
  <c r="O88" i="26"/>
  <c r="O89" i="26"/>
  <c r="R89" i="26" s="1"/>
  <c r="O90" i="26"/>
  <c r="R90" i="26" s="1"/>
  <c r="O91" i="26"/>
  <c r="R91" i="26" s="1"/>
  <c r="O92" i="26"/>
  <c r="O93" i="26"/>
  <c r="O94" i="26"/>
  <c r="O95" i="26"/>
  <c r="O96" i="26"/>
  <c r="O97" i="26"/>
  <c r="R97" i="26" s="1"/>
  <c r="O98" i="26"/>
  <c r="R98" i="26" s="1"/>
  <c r="O99" i="26"/>
  <c r="R99" i="26" s="1"/>
  <c r="O100" i="26"/>
  <c r="O101" i="26"/>
  <c r="R101" i="26" s="1"/>
  <c r="O102" i="26"/>
  <c r="O103" i="26"/>
  <c r="R103" i="26" s="1"/>
  <c r="O104" i="26"/>
  <c r="O105" i="26"/>
  <c r="O106" i="26"/>
  <c r="O107" i="26"/>
  <c r="O108" i="26"/>
  <c r="O109" i="26"/>
  <c r="O110" i="26"/>
  <c r="P110" i="26" s="1"/>
  <c r="Q110" i="26" s="1"/>
  <c r="S110" i="26" s="1"/>
  <c r="O111" i="26"/>
  <c r="R111" i="26" s="1"/>
  <c r="O112" i="26"/>
  <c r="O113" i="26"/>
  <c r="O114" i="26"/>
  <c r="O115" i="26"/>
  <c r="O116" i="26"/>
  <c r="O117" i="26"/>
  <c r="O118" i="26"/>
  <c r="R118" i="26" s="1"/>
  <c r="O119" i="26"/>
  <c r="R119" i="26" s="1"/>
  <c r="O120" i="26"/>
  <c r="O121" i="26"/>
  <c r="R121" i="26" s="1"/>
  <c r="O122" i="26"/>
  <c r="O123" i="26"/>
  <c r="R123" i="26" s="1"/>
  <c r="O124" i="26"/>
  <c r="R124" i="26" s="1"/>
  <c r="O125" i="26"/>
  <c r="O126" i="26"/>
  <c r="R126" i="26" s="1"/>
  <c r="O127" i="26"/>
  <c r="O128" i="26"/>
  <c r="R128" i="26" s="1"/>
  <c r="O129" i="26"/>
  <c r="R129" i="26" s="1"/>
  <c r="O130" i="26"/>
  <c r="R130" i="26" s="1"/>
  <c r="O131" i="26"/>
  <c r="R131" i="26" s="1"/>
  <c r="O132" i="26"/>
  <c r="O133" i="26"/>
  <c r="R133" i="26" s="1"/>
  <c r="O134" i="26"/>
  <c r="R134" i="26" s="1"/>
  <c r="O135" i="26"/>
  <c r="O136" i="26"/>
  <c r="O137" i="26"/>
  <c r="O138" i="26"/>
  <c r="R138" i="26" s="1"/>
  <c r="O139" i="26"/>
  <c r="O140" i="26"/>
  <c r="O141" i="26"/>
  <c r="R141" i="26" s="1"/>
  <c r="O142" i="26"/>
  <c r="R142" i="26" s="1"/>
  <c r="O143" i="26"/>
  <c r="O144" i="26"/>
  <c r="O145" i="26"/>
  <c r="R145" i="26" s="1"/>
  <c r="O146" i="26"/>
  <c r="R146" i="26" s="1"/>
  <c r="O147" i="26"/>
  <c r="R147" i="26" s="1"/>
  <c r="O148" i="26"/>
  <c r="R148" i="26" s="1"/>
  <c r="O149" i="26"/>
  <c r="R149" i="26" s="1"/>
  <c r="O150" i="26"/>
  <c r="R150" i="26" s="1"/>
  <c r="O151" i="26"/>
  <c r="O152" i="26"/>
  <c r="R152" i="26" s="1"/>
  <c r="O153" i="26"/>
  <c r="R153" i="26" s="1"/>
  <c r="O154" i="26"/>
  <c r="R154" i="26" s="1"/>
  <c r="O155" i="26"/>
  <c r="O156" i="26"/>
  <c r="R156" i="26" s="1"/>
  <c r="O157" i="26"/>
  <c r="R157" i="26" s="1"/>
  <c r="O158" i="26"/>
  <c r="R158" i="26" s="1"/>
  <c r="O159" i="26"/>
  <c r="R159" i="26" s="1"/>
  <c r="O160" i="26"/>
  <c r="O161" i="26"/>
  <c r="R161" i="26" s="1"/>
  <c r="O162" i="26"/>
  <c r="R162" i="26" s="1"/>
  <c r="O163" i="26"/>
  <c r="O164" i="26"/>
  <c r="R164" i="26" s="1"/>
  <c r="O165" i="26"/>
  <c r="R165" i="26" s="1"/>
  <c r="O166" i="26"/>
  <c r="P166" i="26" s="1"/>
  <c r="Q166" i="26" s="1"/>
  <c r="S166" i="26" s="1"/>
  <c r="O167" i="26"/>
  <c r="O168" i="26"/>
  <c r="R168" i="26" s="1"/>
  <c r="O169" i="26"/>
  <c r="R169" i="26" s="1"/>
  <c r="O170" i="26"/>
  <c r="R170" i="26" s="1"/>
  <c r="H171" i="26"/>
  <c r="K13" i="27"/>
  <c r="L13" i="27" s="1"/>
  <c r="K14" i="27"/>
  <c r="L14" i="27" s="1"/>
  <c r="K15" i="27"/>
  <c r="L15" i="27" s="1"/>
  <c r="K16" i="27"/>
  <c r="L16" i="27" s="1"/>
  <c r="K17" i="27"/>
  <c r="L17" i="27" s="1"/>
  <c r="K19" i="27"/>
  <c r="L19" i="27" s="1"/>
  <c r="K21" i="27"/>
  <c r="L21" i="27" s="1"/>
  <c r="K22" i="27"/>
  <c r="L22" i="27" s="1"/>
  <c r="K23" i="27"/>
  <c r="L23" i="27" s="1"/>
  <c r="K24" i="27"/>
  <c r="L24" i="27" s="1"/>
  <c r="K27" i="27"/>
  <c r="L27" i="27" s="1"/>
  <c r="K28" i="27"/>
  <c r="L28" i="27" s="1"/>
  <c r="K31" i="27"/>
  <c r="L31" i="27" s="1"/>
  <c r="K32" i="27"/>
  <c r="L32" i="27" s="1"/>
  <c r="K34" i="27"/>
  <c r="L34" i="27" s="1"/>
  <c r="K36" i="27"/>
  <c r="L36" i="27" s="1"/>
  <c r="K37" i="27"/>
  <c r="L37" i="27" s="1"/>
  <c r="K40" i="27"/>
  <c r="L40" i="27" s="1"/>
  <c r="K42" i="27"/>
  <c r="L42" i="27" s="1"/>
  <c r="K47" i="27"/>
  <c r="L47" i="27" s="1"/>
  <c r="K48" i="27"/>
  <c r="L48" i="27" s="1"/>
  <c r="K51" i="27"/>
  <c r="L51" i="27" s="1"/>
  <c r="K56" i="27"/>
  <c r="L56" i="27" s="1"/>
  <c r="K57" i="27"/>
  <c r="L57" i="27" s="1"/>
  <c r="K62" i="27"/>
  <c r="L62" i="27" s="1"/>
  <c r="K63" i="27"/>
  <c r="L63" i="27" s="1"/>
  <c r="K65" i="27"/>
  <c r="L65" i="27" s="1"/>
  <c r="K66" i="27"/>
  <c r="L66" i="27" s="1"/>
  <c r="K67" i="27"/>
  <c r="L67" i="27" s="1"/>
  <c r="K68" i="27"/>
  <c r="L68" i="27" s="1"/>
  <c r="K74" i="27"/>
  <c r="L74" i="27" s="1"/>
  <c r="K75" i="27"/>
  <c r="L75" i="27" s="1"/>
  <c r="K76" i="27"/>
  <c r="L76" i="27" s="1"/>
  <c r="K81" i="27"/>
  <c r="L81" i="27" s="1"/>
  <c r="K82" i="27"/>
  <c r="L82" i="27" s="1"/>
  <c r="K83" i="27"/>
  <c r="L83" i="27" s="1"/>
  <c r="K84" i="27"/>
  <c r="L84" i="27" s="1"/>
  <c r="K85" i="27"/>
  <c r="L85" i="27" s="1"/>
  <c r="K86" i="27"/>
  <c r="L86" i="27" s="1"/>
  <c r="K87" i="27"/>
  <c r="L87" i="27" s="1"/>
  <c r="K88" i="27"/>
  <c r="L88" i="27" s="1"/>
  <c r="K89" i="27"/>
  <c r="L89" i="27" s="1"/>
  <c r="K90" i="27"/>
  <c r="L90" i="27" s="1"/>
  <c r="K91" i="27"/>
  <c r="L91" i="27" s="1"/>
  <c r="K92" i="27"/>
  <c r="L92" i="27" s="1"/>
  <c r="K93" i="27"/>
  <c r="L93" i="27" s="1"/>
  <c r="K94" i="27"/>
  <c r="L94" i="27" s="1"/>
  <c r="K95" i="27"/>
  <c r="L95" i="27" s="1"/>
  <c r="E300" i="30"/>
  <c r="A300" i="30"/>
  <c r="A298" i="30"/>
  <c r="A7" i="26"/>
  <c r="E173" i="26"/>
  <c r="E174" i="26"/>
  <c r="M11" i="26" s="1"/>
  <c r="N11" i="26"/>
  <c r="D27" i="8"/>
  <c r="D28" i="8"/>
  <c r="D29" i="8"/>
  <c r="H84" i="15"/>
  <c r="H147" i="15"/>
  <c r="H193" i="15"/>
  <c r="H195" i="15"/>
  <c r="H277" i="15"/>
  <c r="H279" i="15"/>
  <c r="D11" i="8"/>
  <c r="G84" i="15"/>
  <c r="G193" i="15"/>
  <c r="G195" i="15"/>
  <c r="G277" i="15"/>
  <c r="G279" i="15"/>
  <c r="D10" i="8"/>
  <c r="F10" i="8"/>
  <c r="O84" i="15"/>
  <c r="O195" i="15"/>
  <c r="O277" i="15"/>
  <c r="O279" i="15"/>
  <c r="D12" i="8"/>
  <c r="F12" i="8"/>
  <c r="I84" i="15"/>
  <c r="I147" i="15"/>
  <c r="I195" i="15"/>
  <c r="I277" i="15"/>
  <c r="I279" i="15"/>
  <c r="D13" i="8"/>
  <c r="F13" i="8"/>
  <c r="D17" i="8"/>
  <c r="G145" i="9"/>
  <c r="H53" i="4"/>
  <c r="G143" i="9"/>
  <c r="H51" i="4"/>
  <c r="G144" i="9"/>
  <c r="H52" i="4"/>
  <c r="G146" i="9"/>
  <c r="H54" i="4"/>
  <c r="K54" i="4"/>
  <c r="K70" i="4"/>
  <c r="F55" i="18"/>
  <c r="F16" i="2"/>
  <c r="F56" i="18"/>
  <c r="F17" i="2"/>
  <c r="I23" i="2"/>
  <c r="F18" i="2"/>
  <c r="I18" i="2"/>
  <c r="F38" i="18"/>
  <c r="F19" i="2"/>
  <c r="I19" i="2" s="1"/>
  <c r="F59" i="18"/>
  <c r="F20" i="2"/>
  <c r="I20" i="2"/>
  <c r="F60" i="18"/>
  <c r="F21" i="2"/>
  <c r="I21" i="2"/>
  <c r="F22" i="2"/>
  <c r="I22" i="2"/>
  <c r="F63" i="18"/>
  <c r="F24" i="2"/>
  <c r="I24" i="2"/>
  <c r="F25" i="2"/>
  <c r="I25" i="2"/>
  <c r="F65" i="18"/>
  <c r="F26" i="2"/>
  <c r="I26" i="2"/>
  <c r="N12" i="26"/>
  <c r="N13" i="26"/>
  <c r="M14" i="26"/>
  <c r="N14" i="26"/>
  <c r="N15" i="26"/>
  <c r="N16" i="26"/>
  <c r="N17" i="26"/>
  <c r="N18" i="26"/>
  <c r="N19" i="26"/>
  <c r="N20" i="26"/>
  <c r="M21" i="26"/>
  <c r="N21" i="26"/>
  <c r="M22" i="26"/>
  <c r="N22" i="26"/>
  <c r="N23" i="26"/>
  <c r="M24" i="26"/>
  <c r="N24" i="26"/>
  <c r="N25" i="26"/>
  <c r="N26" i="26"/>
  <c r="N27" i="26"/>
  <c r="N28" i="26"/>
  <c r="M29" i="26"/>
  <c r="N29" i="26"/>
  <c r="N30" i="26"/>
  <c r="N31" i="26"/>
  <c r="M32" i="26"/>
  <c r="N32" i="26"/>
  <c r="M33" i="26"/>
  <c r="N33" i="26"/>
  <c r="N34" i="26"/>
  <c r="N35" i="26"/>
  <c r="N36" i="26"/>
  <c r="N37" i="26"/>
  <c r="N38" i="26"/>
  <c r="N39" i="26"/>
  <c r="N40" i="26"/>
  <c r="M41" i="26"/>
  <c r="N41" i="26"/>
  <c r="N42" i="26"/>
  <c r="N43" i="26"/>
  <c r="N44" i="26"/>
  <c r="M45" i="26"/>
  <c r="N45" i="26"/>
  <c r="N46" i="26"/>
  <c r="N47" i="26"/>
  <c r="N48" i="26"/>
  <c r="N49" i="26"/>
  <c r="N50" i="26"/>
  <c r="N51" i="26"/>
  <c r="N52" i="26"/>
  <c r="N53" i="26"/>
  <c r="M54" i="26"/>
  <c r="N54" i="26"/>
  <c r="M55" i="26"/>
  <c r="N55" i="26"/>
  <c r="N56" i="26"/>
  <c r="N57" i="26"/>
  <c r="M58" i="26"/>
  <c r="N58" i="26"/>
  <c r="N59" i="26"/>
  <c r="N60" i="26"/>
  <c r="N61" i="26"/>
  <c r="N62" i="26"/>
  <c r="N63" i="26"/>
  <c r="N64" i="26"/>
  <c r="N65" i="26"/>
  <c r="N66" i="26"/>
  <c r="N67" i="26"/>
  <c r="N68" i="26"/>
  <c r="M69" i="26"/>
  <c r="N69" i="26"/>
  <c r="M70" i="26"/>
  <c r="N70" i="26"/>
  <c r="M71" i="26"/>
  <c r="N71" i="26"/>
  <c r="N72" i="26"/>
  <c r="N73" i="26"/>
  <c r="N74" i="26"/>
  <c r="N75" i="26"/>
  <c r="M76" i="26"/>
  <c r="N76" i="26"/>
  <c r="N77" i="26"/>
  <c r="N78" i="26"/>
  <c r="N79" i="26"/>
  <c r="M80" i="26"/>
  <c r="N80" i="26"/>
  <c r="N81" i="26"/>
  <c r="N82" i="26"/>
  <c r="M83" i="26"/>
  <c r="N83" i="26"/>
  <c r="M84" i="26"/>
  <c r="N84" i="26"/>
  <c r="N85" i="26"/>
  <c r="N86" i="26"/>
  <c r="N87" i="26"/>
  <c r="N88" i="26"/>
  <c r="N89" i="26"/>
  <c r="N90" i="26"/>
  <c r="N91" i="26"/>
  <c r="N92" i="26"/>
  <c r="N93" i="26"/>
  <c r="N94" i="26"/>
  <c r="N95" i="26"/>
  <c r="N96" i="26"/>
  <c r="N97" i="26"/>
  <c r="M98" i="26"/>
  <c r="N98" i="26"/>
  <c r="N99" i="26"/>
  <c r="N100" i="26"/>
  <c r="N101" i="26"/>
  <c r="N102" i="26"/>
  <c r="M103" i="26"/>
  <c r="N103" i="26"/>
  <c r="M104" i="26"/>
  <c r="N104" i="26"/>
  <c r="M105" i="26"/>
  <c r="N105" i="26"/>
  <c r="M106" i="26"/>
  <c r="N106" i="26"/>
  <c r="N107" i="26"/>
  <c r="M108" i="26"/>
  <c r="N108" i="26"/>
  <c r="M109" i="26"/>
  <c r="N109" i="26"/>
  <c r="M110" i="26"/>
  <c r="N110" i="26"/>
  <c r="M111" i="26"/>
  <c r="N111" i="26"/>
  <c r="M112" i="26"/>
  <c r="N112" i="26"/>
  <c r="M113" i="26"/>
  <c r="N113" i="26"/>
  <c r="M114" i="26"/>
  <c r="N114" i="26"/>
  <c r="M115" i="26"/>
  <c r="N115" i="26"/>
  <c r="M116" i="26"/>
  <c r="N116" i="26"/>
  <c r="M117" i="26"/>
  <c r="M118" i="26"/>
  <c r="M119" i="26"/>
  <c r="M120" i="26"/>
  <c r="M121" i="26"/>
  <c r="M122" i="26"/>
  <c r="M123" i="26"/>
  <c r="M124" i="26"/>
  <c r="M125" i="26"/>
  <c r="M126" i="26"/>
  <c r="M127" i="26"/>
  <c r="M128" i="26"/>
  <c r="M129" i="26"/>
  <c r="M130" i="26"/>
  <c r="M131" i="26"/>
  <c r="M132" i="26"/>
  <c r="M133" i="26"/>
  <c r="M134" i="26"/>
  <c r="M135" i="26"/>
  <c r="M136" i="26"/>
  <c r="M137" i="26"/>
  <c r="M138" i="26"/>
  <c r="M139" i="26"/>
  <c r="M140" i="26"/>
  <c r="M141" i="26"/>
  <c r="M142" i="26"/>
  <c r="M143" i="26"/>
  <c r="M144" i="26"/>
  <c r="M145" i="26"/>
  <c r="M146" i="26"/>
  <c r="M147" i="26"/>
  <c r="M148" i="26"/>
  <c r="M149" i="26"/>
  <c r="M150" i="26"/>
  <c r="M151" i="26"/>
  <c r="M152" i="26"/>
  <c r="M153" i="26"/>
  <c r="M154" i="26"/>
  <c r="M155" i="26"/>
  <c r="M156" i="26"/>
  <c r="M157" i="26"/>
  <c r="M158" i="26"/>
  <c r="M159" i="26"/>
  <c r="M160" i="26"/>
  <c r="M161" i="26"/>
  <c r="M162" i="26"/>
  <c r="M163" i="26"/>
  <c r="M164" i="26"/>
  <c r="M165" i="26"/>
  <c r="M166" i="26"/>
  <c r="M167" i="26"/>
  <c r="M168" i="26"/>
  <c r="M169" i="26"/>
  <c r="M170" i="26"/>
  <c r="H65" i="26"/>
  <c r="H61" i="26"/>
  <c r="H38" i="26"/>
  <c r="H30" i="26"/>
  <c r="H15" i="26"/>
  <c r="F54"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3" i="18"/>
  <c r="A54" i="18"/>
  <c r="A55" i="18"/>
  <c r="A56" i="18"/>
  <c r="A57" i="18"/>
  <c r="A58" i="18"/>
  <c r="A59" i="18"/>
  <c r="A60" i="18"/>
  <c r="A61" i="18"/>
  <c r="A62" i="18"/>
  <c r="A63" i="18"/>
  <c r="A64" i="18"/>
  <c r="A65" i="18"/>
  <c r="A66" i="18"/>
  <c r="A67" i="18"/>
  <c r="A68" i="18"/>
  <c r="A69" i="18"/>
  <c r="A70" i="18"/>
  <c r="A71" i="18"/>
  <c r="A72" i="18"/>
  <c r="A73" i="18"/>
  <c r="A74" i="18"/>
  <c r="F64" i="18"/>
  <c r="C305"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A287" i="30"/>
  <c r="A288" i="30"/>
  <c r="A289" i="30"/>
  <c r="A290" i="30"/>
  <c r="A291" i="30"/>
  <c r="A292" i="30"/>
  <c r="A293" i="30"/>
  <c r="A294" i="30"/>
  <c r="A295" i="30"/>
  <c r="A296" i="30"/>
  <c r="A297" i="30"/>
  <c r="E50" i="20"/>
  <c r="D50" i="20"/>
  <c r="A13" i="20"/>
  <c r="A14" i="20" s="1"/>
  <c r="D12" i="27"/>
  <c r="K25" i="27"/>
  <c r="L25" i="27" s="1"/>
  <c r="J43" i="17"/>
  <c r="J42" i="17"/>
  <c r="J41" i="17"/>
  <c r="J40" i="17"/>
  <c r="J39" i="17"/>
  <c r="J38" i="17"/>
  <c r="J37" i="17"/>
  <c r="J36" i="17"/>
  <c r="J35" i="17"/>
  <c r="J34" i="17"/>
  <c r="J33" i="17"/>
  <c r="J32" i="17"/>
  <c r="J30" i="17"/>
  <c r="J27" i="17"/>
  <c r="J25" i="17"/>
  <c r="J23" i="17"/>
  <c r="J18" i="17"/>
  <c r="I15" i="16"/>
  <c r="G22" i="16"/>
  <c r="G21" i="16"/>
  <c r="G20" i="16"/>
  <c r="G18" i="16"/>
  <c r="G17" i="16"/>
  <c r="G16" i="16"/>
  <c r="G15" i="16"/>
  <c r="F276" i="15"/>
  <c r="E276" i="15"/>
  <c r="D277" i="15"/>
  <c r="M276" i="15"/>
  <c r="M277" i="15"/>
  <c r="A276" i="15"/>
  <c r="A277" i="15"/>
  <c r="F146" i="15"/>
  <c r="E146" i="15"/>
  <c r="D147" i="15"/>
  <c r="H111" i="15"/>
  <c r="H112" i="15"/>
  <c r="H113" i="15"/>
  <c r="H114" i="15"/>
  <c r="H115" i="15"/>
  <c r="H116" i="15"/>
  <c r="H117" i="15"/>
  <c r="H118" i="15"/>
  <c r="H119" i="15"/>
  <c r="H120" i="15"/>
  <c r="H121" i="15"/>
  <c r="H122" i="15"/>
  <c r="H123" i="15"/>
  <c r="I123" i="15"/>
  <c r="I124" i="15"/>
  <c r="I125" i="15"/>
  <c r="I126" i="15"/>
  <c r="I127" i="15"/>
  <c r="I128" i="15"/>
  <c r="I129" i="15"/>
  <c r="M146" i="15"/>
  <c r="M132" i="15"/>
  <c r="M133" i="15"/>
  <c r="M134" i="15"/>
  <c r="M135" i="15"/>
  <c r="M136" i="15"/>
  <c r="M137" i="15"/>
  <c r="M138" i="15"/>
  <c r="M139" i="15"/>
  <c r="M140" i="15"/>
  <c r="M141" i="15"/>
  <c r="M142" i="15"/>
  <c r="M143" i="15"/>
  <c r="M144" i="15"/>
  <c r="M145" i="15"/>
  <c r="M147"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F83" i="15"/>
  <c r="D84"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H38" i="15"/>
  <c r="H44" i="15"/>
  <c r="H46" i="15"/>
  <c r="H47" i="15"/>
  <c r="H48" i="15"/>
  <c r="H49" i="15"/>
  <c r="H50" i="15"/>
  <c r="H51" i="15"/>
  <c r="H52" i="15"/>
  <c r="H53" i="15"/>
  <c r="H54" i="15"/>
  <c r="H55" i="15"/>
  <c r="H45" i="15"/>
  <c r="I56" i="15"/>
  <c r="I57" i="15"/>
  <c r="I58" i="15"/>
  <c r="I59" i="15"/>
  <c r="I60" i="15"/>
  <c r="I61" i="15"/>
  <c r="I62" i="15"/>
  <c r="I63" i="15"/>
  <c r="I64" i="15"/>
  <c r="I65" i="15"/>
  <c r="M83" i="15"/>
  <c r="M69" i="15"/>
  <c r="M70" i="15"/>
  <c r="M71" i="15"/>
  <c r="M72" i="15"/>
  <c r="M73" i="15"/>
  <c r="M74" i="15"/>
  <c r="M75" i="15"/>
  <c r="M76" i="15"/>
  <c r="M77" i="15"/>
  <c r="M78" i="15"/>
  <c r="M79" i="15"/>
  <c r="M80" i="15"/>
  <c r="M81" i="15"/>
  <c r="M82" i="15"/>
  <c r="M84" i="15"/>
  <c r="O39" i="15"/>
  <c r="O40" i="15"/>
  <c r="O41" i="15"/>
  <c r="O42" i="15"/>
  <c r="O43" i="15"/>
  <c r="A12" i="26"/>
  <c r="A13" i="26"/>
  <c r="A14" i="26"/>
  <c r="A15" i="26"/>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I54" i="12"/>
  <c r="I51" i="12"/>
  <c r="I48" i="12"/>
  <c r="I45" i="12"/>
  <c r="K54" i="12"/>
  <c r="K51" i="12"/>
  <c r="K48" i="12"/>
  <c r="K45" i="12"/>
  <c r="K42" i="12"/>
  <c r="I42" i="12"/>
  <c r="I17" i="12"/>
  <c r="K29" i="12"/>
  <c r="K26" i="12"/>
  <c r="K23" i="12"/>
  <c r="K20" i="12"/>
  <c r="I29" i="12"/>
  <c r="I26" i="12"/>
  <c r="I23" i="12"/>
  <c r="I20" i="12"/>
  <c r="A12" i="9"/>
  <c r="A13" i="9"/>
  <c r="A14" i="9"/>
  <c r="A17" i="9"/>
  <c r="F21" i="23"/>
  <c r="H38" i="5"/>
  <c r="E21" i="23"/>
  <c r="H39" i="5"/>
  <c r="H37" i="5"/>
  <c r="O108" i="15"/>
  <c r="O109" i="15"/>
  <c r="O110" i="15"/>
  <c r="O147" i="15"/>
  <c r="O166" i="15"/>
  <c r="O167" i="15"/>
  <c r="O193" i="15"/>
  <c r="O232" i="15"/>
  <c r="O233" i="15"/>
  <c r="O234" i="15"/>
  <c r="O235" i="15"/>
  <c r="O236" i="15"/>
  <c r="G12" i="8"/>
  <c r="G17" i="8"/>
  <c r="G87" i="15"/>
  <c r="G88" i="15"/>
  <c r="G89" i="15"/>
  <c r="G90" i="15"/>
  <c r="G91" i="15"/>
  <c r="G92" i="15"/>
  <c r="G93" i="15"/>
  <c r="G94" i="15"/>
  <c r="G95" i="15"/>
  <c r="G96" i="15"/>
  <c r="G97" i="15"/>
  <c r="G98" i="15"/>
  <c r="G99" i="15"/>
  <c r="G100" i="15"/>
  <c r="G101" i="15"/>
  <c r="G102" i="15"/>
  <c r="G103" i="15"/>
  <c r="G104" i="15"/>
  <c r="G105" i="15"/>
  <c r="G106" i="15"/>
  <c r="G107" i="15"/>
  <c r="G147" i="15"/>
  <c r="G150" i="15"/>
  <c r="G151" i="15"/>
  <c r="G152" i="15"/>
  <c r="G153" i="15"/>
  <c r="G154" i="15"/>
  <c r="G155" i="15"/>
  <c r="G156" i="15"/>
  <c r="G157" i="15"/>
  <c r="G158" i="15"/>
  <c r="G159" i="15"/>
  <c r="G160" i="15"/>
  <c r="G161" i="15"/>
  <c r="G162" i="15"/>
  <c r="G163" i="15"/>
  <c r="G164"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H165" i="15"/>
  <c r="H168" i="15"/>
  <c r="H169" i="15"/>
  <c r="H170" i="15"/>
  <c r="H171" i="15"/>
  <c r="H172" i="15"/>
  <c r="H173" i="15"/>
  <c r="H174" i="15"/>
  <c r="H175" i="15"/>
  <c r="H176" i="15"/>
  <c r="H177" i="15"/>
  <c r="H178" i="15"/>
  <c r="H231" i="15"/>
  <c r="H237" i="15"/>
  <c r="H238" i="15"/>
  <c r="H239" i="15"/>
  <c r="H240" i="15"/>
  <c r="H241" i="15"/>
  <c r="H242" i="15"/>
  <c r="H243" i="15"/>
  <c r="H244" i="15"/>
  <c r="H245" i="15"/>
  <c r="H246" i="15"/>
  <c r="H247" i="15"/>
  <c r="H248" i="15"/>
  <c r="I179" i="15"/>
  <c r="I180" i="15"/>
  <c r="I181" i="15"/>
  <c r="I182" i="15"/>
  <c r="I183" i="15"/>
  <c r="I193" i="15"/>
  <c r="I249" i="15"/>
  <c r="I250" i="15"/>
  <c r="I251" i="15"/>
  <c r="I252" i="15"/>
  <c r="I253" i="15"/>
  <c r="I254" i="15"/>
  <c r="I255" i="15"/>
  <c r="I256" i="15"/>
  <c r="I257" i="15"/>
  <c r="I258" i="15"/>
  <c r="J66" i="15"/>
  <c r="J67" i="15"/>
  <c r="J84" i="15"/>
  <c r="J130" i="15"/>
  <c r="J147" i="15"/>
  <c r="J195" i="15"/>
  <c r="J259" i="15"/>
  <c r="J260" i="15"/>
  <c r="J277" i="15"/>
  <c r="J279" i="15"/>
  <c r="D14" i="8"/>
  <c r="K195" i="15"/>
  <c r="K279" i="15"/>
  <c r="D15" i="8"/>
  <c r="L68" i="15"/>
  <c r="L84" i="15"/>
  <c r="L131" i="15"/>
  <c r="L147" i="15"/>
  <c r="L184" i="15"/>
  <c r="L185" i="15"/>
  <c r="L193" i="15"/>
  <c r="L195" i="15"/>
  <c r="L261" i="15"/>
  <c r="L277" i="15"/>
  <c r="L279" i="15"/>
  <c r="D16" i="8"/>
  <c r="G18" i="8"/>
  <c r="L37" i="5"/>
  <c r="M37" i="5"/>
  <c r="H40" i="5"/>
  <c r="L40" i="5"/>
  <c r="M40" i="5"/>
  <c r="M41" i="5"/>
  <c r="F14" i="5"/>
  <c r="G14" i="5"/>
  <c r="H14" i="5"/>
  <c r="M14" i="5"/>
  <c r="M29" i="5"/>
  <c r="M34" i="5"/>
  <c r="M43" i="5"/>
  <c r="G102" i="9"/>
  <c r="H12" i="4"/>
  <c r="L12" i="4"/>
  <c r="M12" i="4"/>
  <c r="L53" i="4"/>
  <c r="M53" i="4"/>
  <c r="M59" i="4"/>
  <c r="G123" i="9"/>
  <c r="H33" i="4"/>
  <c r="L33" i="4"/>
  <c r="M33" i="4"/>
  <c r="L51" i="4"/>
  <c r="M51" i="4"/>
  <c r="M63" i="4"/>
  <c r="L52" i="4"/>
  <c r="M52" i="4"/>
  <c r="M65" i="4"/>
  <c r="M47" i="4"/>
  <c r="M60" i="4"/>
  <c r="M61" i="4"/>
  <c r="M62" i="4"/>
  <c r="M64" i="4"/>
  <c r="M66" i="4"/>
  <c r="M74" i="4"/>
  <c r="M75" i="4"/>
  <c r="M76" i="4"/>
  <c r="G29" i="9"/>
  <c r="E21" i="8"/>
  <c r="I18" i="17"/>
  <c r="I23" i="17"/>
  <c r="I25" i="17"/>
  <c r="I27" i="17"/>
  <c r="I30" i="17"/>
  <c r="I45"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G49" i="17"/>
  <c r="G50" i="17"/>
  <c r="G51" i="17"/>
  <c r="I59" i="17"/>
  <c r="J59" i="17"/>
  <c r="D21" i="8"/>
  <c r="F21" i="8"/>
  <c r="D20" i="8"/>
  <c r="E20" i="8"/>
  <c r="F20" i="8"/>
  <c r="F22" i="8"/>
  <c r="D22" i="8"/>
  <c r="F23" i="8"/>
  <c r="J20" i="4"/>
  <c r="G110" i="9"/>
  <c r="H20" i="4"/>
  <c r="K20" i="4"/>
  <c r="J21" i="4"/>
  <c r="G111" i="9"/>
  <c r="H21" i="4"/>
  <c r="K21" i="4"/>
  <c r="J22" i="4"/>
  <c r="G112" i="9"/>
  <c r="H22" i="4"/>
  <c r="K22" i="4"/>
  <c r="G113" i="9"/>
  <c r="H23" i="4"/>
  <c r="L34" i="17"/>
  <c r="L40" i="17"/>
  <c r="L45" i="17"/>
  <c r="G53" i="17"/>
  <c r="G54" i="17"/>
  <c r="G55" i="17"/>
  <c r="G56" i="17"/>
  <c r="G57" i="17"/>
  <c r="L59" i="17"/>
  <c r="D25" i="8"/>
  <c r="E25" i="8"/>
  <c r="F25" i="8"/>
  <c r="M37" i="17"/>
  <c r="M45" i="17"/>
  <c r="M59" i="17"/>
  <c r="D26" i="8"/>
  <c r="E26" i="8"/>
  <c r="F26" i="8"/>
  <c r="N36" i="17"/>
  <c r="N39" i="17"/>
  <c r="N42" i="17"/>
  <c r="N45" i="17"/>
  <c r="N59" i="17"/>
  <c r="E303" i="30"/>
  <c r="E27" i="8" s="1"/>
  <c r="F27" i="8" s="1"/>
  <c r="O59" i="17"/>
  <c r="D304" i="30"/>
  <c r="E304" i="30"/>
  <c r="E28" i="8" s="1"/>
  <c r="F28" i="8" s="1"/>
  <c r="H24" i="4"/>
  <c r="D32" i="8"/>
  <c r="F14" i="8"/>
  <c r="F15" i="8"/>
  <c r="F16" i="8"/>
  <c r="G104" i="9"/>
  <c r="H14" i="4"/>
  <c r="J14" i="4"/>
  <c r="K14" i="4"/>
  <c r="G105" i="9"/>
  <c r="H15" i="4"/>
  <c r="J15" i="4"/>
  <c r="K15" i="4"/>
  <c r="G106" i="9"/>
  <c r="H16" i="4"/>
  <c r="J16" i="4"/>
  <c r="K16" i="4"/>
  <c r="G107" i="9"/>
  <c r="H17" i="4"/>
  <c r="J17" i="4"/>
  <c r="K17" i="4"/>
  <c r="K18" i="4"/>
  <c r="G116" i="9"/>
  <c r="H26" i="4"/>
  <c r="J26" i="4"/>
  <c r="K26" i="4"/>
  <c r="G117" i="9"/>
  <c r="H27" i="4"/>
  <c r="J27" i="4"/>
  <c r="K27" i="4"/>
  <c r="G118" i="9"/>
  <c r="H28" i="4"/>
  <c r="J28" i="4"/>
  <c r="K28" i="4"/>
  <c r="G119" i="9"/>
  <c r="H29" i="4"/>
  <c r="J29" i="4"/>
  <c r="K29" i="4"/>
  <c r="K30" i="4"/>
  <c r="G122" i="9"/>
  <c r="H32" i="4"/>
  <c r="J32" i="4"/>
  <c r="K32" i="4"/>
  <c r="H18" i="4"/>
  <c r="H30" i="4"/>
  <c r="H34" i="4"/>
  <c r="D35" i="8"/>
  <c r="J80" i="4"/>
  <c r="M80" i="4"/>
  <c r="J81" i="4"/>
  <c r="M81" i="4"/>
  <c r="J82" i="4"/>
  <c r="M82" i="4"/>
  <c r="J83" i="4"/>
  <c r="M83" i="4"/>
  <c r="M69" i="4"/>
  <c r="M71" i="4"/>
  <c r="E15" i="25"/>
  <c r="E13" i="25"/>
  <c r="E14" i="25"/>
  <c r="E16" i="25"/>
  <c r="G15" i="25"/>
  <c r="F14" i="25"/>
  <c r="G14" i="25"/>
  <c r="G13" i="25"/>
  <c r="H13" i="25"/>
  <c r="I13" i="25"/>
  <c r="J13" i="25"/>
  <c r="I14" i="25"/>
  <c r="J14" i="25"/>
  <c r="G13" i="9"/>
  <c r="I15" i="25"/>
  <c r="J16" i="25"/>
  <c r="K17" i="16"/>
  <c r="K18" i="16"/>
  <c r="K24" i="16"/>
  <c r="H51" i="5"/>
  <c r="L51" i="5"/>
  <c r="M51" i="5"/>
  <c r="L24" i="16"/>
  <c r="H52" i="5"/>
  <c r="L52" i="5"/>
  <c r="M52" i="5"/>
  <c r="M21" i="16"/>
  <c r="M24" i="16"/>
  <c r="H53" i="5"/>
  <c r="L53" i="5"/>
  <c r="M53" i="5"/>
  <c r="M54" i="5"/>
  <c r="E16" i="3"/>
  <c r="E17" i="3"/>
  <c r="E18" i="3"/>
  <c r="E19" i="3"/>
  <c r="E20" i="3"/>
  <c r="E21" i="3"/>
  <c r="E22" i="3"/>
  <c r="E23" i="3"/>
  <c r="E24" i="3"/>
  <c r="E25" i="3"/>
  <c r="E29" i="3"/>
  <c r="E30" i="3"/>
  <c r="C23" i="7"/>
  <c r="C25" i="7"/>
  <c r="E33" i="3"/>
  <c r="A13" i="3"/>
  <c r="A15" i="3"/>
  <c r="A16" i="3"/>
  <c r="A17" i="3"/>
  <c r="A18" i="3"/>
  <c r="A19" i="3"/>
  <c r="A20" i="3"/>
  <c r="A21" i="3"/>
  <c r="A22" i="3"/>
  <c r="A23" i="3"/>
  <c r="A24" i="3"/>
  <c r="A25" i="3"/>
  <c r="A27" i="3"/>
  <c r="A29" i="3"/>
  <c r="A30" i="3"/>
  <c r="A31" i="3"/>
  <c r="A33" i="3"/>
  <c r="A36" i="3"/>
  <c r="D40" i="3"/>
  <c r="B13" i="2"/>
  <c r="B15" i="2"/>
  <c r="B16" i="2"/>
  <c r="B17" i="2"/>
  <c r="B18" i="2"/>
  <c r="B19" i="2"/>
  <c r="B20" i="2"/>
  <c r="B21" i="2"/>
  <c r="B22" i="2"/>
  <c r="B23" i="2"/>
  <c r="B24" i="2"/>
  <c r="B25" i="2"/>
  <c r="B26" i="2"/>
  <c r="B27" i="2"/>
  <c r="B29" i="2"/>
  <c r="B30" i="2"/>
  <c r="B31" i="2"/>
  <c r="B32" i="2"/>
  <c r="B33" i="2"/>
  <c r="B35" i="2"/>
  <c r="B37" i="2"/>
  <c r="B38" i="2"/>
  <c r="E42" i="2"/>
  <c r="A9" i="30"/>
  <c r="A302" i="30"/>
  <c r="A303" i="30"/>
  <c r="A304" i="30"/>
  <c r="A305" i="30"/>
  <c r="A306" i="30"/>
  <c r="A307" i="30"/>
  <c r="A308" i="30"/>
  <c r="A309" i="30"/>
  <c r="A310" i="30"/>
  <c r="A311" i="30"/>
  <c r="A312" i="30"/>
  <c r="A313" i="30"/>
  <c r="A314" i="30"/>
  <c r="A122" i="29"/>
  <c r="A124" i="29"/>
  <c r="A125" i="29"/>
  <c r="A126" i="29"/>
  <c r="A127" i="29"/>
  <c r="A128" i="29"/>
  <c r="A129" i="29"/>
  <c r="A130" i="29"/>
  <c r="A131" i="29"/>
  <c r="A132" i="29"/>
  <c r="A13" i="23"/>
  <c r="A14" i="23"/>
  <c r="A15" i="23"/>
  <c r="A16" i="23"/>
  <c r="A17" i="23"/>
  <c r="A18" i="23"/>
  <c r="A19" i="23"/>
  <c r="A20" i="23"/>
  <c r="A21" i="23"/>
  <c r="A22" i="23"/>
  <c r="A23" i="23"/>
  <c r="A24" i="23"/>
  <c r="A25" i="23"/>
  <c r="A26" i="23"/>
  <c r="A27" i="23"/>
  <c r="A28" i="23"/>
  <c r="A29" i="23"/>
  <c r="A12" i="21"/>
  <c r="A13" i="21"/>
  <c r="A14" i="21"/>
  <c r="A15" i="21"/>
  <c r="A16" i="21"/>
  <c r="A17" i="21"/>
  <c r="A18" i="21"/>
  <c r="A19" i="21"/>
  <c r="A20" i="21"/>
  <c r="A21" i="21"/>
  <c r="A22" i="21"/>
  <c r="A23" i="21"/>
  <c r="A24" i="21"/>
  <c r="A25" i="21"/>
  <c r="A26" i="21"/>
  <c r="A27" i="21"/>
  <c r="A28" i="21"/>
  <c r="A29" i="21"/>
  <c r="A30" i="21"/>
  <c r="A31" i="21"/>
  <c r="A32" i="21"/>
  <c r="A99" i="27"/>
  <c r="A100" i="27" s="1"/>
  <c r="A101" i="27" s="1"/>
  <c r="A102" i="27" s="1"/>
  <c r="A103" i="27" s="1"/>
  <c r="A104" i="27" s="1"/>
  <c r="A105" i="27" s="1"/>
  <c r="A106" i="27" s="1"/>
  <c r="A107" i="27" s="1"/>
  <c r="A108" i="27" s="1"/>
  <c r="A109" i="27" s="1"/>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5" i="17"/>
  <c r="A47" i="17"/>
  <c r="A48" i="17"/>
  <c r="A49" i="17"/>
  <c r="A50" i="17"/>
  <c r="A51" i="17"/>
  <c r="A53" i="17"/>
  <c r="A54" i="17"/>
  <c r="A55" i="17"/>
  <c r="A57" i="17"/>
  <c r="A56" i="17"/>
  <c r="A59" i="17"/>
  <c r="A61" i="17"/>
  <c r="A62" i="17"/>
  <c r="A63" i="17"/>
  <c r="A64" i="17"/>
  <c r="A65" i="17"/>
  <c r="A66" i="17"/>
  <c r="A67" i="17"/>
  <c r="A12" i="16"/>
  <c r="A13" i="16"/>
  <c r="A14" i="16"/>
  <c r="A15" i="16"/>
  <c r="A16" i="16"/>
  <c r="A17" i="16"/>
  <c r="A18" i="16"/>
  <c r="A19" i="16"/>
  <c r="A20" i="16"/>
  <c r="A21" i="16"/>
  <c r="A22" i="16"/>
  <c r="A23" i="16"/>
  <c r="A24" i="16"/>
  <c r="A27" i="16"/>
  <c r="A28" i="16"/>
  <c r="A29" i="16"/>
  <c r="J27" i="16"/>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5" i="15"/>
  <c r="A198" i="15"/>
  <c r="A201"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9" i="15"/>
  <c r="A281" i="15"/>
  <c r="A282" i="15"/>
  <c r="A283" i="15"/>
  <c r="A284" i="15"/>
  <c r="A285" i="15"/>
  <c r="A286" i="15"/>
  <c r="A287" i="15"/>
  <c r="A61" i="12"/>
  <c r="A64" i="12"/>
  <c r="A65" i="12"/>
  <c r="A66" i="12"/>
  <c r="A67" i="12"/>
  <c r="A68" i="12"/>
  <c r="A69" i="12"/>
  <c r="A70" i="12"/>
  <c r="A71" i="12"/>
  <c r="A72" i="12"/>
  <c r="A73" i="12"/>
  <c r="A74" i="12"/>
  <c r="A75" i="12"/>
  <c r="A76" i="12"/>
  <c r="A77" i="12"/>
  <c r="A78" i="12"/>
  <c r="A79" i="12"/>
  <c r="A80" i="12"/>
  <c r="A81" i="12"/>
  <c r="A82" i="12"/>
  <c r="A83" i="12"/>
  <c r="C175" i="26"/>
  <c r="E175" i="26"/>
  <c r="K75" i="4"/>
  <c r="H75" i="4"/>
  <c r="J54" i="4"/>
  <c r="G54" i="4"/>
  <c r="F54" i="4"/>
  <c r="J38" i="4"/>
  <c r="G38" i="4"/>
  <c r="F38" i="4"/>
  <c r="G70" i="4"/>
  <c r="F70" i="4"/>
  <c r="B32" i="1"/>
  <c r="E28" i="5"/>
  <c r="E27" i="5"/>
  <c r="A27" i="31"/>
  <c r="A28" i="31"/>
  <c r="A29" i="31"/>
  <c r="A30" i="31"/>
  <c r="A31" i="31"/>
  <c r="A32" i="31"/>
  <c r="A33" i="31"/>
  <c r="A34" i="31"/>
  <c r="A35" i="31"/>
  <c r="A36" i="31"/>
  <c r="D24" i="31"/>
  <c r="H28" i="5"/>
  <c r="F22" i="31"/>
  <c r="F21" i="31"/>
  <c r="F20" i="31"/>
  <c r="D17" i="31"/>
  <c r="H27" i="5"/>
  <c r="F15" i="31"/>
  <c r="F14" i="31"/>
  <c r="F13" i="31"/>
  <c r="C32" i="1"/>
  <c r="F24" i="31"/>
  <c r="K28" i="5"/>
  <c r="F17" i="31"/>
  <c r="K27" i="5"/>
  <c r="J14" i="5"/>
  <c r="J33" i="5"/>
  <c r="J32" i="5"/>
  <c r="J31" i="5"/>
  <c r="F73" i="12"/>
  <c r="F74" i="12"/>
  <c r="F75" i="12"/>
  <c r="F65" i="12"/>
  <c r="F66" i="12"/>
  <c r="F67" i="12"/>
  <c r="H66" i="12"/>
  <c r="H64" i="12"/>
  <c r="J64" i="12"/>
  <c r="H65" i="12"/>
  <c r="H67" i="12"/>
  <c r="K64" i="12"/>
  <c r="G65" i="12"/>
  <c r="J65" i="12"/>
  <c r="K65" i="12"/>
  <c r="G66" i="12"/>
  <c r="J66" i="12"/>
  <c r="K66" i="12"/>
  <c r="G67" i="12"/>
  <c r="J67" i="12"/>
  <c r="K67" i="12"/>
  <c r="G68" i="12"/>
  <c r="J68" i="12"/>
  <c r="K68" i="12"/>
  <c r="G69" i="12"/>
  <c r="J69" i="12"/>
  <c r="K69" i="12"/>
  <c r="G70" i="12"/>
  <c r="J70" i="12"/>
  <c r="K70" i="12"/>
  <c r="G71" i="12"/>
  <c r="J71" i="12"/>
  <c r="K71" i="12"/>
  <c r="G72" i="12"/>
  <c r="H72" i="12"/>
  <c r="H73" i="12"/>
  <c r="H74" i="12"/>
  <c r="H75" i="12"/>
  <c r="J72" i="12"/>
  <c r="K72" i="12"/>
  <c r="G73" i="12"/>
  <c r="J73" i="12"/>
  <c r="K73" i="12"/>
  <c r="G74" i="12"/>
  <c r="J74" i="12"/>
  <c r="K74" i="12"/>
  <c r="G75" i="12"/>
  <c r="J75" i="12"/>
  <c r="J76" i="12"/>
  <c r="K17" i="12"/>
  <c r="L17" i="12"/>
  <c r="K75" i="12"/>
  <c r="F51" i="18"/>
  <c r="B22" i="3"/>
  <c r="F14" i="20"/>
  <c r="F15" i="20"/>
  <c r="D29" i="9"/>
  <c r="C31" i="1"/>
  <c r="B31" i="1"/>
  <c r="A4" i="30"/>
  <c r="B7" i="31"/>
  <c r="A1" i="30"/>
  <c r="B4" i="31"/>
  <c r="C30" i="1"/>
  <c r="B30" i="1"/>
  <c r="A7" i="29"/>
  <c r="A4" i="29"/>
  <c r="B4" i="5"/>
  <c r="E75" i="4"/>
  <c r="B17" i="1"/>
  <c r="A7" i="27"/>
  <c r="C26" i="1"/>
  <c r="K80" i="27"/>
  <c r="L80" i="27" s="1"/>
  <c r="K79" i="27"/>
  <c r="L79" i="27" s="1"/>
  <c r="K78" i="27"/>
  <c r="L78" i="27" s="1"/>
  <c r="K77" i="27"/>
  <c r="L77" i="27" s="1"/>
  <c r="K73" i="27"/>
  <c r="L73" i="27" s="1"/>
  <c r="K72" i="27"/>
  <c r="L72" i="27" s="1"/>
  <c r="K71" i="27"/>
  <c r="L71" i="27" s="1"/>
  <c r="K70" i="27"/>
  <c r="L70" i="27" s="1"/>
  <c r="K69" i="27"/>
  <c r="L69" i="27" s="1"/>
  <c r="K64" i="27"/>
  <c r="L64" i="27" s="1"/>
  <c r="K61" i="27"/>
  <c r="L61" i="27" s="1"/>
  <c r="K60" i="27"/>
  <c r="L60" i="27" s="1"/>
  <c r="K59" i="27"/>
  <c r="L59" i="27" s="1"/>
  <c r="K58" i="27"/>
  <c r="L58" i="27" s="1"/>
  <c r="K55" i="27"/>
  <c r="L55" i="27" s="1"/>
  <c r="K54" i="27"/>
  <c r="L54" i="27" s="1"/>
  <c r="K53" i="27"/>
  <c r="L53" i="27" s="1"/>
  <c r="K52" i="27"/>
  <c r="L52" i="27" s="1"/>
  <c r="K50" i="27"/>
  <c r="L50" i="27" s="1"/>
  <c r="K49" i="27"/>
  <c r="L49" i="27" s="1"/>
  <c r="K46" i="27"/>
  <c r="L46" i="27" s="1"/>
  <c r="K45" i="27"/>
  <c r="L45" i="27" s="1"/>
  <c r="K44" i="27"/>
  <c r="L44" i="27" s="1"/>
  <c r="K43" i="27"/>
  <c r="L43" i="27" s="1"/>
  <c r="K41" i="27"/>
  <c r="L41" i="27" s="1"/>
  <c r="K39" i="27"/>
  <c r="L39" i="27" s="1"/>
  <c r="K38" i="27"/>
  <c r="L38" i="27" s="1"/>
  <c r="K35" i="27"/>
  <c r="L35" i="27" s="1"/>
  <c r="K33" i="27"/>
  <c r="L33" i="27" s="1"/>
  <c r="K30" i="27"/>
  <c r="L30" i="27" s="1"/>
  <c r="K29" i="27"/>
  <c r="L29" i="27" s="1"/>
  <c r="K26" i="27"/>
  <c r="L26" i="27" s="1"/>
  <c r="K20" i="27"/>
  <c r="L20" i="27" s="1"/>
  <c r="K18" i="27"/>
  <c r="L18" i="27" s="1"/>
  <c r="K12" i="27"/>
  <c r="L12" i="27" s="1"/>
  <c r="K11" i="27"/>
  <c r="B26" i="1"/>
  <c r="C19" i="1"/>
  <c r="B19" i="1"/>
  <c r="A7" i="12"/>
  <c r="A4" i="26"/>
  <c r="C14" i="1"/>
  <c r="A4" i="25"/>
  <c r="B14" i="1"/>
  <c r="B13" i="25"/>
  <c r="B14" i="25"/>
  <c r="B15" i="25"/>
  <c r="B16" i="25"/>
  <c r="F13" i="10"/>
  <c r="D193" i="15"/>
  <c r="C12" i="8"/>
  <c r="E220" i="15"/>
  <c r="F220" i="15"/>
  <c r="E190" i="15"/>
  <c r="F190" i="15"/>
  <c r="E175" i="15"/>
  <c r="F175" i="15"/>
  <c r="E169" i="15"/>
  <c r="F169" i="15"/>
  <c r="E125" i="15"/>
  <c r="F125" i="15"/>
  <c r="E103" i="15"/>
  <c r="F103" i="15"/>
  <c r="F27" i="15"/>
  <c r="E27" i="15"/>
  <c r="M190" i="15"/>
  <c r="J50" i="5"/>
  <c r="J47" i="5"/>
  <c r="J39" i="5"/>
  <c r="J38" i="5"/>
  <c r="J19" i="5"/>
  <c r="J50" i="4"/>
  <c r="J46" i="4"/>
  <c r="J45" i="4"/>
  <c r="J44" i="4"/>
  <c r="J43" i="4"/>
  <c r="H26" i="2"/>
  <c r="H23" i="2"/>
  <c r="H22" i="2"/>
  <c r="H21" i="2"/>
  <c r="H20" i="2"/>
  <c r="H19" i="2"/>
  <c r="H18" i="2"/>
  <c r="A7" i="21"/>
  <c r="A4" i="21"/>
  <c r="A7" i="20"/>
  <c r="A4" i="20"/>
  <c r="A7" i="18"/>
  <c r="A4" i="18"/>
  <c r="A7" i="17"/>
  <c r="A4" i="17"/>
  <c r="A7" i="16"/>
  <c r="A4" i="16"/>
  <c r="A7" i="15"/>
  <c r="A4" i="15"/>
  <c r="D21" i="23"/>
  <c r="A7" i="23"/>
  <c r="A4" i="23"/>
  <c r="F24" i="21"/>
  <c r="E24" i="21"/>
  <c r="G23" i="21"/>
  <c r="G22" i="21"/>
  <c r="G21" i="21"/>
  <c r="G20" i="21"/>
  <c r="G19" i="21"/>
  <c r="G18" i="21"/>
  <c r="G17" i="21"/>
  <c r="G16" i="21"/>
  <c r="G15" i="21"/>
  <c r="G14" i="21"/>
  <c r="G13" i="21"/>
  <c r="G12" i="21"/>
  <c r="G11" i="21"/>
  <c r="G45" i="17"/>
  <c r="O43" i="17"/>
  <c r="C43" i="17"/>
  <c r="C42" i="17"/>
  <c r="O41" i="17"/>
  <c r="C41" i="17"/>
  <c r="C40" i="17"/>
  <c r="C39" i="17"/>
  <c r="O38" i="17"/>
  <c r="C38" i="17"/>
  <c r="C37" i="17"/>
  <c r="C36" i="17"/>
  <c r="O35" i="17"/>
  <c r="C35" i="17"/>
  <c r="C34" i="17"/>
  <c r="O33" i="17"/>
  <c r="C33" i="17"/>
  <c r="O32" i="17"/>
  <c r="C32" i="17"/>
  <c r="J31" i="17"/>
  <c r="C31" i="17"/>
  <c r="C30" i="17"/>
  <c r="J29" i="17"/>
  <c r="C29" i="17"/>
  <c r="J28" i="17"/>
  <c r="C28" i="17"/>
  <c r="C27" i="17"/>
  <c r="J26" i="17"/>
  <c r="C26" i="17"/>
  <c r="C25" i="17"/>
  <c r="J24" i="17"/>
  <c r="C24" i="17"/>
  <c r="C23" i="17"/>
  <c r="J22" i="17"/>
  <c r="C22" i="17"/>
  <c r="J21" i="17"/>
  <c r="C21" i="17"/>
  <c r="J20" i="17"/>
  <c r="C20" i="17"/>
  <c r="J19" i="17"/>
  <c r="C19" i="17"/>
  <c r="C18" i="17"/>
  <c r="J17" i="17"/>
  <c r="C17" i="17"/>
  <c r="J16" i="17"/>
  <c r="C16" i="17"/>
  <c r="J15" i="17"/>
  <c r="C15" i="17"/>
  <c r="J14" i="17"/>
  <c r="C14" i="17"/>
  <c r="J13" i="17"/>
  <c r="C13" i="17"/>
  <c r="J12" i="17"/>
  <c r="C12" i="17"/>
  <c r="J11" i="17"/>
  <c r="C11" i="17"/>
  <c r="G23" i="16"/>
  <c r="D23" i="16"/>
  <c r="C23" i="16"/>
  <c r="D22" i="16"/>
  <c r="C22" i="16"/>
  <c r="D21" i="16"/>
  <c r="C21" i="16"/>
  <c r="H20" i="16"/>
  <c r="D20" i="16"/>
  <c r="C20" i="16"/>
  <c r="G19" i="16"/>
  <c r="D19" i="16"/>
  <c r="C19" i="16"/>
  <c r="D18" i="16"/>
  <c r="C18" i="16"/>
  <c r="D17" i="16"/>
  <c r="C17" i="16"/>
  <c r="J16" i="16"/>
  <c r="J24" i="16"/>
  <c r="H50" i="5"/>
  <c r="D16" i="16"/>
  <c r="C16" i="16"/>
  <c r="H15" i="16"/>
  <c r="H24" i="16"/>
  <c r="H48" i="5"/>
  <c r="D15" i="16"/>
  <c r="C15" i="16"/>
  <c r="G14" i="16"/>
  <c r="D14" i="16"/>
  <c r="C14" i="16"/>
  <c r="G13" i="16"/>
  <c r="D13" i="16"/>
  <c r="C13" i="16"/>
  <c r="G12" i="16"/>
  <c r="D12" i="16"/>
  <c r="C12" i="16"/>
  <c r="D11" i="16"/>
  <c r="M275" i="15"/>
  <c r="F275" i="15"/>
  <c r="E275" i="15"/>
  <c r="M274" i="15"/>
  <c r="F274" i="15"/>
  <c r="E274" i="15"/>
  <c r="M273" i="15"/>
  <c r="F273" i="15"/>
  <c r="E273" i="15"/>
  <c r="M272" i="15"/>
  <c r="F272" i="15"/>
  <c r="E272" i="15"/>
  <c r="M271" i="15"/>
  <c r="F271" i="15"/>
  <c r="E271" i="15"/>
  <c r="M270" i="15"/>
  <c r="F270" i="15"/>
  <c r="E270" i="15"/>
  <c r="M269" i="15"/>
  <c r="F269" i="15"/>
  <c r="E269" i="15"/>
  <c r="M268" i="15"/>
  <c r="F268" i="15"/>
  <c r="E268" i="15"/>
  <c r="M267" i="15"/>
  <c r="F267" i="15"/>
  <c r="E267" i="15"/>
  <c r="M266" i="15"/>
  <c r="F266" i="15"/>
  <c r="E266" i="15"/>
  <c r="M265" i="15"/>
  <c r="F265" i="15"/>
  <c r="E265" i="15"/>
  <c r="M264" i="15"/>
  <c r="F264" i="15"/>
  <c r="E264" i="15"/>
  <c r="M263" i="15"/>
  <c r="F263" i="15"/>
  <c r="E263" i="15"/>
  <c r="M262" i="15"/>
  <c r="F262" i="15"/>
  <c r="E262" i="15"/>
  <c r="F261" i="15"/>
  <c r="E261" i="15"/>
  <c r="F260" i="15"/>
  <c r="E260" i="15"/>
  <c r="F259" i="15"/>
  <c r="E259" i="15"/>
  <c r="F258" i="15"/>
  <c r="E258" i="15"/>
  <c r="F257" i="15"/>
  <c r="E257" i="15"/>
  <c r="F256" i="15"/>
  <c r="E256" i="15"/>
  <c r="F255" i="15"/>
  <c r="E255" i="15"/>
  <c r="F254" i="15"/>
  <c r="E254" i="15"/>
  <c r="F253" i="15"/>
  <c r="E253" i="15"/>
  <c r="F252" i="15"/>
  <c r="E252" i="15"/>
  <c r="F251" i="15"/>
  <c r="E251" i="15"/>
  <c r="F250" i="15"/>
  <c r="E250" i="15"/>
  <c r="F249" i="15"/>
  <c r="E249" i="15"/>
  <c r="F248" i="15"/>
  <c r="E248" i="15"/>
  <c r="F247" i="15"/>
  <c r="E247" i="15"/>
  <c r="F246" i="15"/>
  <c r="E246" i="15"/>
  <c r="F245" i="15"/>
  <c r="E245" i="15"/>
  <c r="F244" i="15"/>
  <c r="E244" i="15"/>
  <c r="F243" i="15"/>
  <c r="E243" i="15"/>
  <c r="F242" i="15"/>
  <c r="E242" i="15"/>
  <c r="F241" i="15"/>
  <c r="E241" i="15"/>
  <c r="F240" i="15"/>
  <c r="E240" i="15"/>
  <c r="F239" i="15"/>
  <c r="E239" i="15"/>
  <c r="F238" i="15"/>
  <c r="E238" i="15"/>
  <c r="F237" i="15"/>
  <c r="E237" i="15"/>
  <c r="F236" i="15"/>
  <c r="E236" i="15"/>
  <c r="F235" i="15"/>
  <c r="E235" i="15"/>
  <c r="F234" i="15"/>
  <c r="E234" i="15"/>
  <c r="F233" i="15"/>
  <c r="E233" i="15"/>
  <c r="F232" i="15"/>
  <c r="E232" i="15"/>
  <c r="F231" i="15"/>
  <c r="E231" i="15"/>
  <c r="F230" i="15"/>
  <c r="E230" i="15"/>
  <c r="F229" i="15"/>
  <c r="E229" i="15"/>
  <c r="F228" i="15"/>
  <c r="E228" i="15"/>
  <c r="F227" i="15"/>
  <c r="E227" i="15"/>
  <c r="F226" i="15"/>
  <c r="E226" i="15"/>
  <c r="F225" i="15"/>
  <c r="E225" i="15"/>
  <c r="F224" i="15"/>
  <c r="E224" i="15"/>
  <c r="F223" i="15"/>
  <c r="E223" i="15"/>
  <c r="F222" i="15"/>
  <c r="E222" i="15"/>
  <c r="F221" i="15"/>
  <c r="E221" i="15"/>
  <c r="F219" i="15"/>
  <c r="E219" i="15"/>
  <c r="F218" i="15"/>
  <c r="E218" i="15"/>
  <c r="F217" i="15"/>
  <c r="E217" i="15"/>
  <c r="F216" i="15"/>
  <c r="E216" i="15"/>
  <c r="F215" i="15"/>
  <c r="E215" i="15"/>
  <c r="F214" i="15"/>
  <c r="E214" i="15"/>
  <c r="F213" i="15"/>
  <c r="E213" i="15"/>
  <c r="F212" i="15"/>
  <c r="E212" i="15"/>
  <c r="F211" i="15"/>
  <c r="E211" i="15"/>
  <c r="F210" i="15"/>
  <c r="E210" i="15"/>
  <c r="F209" i="15"/>
  <c r="E209" i="15"/>
  <c r="F208" i="15"/>
  <c r="E208" i="15"/>
  <c r="F207" i="15"/>
  <c r="E207" i="15"/>
  <c r="F206" i="15"/>
  <c r="E206" i="15"/>
  <c r="D201" i="15"/>
  <c r="D195" i="15"/>
  <c r="D279" i="15"/>
  <c r="M192" i="15"/>
  <c r="F192" i="15"/>
  <c r="E192" i="15"/>
  <c r="M191" i="15"/>
  <c r="F191" i="15"/>
  <c r="E191" i="15"/>
  <c r="M189" i="15"/>
  <c r="F189" i="15"/>
  <c r="E189" i="15"/>
  <c r="M188" i="15"/>
  <c r="F188" i="15"/>
  <c r="E188" i="15"/>
  <c r="M187" i="15"/>
  <c r="F187" i="15"/>
  <c r="E187" i="15"/>
  <c r="M186" i="15"/>
  <c r="F186" i="15"/>
  <c r="E186" i="15"/>
  <c r="F185" i="15"/>
  <c r="E185" i="15"/>
  <c r="F184" i="15"/>
  <c r="E184" i="15"/>
  <c r="F183" i="15"/>
  <c r="E183" i="15"/>
  <c r="F182" i="15"/>
  <c r="E182" i="15"/>
  <c r="F181" i="15"/>
  <c r="E181" i="15"/>
  <c r="F180" i="15"/>
  <c r="E180" i="15"/>
  <c r="F179" i="15"/>
  <c r="E179" i="15"/>
  <c r="F178" i="15"/>
  <c r="E178" i="15"/>
  <c r="F177" i="15"/>
  <c r="E177" i="15"/>
  <c r="F176" i="15"/>
  <c r="E176" i="15"/>
  <c r="F174" i="15"/>
  <c r="E174" i="15"/>
  <c r="F173" i="15"/>
  <c r="E173" i="15"/>
  <c r="F172" i="15"/>
  <c r="E172" i="15"/>
  <c r="F171" i="15"/>
  <c r="E171" i="15"/>
  <c r="F170" i="15"/>
  <c r="E170" i="15"/>
  <c r="F168" i="15"/>
  <c r="E168" i="15"/>
  <c r="F167" i="15"/>
  <c r="E167" i="15"/>
  <c r="F166" i="15"/>
  <c r="E166" i="15"/>
  <c r="F165" i="15"/>
  <c r="E165" i="15"/>
  <c r="F164" i="15"/>
  <c r="E164" i="15"/>
  <c r="F163" i="15"/>
  <c r="E163" i="15"/>
  <c r="F162" i="15"/>
  <c r="E162" i="15"/>
  <c r="F161" i="15"/>
  <c r="E161" i="15"/>
  <c r="F160" i="15"/>
  <c r="E160" i="15"/>
  <c r="F159" i="15"/>
  <c r="E159" i="15"/>
  <c r="F158" i="15"/>
  <c r="E158" i="15"/>
  <c r="F157" i="15"/>
  <c r="E157" i="15"/>
  <c r="F156" i="15"/>
  <c r="E156" i="15"/>
  <c r="F155" i="15"/>
  <c r="E155" i="15"/>
  <c r="F154" i="15"/>
  <c r="E154" i="15"/>
  <c r="F153" i="15"/>
  <c r="E153" i="15"/>
  <c r="F152" i="15"/>
  <c r="E152" i="15"/>
  <c r="F151" i="15"/>
  <c r="E151" i="15"/>
  <c r="F150" i="15"/>
  <c r="E150" i="15"/>
  <c r="F145" i="15"/>
  <c r="E145" i="15"/>
  <c r="F144" i="15"/>
  <c r="E144" i="15"/>
  <c r="F143" i="15"/>
  <c r="E143" i="15"/>
  <c r="F142" i="15"/>
  <c r="E142" i="15"/>
  <c r="F141" i="15"/>
  <c r="E141" i="15"/>
  <c r="F140" i="15"/>
  <c r="E140" i="15"/>
  <c r="F139" i="15"/>
  <c r="E139" i="15"/>
  <c r="F138" i="15"/>
  <c r="E138" i="15"/>
  <c r="F137" i="15"/>
  <c r="E137" i="15"/>
  <c r="F136" i="15"/>
  <c r="E136" i="15"/>
  <c r="F135" i="15"/>
  <c r="E135" i="15"/>
  <c r="F134" i="15"/>
  <c r="E134" i="15"/>
  <c r="F133" i="15"/>
  <c r="E133" i="15"/>
  <c r="F132" i="15"/>
  <c r="E132" i="15"/>
  <c r="F131" i="15"/>
  <c r="E131" i="15"/>
  <c r="F130" i="15"/>
  <c r="E130" i="15"/>
  <c r="F129" i="15"/>
  <c r="E129" i="15"/>
  <c r="F128" i="15"/>
  <c r="E128" i="15"/>
  <c r="F127" i="15"/>
  <c r="E127" i="15"/>
  <c r="F126" i="15"/>
  <c r="E126" i="15"/>
  <c r="F124" i="15"/>
  <c r="E124" i="15"/>
  <c r="F123" i="15"/>
  <c r="E123" i="15"/>
  <c r="F122" i="15"/>
  <c r="E122" i="15"/>
  <c r="F121" i="15"/>
  <c r="E121" i="15"/>
  <c r="F120" i="15"/>
  <c r="E120" i="15"/>
  <c r="F119" i="15"/>
  <c r="E119" i="15"/>
  <c r="F118" i="15"/>
  <c r="E118" i="15"/>
  <c r="F117" i="15"/>
  <c r="E117" i="15"/>
  <c r="F116" i="15"/>
  <c r="E116" i="15"/>
  <c r="F115" i="15"/>
  <c r="E115" i="15"/>
  <c r="F114" i="15"/>
  <c r="E114" i="15"/>
  <c r="F113" i="15"/>
  <c r="E113" i="15"/>
  <c r="F112" i="15"/>
  <c r="E112" i="15"/>
  <c r="F111" i="15"/>
  <c r="E111" i="15"/>
  <c r="F110" i="15"/>
  <c r="E110" i="15"/>
  <c r="F109" i="15"/>
  <c r="E109" i="15"/>
  <c r="F108" i="15"/>
  <c r="E108" i="15"/>
  <c r="F107" i="15"/>
  <c r="E107" i="15"/>
  <c r="F106" i="15"/>
  <c r="E106" i="15"/>
  <c r="F105" i="15"/>
  <c r="E105" i="15"/>
  <c r="F104" i="15"/>
  <c r="E104" i="15"/>
  <c r="F102" i="15"/>
  <c r="E102" i="15"/>
  <c r="F101" i="15"/>
  <c r="E101" i="15"/>
  <c r="F100" i="15"/>
  <c r="E100" i="15"/>
  <c r="F99" i="15"/>
  <c r="E99" i="15"/>
  <c r="F98" i="15"/>
  <c r="E98" i="15"/>
  <c r="F97" i="15"/>
  <c r="E97" i="15"/>
  <c r="F96" i="15"/>
  <c r="E96" i="15"/>
  <c r="F95" i="15"/>
  <c r="E95" i="15"/>
  <c r="F94" i="15"/>
  <c r="E94" i="15"/>
  <c r="F93" i="15"/>
  <c r="E93" i="15"/>
  <c r="F92" i="15"/>
  <c r="E92" i="15"/>
  <c r="F91" i="15"/>
  <c r="E91" i="15"/>
  <c r="F90" i="15"/>
  <c r="E90" i="15"/>
  <c r="F89" i="15"/>
  <c r="E89" i="15"/>
  <c r="F88" i="15"/>
  <c r="E88" i="15"/>
  <c r="F87" i="15"/>
  <c r="E87" i="15"/>
  <c r="F82" i="15"/>
  <c r="E82" i="15"/>
  <c r="F81" i="15"/>
  <c r="E81" i="15"/>
  <c r="F80" i="15"/>
  <c r="E80" i="15"/>
  <c r="F79" i="15"/>
  <c r="E79" i="15"/>
  <c r="F78" i="15"/>
  <c r="E78" i="15"/>
  <c r="F77" i="15"/>
  <c r="E77" i="15"/>
  <c r="F76" i="15"/>
  <c r="E76" i="15"/>
  <c r="F75" i="15"/>
  <c r="E75" i="15"/>
  <c r="F74" i="15"/>
  <c r="E74" i="15"/>
  <c r="F73" i="15"/>
  <c r="E73" i="15"/>
  <c r="F72" i="15"/>
  <c r="E72" i="15"/>
  <c r="F71" i="15"/>
  <c r="E71" i="15"/>
  <c r="F70" i="15"/>
  <c r="E70" i="15"/>
  <c r="F69" i="15"/>
  <c r="E69" i="15"/>
  <c r="F68" i="15"/>
  <c r="E68" i="15"/>
  <c r="F67" i="15"/>
  <c r="E67" i="15"/>
  <c r="F66" i="15"/>
  <c r="E66" i="15"/>
  <c r="F65" i="15"/>
  <c r="E65" i="15"/>
  <c r="F64" i="15"/>
  <c r="E64" i="15"/>
  <c r="F63" i="15"/>
  <c r="E63" i="15"/>
  <c r="F62" i="15"/>
  <c r="E62" i="15"/>
  <c r="F61" i="15"/>
  <c r="E61" i="15"/>
  <c r="F60" i="15"/>
  <c r="E60" i="15"/>
  <c r="F59" i="15"/>
  <c r="E59" i="15"/>
  <c r="F58" i="15"/>
  <c r="E58" i="15"/>
  <c r="F57" i="15"/>
  <c r="E57" i="15"/>
  <c r="F56" i="15"/>
  <c r="E56" i="15"/>
  <c r="F55" i="15"/>
  <c r="E55" i="15"/>
  <c r="F54" i="15"/>
  <c r="E54" i="15"/>
  <c r="F53" i="15"/>
  <c r="E53" i="15"/>
  <c r="F52" i="15"/>
  <c r="E52" i="15"/>
  <c r="F51" i="15"/>
  <c r="E51" i="15"/>
  <c r="F50" i="15"/>
  <c r="E50" i="15"/>
  <c r="F49" i="15"/>
  <c r="E49" i="15"/>
  <c r="F48" i="15"/>
  <c r="E48" i="15"/>
  <c r="F47" i="15"/>
  <c r="E47" i="15"/>
  <c r="F46" i="15"/>
  <c r="E46" i="15"/>
  <c r="F45" i="15"/>
  <c r="E45" i="15"/>
  <c r="F44" i="15"/>
  <c r="E44" i="15"/>
  <c r="F43" i="15"/>
  <c r="E43" i="15"/>
  <c r="F42" i="15"/>
  <c r="E42" i="15"/>
  <c r="F41" i="15"/>
  <c r="E41" i="15"/>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A7" i="13"/>
  <c r="A4" i="13"/>
  <c r="L54" i="12"/>
  <c r="L51" i="12"/>
  <c r="L48" i="12"/>
  <c r="L45" i="12"/>
  <c r="L42" i="12"/>
  <c r="L29" i="12"/>
  <c r="L26" i="12"/>
  <c r="L23" i="12"/>
  <c r="L20" i="12"/>
  <c r="F43" i="10"/>
  <c r="F42" i="10"/>
  <c r="F41" i="10"/>
  <c r="F40" i="10"/>
  <c r="E37" i="10"/>
  <c r="E45" i="10"/>
  <c r="D37" i="10"/>
  <c r="F36" i="10"/>
  <c r="F35" i="10"/>
  <c r="E34" i="10"/>
  <c r="D34" i="10"/>
  <c r="F33" i="10"/>
  <c r="F32" i="10"/>
  <c r="E30" i="10"/>
  <c r="D30" i="10"/>
  <c r="F30" i="10"/>
  <c r="F29" i="10"/>
  <c r="F28" i="10"/>
  <c r="F27" i="10"/>
  <c r="F26" i="10"/>
  <c r="F25" i="10"/>
  <c r="F24" i="10"/>
  <c r="F21" i="10"/>
  <c r="F20" i="10"/>
  <c r="E19" i="10"/>
  <c r="D19" i="10"/>
  <c r="D22" i="10"/>
  <c r="F18" i="10"/>
  <c r="F17" i="10"/>
  <c r="F16" i="10"/>
  <c r="F15" i="10"/>
  <c r="A14" i="10"/>
  <c r="A15" i="10"/>
  <c r="F14" i="10"/>
  <c r="A6" i="10"/>
  <c r="A3" i="10"/>
  <c r="G85" i="4"/>
  <c r="F85" i="4"/>
  <c r="G84" i="4"/>
  <c r="G83" i="4"/>
  <c r="F83" i="4"/>
  <c r="G82" i="4"/>
  <c r="G81" i="4"/>
  <c r="G80" i="4"/>
  <c r="F80" i="4"/>
  <c r="F53" i="4"/>
  <c r="G52" i="4"/>
  <c r="G65" i="4"/>
  <c r="G51" i="4"/>
  <c r="G50" i="4"/>
  <c r="G142" i="9"/>
  <c r="H50" i="4"/>
  <c r="G49" i="4"/>
  <c r="F49" i="4"/>
  <c r="G46" i="4"/>
  <c r="F46" i="4"/>
  <c r="G45" i="4"/>
  <c r="G44" i="4"/>
  <c r="F44" i="4"/>
  <c r="F43" i="4"/>
  <c r="F39" i="4"/>
  <c r="F71" i="4"/>
  <c r="G37" i="4"/>
  <c r="G64" i="4"/>
  <c r="G36" i="4"/>
  <c r="G69" i="4"/>
  <c r="G33" i="4"/>
  <c r="G32" i="4"/>
  <c r="F32" i="4"/>
  <c r="G29" i="4"/>
  <c r="F27" i="4"/>
  <c r="G26" i="4"/>
  <c r="G120" i="9"/>
  <c r="F23" i="4"/>
  <c r="F22" i="4"/>
  <c r="G21" i="4"/>
  <c r="F21" i="4"/>
  <c r="F20" i="4"/>
  <c r="F17" i="4"/>
  <c r="G16" i="4"/>
  <c r="F15" i="4"/>
  <c r="G14" i="4"/>
  <c r="F14" i="4"/>
  <c r="G88" i="9"/>
  <c r="G87" i="9"/>
  <c r="G78" i="4"/>
  <c r="G85" i="9"/>
  <c r="G84" i="9"/>
  <c r="H56" i="5"/>
  <c r="H33" i="5"/>
  <c r="K33" i="5"/>
  <c r="H32" i="5"/>
  <c r="K32" i="5"/>
  <c r="H31" i="5"/>
  <c r="G28" i="9"/>
  <c r="D18" i="9"/>
  <c r="D19" i="9"/>
  <c r="D20" i="9"/>
  <c r="D21" i="9"/>
  <c r="D22" i="9"/>
  <c r="D23" i="9"/>
  <c r="G16" i="9"/>
  <c r="G159" i="9"/>
  <c r="D16" i="3"/>
  <c r="A7" i="9"/>
  <c r="A4" i="9"/>
  <c r="A11" i="8"/>
  <c r="A12" i="8"/>
  <c r="A13" i="8"/>
  <c r="A14" i="8"/>
  <c r="A15" i="8"/>
  <c r="A16" i="8"/>
  <c r="A17" i="8"/>
  <c r="A18" i="8"/>
  <c r="A20" i="8"/>
  <c r="A21" i="8"/>
  <c r="A22" i="8"/>
  <c r="A23" i="8"/>
  <c r="A25" i="8"/>
  <c r="A26" i="8"/>
  <c r="A27" i="8"/>
  <c r="A28" i="8"/>
  <c r="A29" i="8"/>
  <c r="A30" i="8"/>
  <c r="A32" i="8"/>
  <c r="A33" i="8"/>
  <c r="A35" i="8"/>
  <c r="A36" i="8"/>
  <c r="A37" i="8"/>
  <c r="A38" i="8"/>
  <c r="A40" i="8"/>
  <c r="A41" i="8"/>
  <c r="A6" i="8"/>
  <c r="A3" i="8"/>
  <c r="A12" i="7"/>
  <c r="A13" i="7"/>
  <c r="A14" i="7"/>
  <c r="A15" i="7"/>
  <c r="A16" i="7"/>
  <c r="A17" i="7"/>
  <c r="A18" i="7"/>
  <c r="A19" i="7"/>
  <c r="A20" i="7"/>
  <c r="A21" i="7"/>
  <c r="A22" i="7"/>
  <c r="A23" i="7"/>
  <c r="A25" i="7"/>
  <c r="A4" i="7"/>
  <c r="D56" i="5"/>
  <c r="D28" i="5"/>
  <c r="D27" i="5"/>
  <c r="G26" i="5"/>
  <c r="F26" i="5"/>
  <c r="D26" i="5"/>
  <c r="F25" i="5"/>
  <c r="H25" i="5"/>
  <c r="D25" i="5"/>
  <c r="F24" i="5"/>
  <c r="H24" i="5"/>
  <c r="D24" i="5"/>
  <c r="G23" i="5"/>
  <c r="H23" i="5"/>
  <c r="D23" i="5"/>
  <c r="G22" i="5"/>
  <c r="H22" i="5"/>
  <c r="D22" i="5"/>
  <c r="G21" i="5"/>
  <c r="F21" i="5"/>
  <c r="H21" i="5"/>
  <c r="D21" i="5"/>
  <c r="G20" i="5"/>
  <c r="F20" i="5"/>
  <c r="D20" i="5"/>
  <c r="G19" i="5"/>
  <c r="F19" i="5"/>
  <c r="H19" i="5"/>
  <c r="D19" i="5"/>
  <c r="G18" i="5"/>
  <c r="F18" i="5"/>
  <c r="D18" i="5"/>
  <c r="G17" i="5"/>
  <c r="F17" i="5"/>
  <c r="D17" i="5"/>
  <c r="G16" i="5"/>
  <c r="F16" i="5"/>
  <c r="D16" i="5"/>
  <c r="G15" i="5"/>
  <c r="F15" i="5"/>
  <c r="D15" i="5"/>
  <c r="D14" i="5"/>
  <c r="G13" i="5"/>
  <c r="F13" i="5"/>
  <c r="H13" i="5"/>
  <c r="D13" i="5"/>
  <c r="B13" i="5"/>
  <c r="B14" i="5"/>
  <c r="B15" i="5"/>
  <c r="B16" i="5"/>
  <c r="B17" i="5"/>
  <c r="B18" i="5"/>
  <c r="B19" i="5"/>
  <c r="B20" i="5"/>
  <c r="B21" i="5"/>
  <c r="B22" i="5"/>
  <c r="B23" i="5"/>
  <c r="B24" i="5"/>
  <c r="B25" i="5"/>
  <c r="B26" i="5"/>
  <c r="B27" i="5"/>
  <c r="B28" i="5"/>
  <c r="B29" i="5"/>
  <c r="I85" i="4"/>
  <c r="D85" i="4"/>
  <c r="D84" i="4"/>
  <c r="I83" i="4"/>
  <c r="D83" i="4"/>
  <c r="D82" i="4"/>
  <c r="D81" i="4"/>
  <c r="D80" i="4"/>
  <c r="I78" i="4"/>
  <c r="F78" i="4"/>
  <c r="G39" i="4"/>
  <c r="G71" i="4"/>
  <c r="F37" i="4"/>
  <c r="F64" i="4"/>
  <c r="D32" i="4"/>
  <c r="G28" i="4"/>
  <c r="F28" i="4"/>
  <c r="F12" i="4"/>
  <c r="B12" i="4"/>
  <c r="B14" i="4"/>
  <c r="B15" i="4"/>
  <c r="B16" i="4"/>
  <c r="B17" i="4"/>
  <c r="B18" i="4"/>
  <c r="B20" i="4"/>
  <c r="B21" i="4"/>
  <c r="B22" i="4"/>
  <c r="B23" i="4"/>
  <c r="B24" i="4"/>
  <c r="A4" i="4"/>
  <c r="C23" i="3"/>
  <c r="C18" i="3"/>
  <c r="C17" i="3"/>
  <c r="C16" i="3"/>
  <c r="A7" i="3"/>
  <c r="A4" i="3"/>
  <c r="E32" i="2"/>
  <c r="E31" i="2"/>
  <c r="B7" i="2"/>
  <c r="A7" i="7"/>
  <c r="B4" i="2"/>
  <c r="C29" i="1"/>
  <c r="B29" i="1"/>
  <c r="C28" i="1"/>
  <c r="C27" i="1"/>
  <c r="C25" i="1"/>
  <c r="C24" i="1"/>
  <c r="C23" i="1"/>
  <c r="C22" i="1"/>
  <c r="C21" i="1"/>
  <c r="C20" i="1"/>
  <c r="B20" i="1"/>
  <c r="C18" i="1"/>
  <c r="C17" i="1"/>
  <c r="C16" i="1"/>
  <c r="C15" i="1"/>
  <c r="C13" i="1"/>
  <c r="C12" i="1"/>
  <c r="C11" i="1"/>
  <c r="A11" i="1"/>
  <c r="A12" i="1"/>
  <c r="A13" i="1"/>
  <c r="A14" i="1"/>
  <c r="A15" i="1"/>
  <c r="A16" i="1"/>
  <c r="A17" i="1"/>
  <c r="A18" i="1"/>
  <c r="A19" i="1"/>
  <c r="A20" i="1"/>
  <c r="A21" i="1"/>
  <c r="A22" i="1"/>
  <c r="A23" i="1"/>
  <c r="A24" i="1"/>
  <c r="A25" i="1"/>
  <c r="A26" i="1"/>
  <c r="A27" i="1"/>
  <c r="A28" i="1"/>
  <c r="A29" i="1"/>
  <c r="A30" i="1"/>
  <c r="A31" i="1"/>
  <c r="A32" i="1"/>
  <c r="C10" i="1"/>
  <c r="E2" i="1"/>
  <c r="B16" i="1"/>
  <c r="B11" i="1"/>
  <c r="B21" i="1"/>
  <c r="B13" i="1"/>
  <c r="B12" i="1"/>
  <c r="G128" i="9"/>
  <c r="H36" i="4"/>
  <c r="H69" i="4"/>
  <c r="G132" i="9"/>
  <c r="G139" i="9"/>
  <c r="H45" i="4"/>
  <c r="I24" i="16"/>
  <c r="H49" i="5"/>
  <c r="G129" i="9"/>
  <c r="H37" i="4"/>
  <c r="H64" i="4"/>
  <c r="G133" i="9"/>
  <c r="H39" i="4"/>
  <c r="H71" i="4"/>
  <c r="H65" i="4"/>
  <c r="G141" i="9"/>
  <c r="H49" i="4"/>
  <c r="G153" i="9"/>
  <c r="H82" i="4"/>
  <c r="B28" i="1"/>
  <c r="B27" i="1"/>
  <c r="B25" i="1"/>
  <c r="B24" i="1"/>
  <c r="B23" i="1"/>
  <c r="B22" i="1"/>
  <c r="F50" i="4"/>
  <c r="G138" i="9"/>
  <c r="H44" i="4"/>
  <c r="G53" i="4"/>
  <c r="G37" i="9"/>
  <c r="G130" i="9"/>
  <c r="H38" i="4"/>
  <c r="G155" i="9"/>
  <c r="H84" i="4"/>
  <c r="G131" i="9"/>
  <c r="G140" i="9"/>
  <c r="H46" i="4"/>
  <c r="F52" i="4"/>
  <c r="F65" i="4"/>
  <c r="G151" i="9"/>
  <c r="E120" i="9"/>
  <c r="G20" i="4"/>
  <c r="F82" i="4"/>
  <c r="G127" i="9"/>
  <c r="E108" i="9"/>
  <c r="E114" i="9"/>
  <c r="E124" i="9"/>
  <c r="E134" i="9"/>
  <c r="F26" i="4"/>
  <c r="G126" i="9"/>
  <c r="G156" i="9"/>
  <c r="H85" i="4"/>
  <c r="B18" i="1"/>
  <c r="E14" i="5"/>
  <c r="E13" i="5"/>
  <c r="G22" i="4"/>
  <c r="F114" i="9"/>
  <c r="F108" i="9"/>
  <c r="F120" i="9"/>
  <c r="F124" i="9"/>
  <c r="F134" i="9"/>
  <c r="B15" i="1"/>
  <c r="F51" i="4"/>
  <c r="B10" i="1"/>
  <c r="G43" i="4"/>
  <c r="F147" i="9"/>
  <c r="G27" i="4"/>
  <c r="G15" i="4"/>
  <c r="G23" i="4"/>
  <c r="F33" i="4"/>
  <c r="G137" i="9"/>
  <c r="H43" i="4"/>
  <c r="G152" i="9"/>
  <c r="H81" i="4"/>
  <c r="E157" i="9"/>
  <c r="F81" i="4"/>
  <c r="G11" i="16"/>
  <c r="F36" i="4"/>
  <c r="F69" i="4"/>
  <c r="G86" i="9"/>
  <c r="H78" i="4"/>
  <c r="E147" i="9"/>
  <c r="F45" i="4"/>
  <c r="F157" i="9"/>
  <c r="G154" i="9"/>
  <c r="H83" i="4"/>
  <c r="F16" i="4"/>
  <c r="G12" i="4"/>
  <c r="F29" i="4"/>
  <c r="F84" i="4"/>
  <c r="G17" i="4"/>
  <c r="D31" i="10"/>
  <c r="D44" i="10"/>
  <c r="G51" i="9"/>
  <c r="G59" i="9"/>
  <c r="J45" i="17"/>
  <c r="G24" i="21"/>
  <c r="K36" i="4"/>
  <c r="K69" i="4"/>
  <c r="B19" i="25"/>
  <c r="B20" i="25"/>
  <c r="E35" i="2"/>
  <c r="D33" i="3"/>
  <c r="O45" i="17"/>
  <c r="E305" i="30"/>
  <c r="L57" i="12"/>
  <c r="I31" i="2"/>
  <c r="M193" i="15"/>
  <c r="M195" i="15"/>
  <c r="K39" i="5"/>
  <c r="F63" i="4"/>
  <c r="H18" i="5"/>
  <c r="F27" i="2"/>
  <c r="H41" i="5"/>
  <c r="G108" i="9"/>
  <c r="H70" i="4"/>
  <c r="K38" i="4"/>
  <c r="G90" i="9"/>
  <c r="H15" i="5"/>
  <c r="K14" i="5"/>
  <c r="H17" i="5"/>
  <c r="H20" i="5"/>
  <c r="H26" i="5"/>
  <c r="K19" i="5"/>
  <c r="H16" i="5"/>
  <c r="K81" i="4"/>
  <c r="H59" i="4"/>
  <c r="B26" i="4"/>
  <c r="B27" i="4"/>
  <c r="B28" i="4"/>
  <c r="B29" i="4"/>
  <c r="B30" i="4"/>
  <c r="B32" i="4"/>
  <c r="C32" i="8"/>
  <c r="F34" i="10"/>
  <c r="L32" i="12"/>
  <c r="I32" i="2"/>
  <c r="K50" i="4"/>
  <c r="G59" i="4"/>
  <c r="K50" i="5"/>
  <c r="H63" i="4"/>
  <c r="F59" i="4"/>
  <c r="G63" i="4"/>
  <c r="K44" i="4"/>
  <c r="K82" i="4"/>
  <c r="G147" i="9"/>
  <c r="K38" i="5"/>
  <c r="G30" i="4"/>
  <c r="G62" i="4"/>
  <c r="G47" i="4"/>
  <c r="G56" i="4"/>
  <c r="K46" i="4"/>
  <c r="G18" i="4"/>
  <c r="G60" i="4"/>
  <c r="G86" i="4"/>
  <c r="F18" i="4"/>
  <c r="F60" i="4"/>
  <c r="H60" i="4"/>
  <c r="G24" i="4"/>
  <c r="G61" i="4"/>
  <c r="D55" i="18"/>
  <c r="B7" i="5"/>
  <c r="A7" i="25"/>
  <c r="A7" i="4"/>
  <c r="F24" i="4"/>
  <c r="F61" i="4"/>
  <c r="H62" i="4"/>
  <c r="F86" i="4"/>
  <c r="F30" i="4"/>
  <c r="F62" i="4"/>
  <c r="G33" i="8"/>
  <c r="B31" i="5"/>
  <c r="B32" i="5"/>
  <c r="B33" i="5"/>
  <c r="B34" i="5"/>
  <c r="B36" i="5"/>
  <c r="B37" i="5"/>
  <c r="B38" i="5"/>
  <c r="B39" i="5"/>
  <c r="B40" i="5"/>
  <c r="B41" i="5"/>
  <c r="B43" i="5"/>
  <c r="E43" i="5"/>
  <c r="D57" i="18"/>
  <c r="E50" i="5"/>
  <c r="E53" i="5"/>
  <c r="E48" i="5"/>
  <c r="E47" i="5"/>
  <c r="E52" i="5"/>
  <c r="E49" i="5"/>
  <c r="E51" i="5"/>
  <c r="C11" i="8"/>
  <c r="C16" i="8"/>
  <c r="C14" i="8"/>
  <c r="C10" i="8"/>
  <c r="C15" i="8"/>
  <c r="C13" i="8"/>
  <c r="K43" i="4"/>
  <c r="H47" i="4"/>
  <c r="H56" i="4"/>
  <c r="E15" i="5"/>
  <c r="A16" i="10"/>
  <c r="D45" i="10"/>
  <c r="F37" i="10"/>
  <c r="D38" i="10"/>
  <c r="A18" i="9"/>
  <c r="K31" i="5"/>
  <c r="K34" i="5"/>
  <c r="H34" i="5"/>
  <c r="F47" i="4"/>
  <c r="F56" i="4"/>
  <c r="XEY56" i="17"/>
  <c r="E38" i="5"/>
  <c r="E39" i="5"/>
  <c r="K45" i="4"/>
  <c r="D37" i="8"/>
  <c r="G114" i="9"/>
  <c r="F29" i="5"/>
  <c r="H80" i="4"/>
  <c r="G157" i="9"/>
  <c r="F19" i="10"/>
  <c r="E22" i="10"/>
  <c r="E31" i="10"/>
  <c r="G24" i="16"/>
  <c r="H47" i="5"/>
  <c r="H54" i="5"/>
  <c r="G69" i="9"/>
  <c r="G70" i="9"/>
  <c r="G80" i="9"/>
  <c r="G29" i="5"/>
  <c r="H14" i="25"/>
  <c r="H16" i="25"/>
  <c r="C27" i="8"/>
  <c r="C28" i="8"/>
  <c r="D20" i="25"/>
  <c r="E57" i="5"/>
  <c r="B22" i="25"/>
  <c r="B23" i="25"/>
  <c r="B24" i="25"/>
  <c r="F22" i="10"/>
  <c r="H29" i="5"/>
  <c r="H43" i="5"/>
  <c r="G124" i="9"/>
  <c r="G134" i="9"/>
  <c r="K62" i="4"/>
  <c r="H61" i="4"/>
  <c r="H66" i="4"/>
  <c r="G66" i="4"/>
  <c r="G34" i="4"/>
  <c r="G40" i="4"/>
  <c r="J18" i="4"/>
  <c r="F66" i="4"/>
  <c r="F34" i="4"/>
  <c r="F40" i="4"/>
  <c r="H40" i="4"/>
  <c r="I35" i="2"/>
  <c r="K47" i="4"/>
  <c r="E44" i="10"/>
  <c r="F31" i="10"/>
  <c r="E38" i="10"/>
  <c r="F38" i="10"/>
  <c r="C26" i="8"/>
  <c r="C25" i="8"/>
  <c r="C21" i="8"/>
  <c r="C20" i="8"/>
  <c r="M279" i="15"/>
  <c r="H86" i="4"/>
  <c r="K80" i="4"/>
  <c r="F45" i="10"/>
  <c r="D46" i="10"/>
  <c r="B46" i="5"/>
  <c r="B47" i="5"/>
  <c r="B48" i="5"/>
  <c r="B49" i="5"/>
  <c r="B50" i="5"/>
  <c r="B51" i="5"/>
  <c r="B52" i="5"/>
  <c r="B53" i="5"/>
  <c r="B54" i="5"/>
  <c r="B56" i="5"/>
  <c r="B57" i="5"/>
  <c r="B59" i="5"/>
  <c r="E74" i="4"/>
  <c r="A17" i="10"/>
  <c r="E16" i="5"/>
  <c r="B33" i="4"/>
  <c r="F13" i="25"/>
  <c r="D17" i="3"/>
  <c r="A19" i="9"/>
  <c r="A20" i="9"/>
  <c r="H74" i="4"/>
  <c r="H76" i="4"/>
  <c r="B34" i="4"/>
  <c r="E59" i="5"/>
  <c r="A21" i="9"/>
  <c r="D19" i="3"/>
  <c r="E13" i="2"/>
  <c r="D13" i="3"/>
  <c r="J30" i="4"/>
  <c r="E29" i="2"/>
  <c r="H88" i="4"/>
  <c r="G36" i="8"/>
  <c r="D27" i="3"/>
  <c r="J47" i="4"/>
  <c r="K60" i="4"/>
  <c r="G59" i="17"/>
  <c r="F16" i="25"/>
  <c r="C35" i="8"/>
  <c r="B36" i="4"/>
  <c r="E69" i="4"/>
  <c r="K47" i="5"/>
  <c r="A18" i="10"/>
  <c r="E17" i="5"/>
  <c r="D18" i="3"/>
  <c r="D60" i="18"/>
  <c r="E46" i="10"/>
  <c r="F46" i="10"/>
  <c r="F44" i="10"/>
  <c r="A22" i="9"/>
  <c r="D20" i="3"/>
  <c r="C177" i="26"/>
  <c r="B37" i="4"/>
  <c r="B38" i="4"/>
  <c r="A19" i="10"/>
  <c r="A20" i="10"/>
  <c r="E18" i="5"/>
  <c r="D61" i="18"/>
  <c r="B39" i="4"/>
  <c r="B40" i="4"/>
  <c r="A23" i="9"/>
  <c r="D21" i="3"/>
  <c r="E64" i="4"/>
  <c r="E33" i="2"/>
  <c r="M56" i="4"/>
  <c r="M34" i="4"/>
  <c r="D36" i="3"/>
  <c r="A21" i="10"/>
  <c r="E19" i="5"/>
  <c r="XEY59" i="17"/>
  <c r="A24" i="9"/>
  <c r="D22" i="3"/>
  <c r="J15" i="5"/>
  <c r="K15" i="5"/>
  <c r="A37" i="3"/>
  <c r="A38" i="3"/>
  <c r="A39" i="3"/>
  <c r="A40" i="3"/>
  <c r="A41" i="3"/>
  <c r="A42" i="3"/>
  <c r="D42" i="3"/>
  <c r="D37" i="3"/>
  <c r="D39" i="3"/>
  <c r="D41" i="3"/>
  <c r="D38" i="3"/>
  <c r="E20" i="5"/>
  <c r="A22" i="10"/>
  <c r="A24" i="10"/>
  <c r="D59" i="18"/>
  <c r="E71" i="4"/>
  <c r="D23" i="3"/>
  <c r="A25" i="9"/>
  <c r="J22" i="5"/>
  <c r="K22" i="5"/>
  <c r="E38" i="2"/>
  <c r="E43" i="2"/>
  <c r="E41" i="2"/>
  <c r="B39" i="2"/>
  <c r="B40" i="2"/>
  <c r="B41" i="2"/>
  <c r="B42" i="2"/>
  <c r="B43" i="2"/>
  <c r="B44" i="2"/>
  <c r="E40" i="2"/>
  <c r="E39" i="2"/>
  <c r="E44" i="2"/>
  <c r="J20" i="5"/>
  <c r="K20" i="5"/>
  <c r="J48" i="5"/>
  <c r="K48" i="5"/>
  <c r="J23" i="5"/>
  <c r="K23" i="5"/>
  <c r="D64" i="18"/>
  <c r="E21" i="5"/>
  <c r="A25" i="10"/>
  <c r="B42" i="4"/>
  <c r="B43" i="4"/>
  <c r="B44" i="4"/>
  <c r="B45" i="4"/>
  <c r="B46" i="4"/>
  <c r="B47" i="4"/>
  <c r="D65" i="18"/>
  <c r="A26" i="9"/>
  <c r="D29" i="3"/>
  <c r="K83" i="4"/>
  <c r="B49" i="4"/>
  <c r="E60" i="4"/>
  <c r="E16" i="2"/>
  <c r="A26" i="10"/>
  <c r="E22" i="5"/>
  <c r="D30" i="3"/>
  <c r="A28" i="9"/>
  <c r="A29" i="9"/>
  <c r="B50" i="4"/>
  <c r="E61" i="4"/>
  <c r="E23" i="5"/>
  <c r="A27" i="10"/>
  <c r="E17" i="2"/>
  <c r="A33" i="9"/>
  <c r="A34" i="9"/>
  <c r="A35" i="9"/>
  <c r="A36" i="9"/>
  <c r="A37" i="9"/>
  <c r="A39" i="9"/>
  <c r="A40" i="9"/>
  <c r="A41" i="9"/>
  <c r="A42" i="9"/>
  <c r="A43" i="9"/>
  <c r="A44" i="9"/>
  <c r="A45" i="9"/>
  <c r="A46" i="9"/>
  <c r="A47" i="9"/>
  <c r="E31" i="5"/>
  <c r="E18" i="2"/>
  <c r="A28" i="10"/>
  <c r="E24" i="5"/>
  <c r="B51" i="4"/>
  <c r="E63" i="4"/>
  <c r="E62" i="4"/>
  <c r="A48" i="9"/>
  <c r="E32" i="5"/>
  <c r="E19" i="2"/>
  <c r="B52" i="4"/>
  <c r="E65" i="4"/>
  <c r="A29" i="10"/>
  <c r="E25" i="5"/>
  <c r="A49" i="9"/>
  <c r="A50" i="9"/>
  <c r="B53" i="4"/>
  <c r="B54" i="4"/>
  <c r="E20" i="2"/>
  <c r="A30" i="10"/>
  <c r="A31" i="10"/>
  <c r="A32" i="10"/>
  <c r="E26" i="5"/>
  <c r="B56" i="4"/>
  <c r="E70" i="4"/>
  <c r="E33" i="5"/>
  <c r="E37" i="5"/>
  <c r="A51" i="9"/>
  <c r="A53" i="9"/>
  <c r="A54" i="9"/>
  <c r="A55" i="9"/>
  <c r="A56" i="9"/>
  <c r="A57" i="9"/>
  <c r="A58" i="9"/>
  <c r="E59" i="4"/>
  <c r="A33" i="10"/>
  <c r="D24" i="3"/>
  <c r="E21" i="2"/>
  <c r="A59" i="9"/>
  <c r="A61" i="9"/>
  <c r="A62" i="9"/>
  <c r="A63" i="9"/>
  <c r="E40" i="5"/>
  <c r="E22" i="2"/>
  <c r="B58" i="4"/>
  <c r="B59" i="4"/>
  <c r="B60" i="4"/>
  <c r="B61" i="4"/>
  <c r="C178" i="26"/>
  <c r="A34" i="10"/>
  <c r="A35" i="10"/>
  <c r="A36" i="10"/>
  <c r="A37" i="10"/>
  <c r="A38" i="10"/>
  <c r="A40" i="10"/>
  <c r="A41" i="10"/>
  <c r="A42" i="10"/>
  <c r="A43" i="10"/>
  <c r="E56" i="5"/>
  <c r="A64" i="9"/>
  <c r="A65" i="9"/>
  <c r="A66" i="9"/>
  <c r="A67" i="9"/>
  <c r="A68" i="9"/>
  <c r="A69" i="9"/>
  <c r="A70" i="9"/>
  <c r="A73" i="9"/>
  <c r="A74" i="9"/>
  <c r="A75" i="9"/>
  <c r="A76" i="9"/>
  <c r="A77" i="9"/>
  <c r="A78" i="9"/>
  <c r="A79" i="9"/>
  <c r="A80" i="9"/>
  <c r="A82" i="9"/>
  <c r="A83" i="9"/>
  <c r="A84" i="9"/>
  <c r="A85" i="9"/>
  <c r="A86" i="9"/>
  <c r="B62" i="4"/>
  <c r="B63" i="4"/>
  <c r="E25" i="2"/>
  <c r="E23" i="2"/>
  <c r="E78" i="4"/>
  <c r="A87" i="9"/>
  <c r="A88" i="9"/>
  <c r="A90" i="9"/>
  <c r="A91" i="9"/>
  <c r="A92" i="9"/>
  <c r="B64" i="4"/>
  <c r="B65" i="4"/>
  <c r="B66" i="4"/>
  <c r="B68" i="4"/>
  <c r="E24" i="2"/>
  <c r="D15" i="25"/>
  <c r="A93" i="9"/>
  <c r="B69" i="4"/>
  <c r="E26" i="2"/>
  <c r="B70" i="4"/>
  <c r="B71" i="4"/>
  <c r="B73" i="4"/>
  <c r="B74" i="4"/>
  <c r="B75" i="4"/>
  <c r="B76" i="4"/>
  <c r="B78" i="4"/>
  <c r="B80" i="4"/>
  <c r="B81" i="4"/>
  <c r="B82" i="4"/>
  <c r="B83" i="4"/>
  <c r="B84" i="4"/>
  <c r="B85" i="4"/>
  <c r="B86" i="4"/>
  <c r="B88" i="4"/>
  <c r="A94" i="9"/>
  <c r="A95" i="9"/>
  <c r="D13" i="25"/>
  <c r="D14" i="25"/>
  <c r="A96" i="9"/>
  <c r="A97" i="9"/>
  <c r="A98" i="9"/>
  <c r="A101" i="9"/>
  <c r="A102" i="9"/>
  <c r="E76" i="4"/>
  <c r="D19" i="25"/>
  <c r="B90" i="4"/>
  <c r="B91" i="4"/>
  <c r="E12" i="4"/>
  <c r="A104" i="9"/>
  <c r="E14" i="4"/>
  <c r="A105" i="9"/>
  <c r="E15" i="4"/>
  <c r="A106" i="9"/>
  <c r="E16" i="4"/>
  <c r="A107" i="9"/>
  <c r="E17" i="4"/>
  <c r="A108" i="9"/>
  <c r="A110" i="9"/>
  <c r="A111" i="9"/>
  <c r="E20" i="4"/>
  <c r="E21" i="4"/>
  <c r="A112" i="9"/>
  <c r="A113" i="9"/>
  <c r="E22" i="4"/>
  <c r="A114" i="9"/>
  <c r="A116" i="9"/>
  <c r="E23" i="4"/>
  <c r="E26" i="4"/>
  <c r="A117" i="9"/>
  <c r="E27" i="4"/>
  <c r="A118" i="9"/>
  <c r="E28" i="4"/>
  <c r="A119" i="9"/>
  <c r="A120" i="9"/>
  <c r="A122" i="9"/>
  <c r="E29" i="4"/>
  <c r="A123" i="9"/>
  <c r="E32" i="4"/>
  <c r="E33" i="4"/>
  <c r="A124" i="9"/>
  <c r="A126" i="9"/>
  <c r="A127" i="9"/>
  <c r="A128" i="9"/>
  <c r="A129" i="9"/>
  <c r="E36" i="4"/>
  <c r="A130" i="9"/>
  <c r="E38" i="4"/>
  <c r="A131" i="9"/>
  <c r="A132" i="9"/>
  <c r="A133" i="9"/>
  <c r="E39" i="4"/>
  <c r="A134" i="9"/>
  <c r="A136" i="9"/>
  <c r="A137" i="9"/>
  <c r="A138" i="9"/>
  <c r="E43" i="4"/>
  <c r="A139" i="9"/>
  <c r="E44" i="4"/>
  <c r="A140" i="9"/>
  <c r="E45" i="4"/>
  <c r="A141" i="9"/>
  <c r="E46" i="4"/>
  <c r="A142" i="9"/>
  <c r="E49" i="4"/>
  <c r="A143" i="9"/>
  <c r="E50" i="4"/>
  <c r="E51" i="4"/>
  <c r="A144" i="9"/>
  <c r="E52" i="4"/>
  <c r="A145" i="9"/>
  <c r="A146" i="9"/>
  <c r="E53" i="4"/>
  <c r="E54" i="4"/>
  <c r="A147" i="9"/>
  <c r="A150" i="9"/>
  <c r="A151" i="9"/>
  <c r="E80" i="4"/>
  <c r="A152" i="9"/>
  <c r="A153" i="9"/>
  <c r="E81" i="4"/>
  <c r="A154" i="9"/>
  <c r="E82" i="4"/>
  <c r="A155" i="9"/>
  <c r="E83" i="4"/>
  <c r="E84" i="4"/>
  <c r="A156" i="9"/>
  <c r="A157" i="9"/>
  <c r="A159" i="9"/>
  <c r="A160" i="9"/>
  <c r="A161" i="9"/>
  <c r="A162" i="9"/>
  <c r="A163" i="9"/>
  <c r="A164" i="9"/>
  <c r="E85" i="4"/>
  <c r="R83" i="26" l="1"/>
  <c r="R84" i="26"/>
  <c r="R58" i="26"/>
  <c r="R55" i="26"/>
  <c r="R80" i="26"/>
  <c r="L11" i="27"/>
  <c r="L98" i="27" s="1"/>
  <c r="K39" i="4" s="1"/>
  <c r="K71" i="4" s="1"/>
  <c r="K98" i="27"/>
  <c r="A50" i="20"/>
  <c r="F50" i="20"/>
  <c r="F37" i="8" s="1"/>
  <c r="F38" i="8" s="1"/>
  <c r="F29" i="8"/>
  <c r="F30" i="8" s="1"/>
  <c r="R106" i="26"/>
  <c r="P106" i="26"/>
  <c r="Q106" i="26" s="1"/>
  <c r="S106" i="26" s="1"/>
  <c r="J16" i="5"/>
  <c r="K16" i="5" s="1"/>
  <c r="J24" i="5"/>
  <c r="K24" i="5" s="1"/>
  <c r="J23" i="4"/>
  <c r="K23" i="4" s="1"/>
  <c r="K24" i="4" s="1"/>
  <c r="J17" i="5"/>
  <c r="K17" i="5" s="1"/>
  <c r="J25" i="5"/>
  <c r="K25" i="5" s="1"/>
  <c r="J84" i="4"/>
  <c r="J49" i="5"/>
  <c r="K49" i="5" s="1"/>
  <c r="R109" i="26"/>
  <c r="R113" i="26"/>
  <c r="R114" i="26"/>
  <c r="R115" i="26"/>
  <c r="R116" i="26"/>
  <c r="P122" i="26"/>
  <c r="Q122" i="26" s="1"/>
  <c r="S122" i="26" s="1"/>
  <c r="R105" i="26"/>
  <c r="R70" i="26"/>
  <c r="R71" i="26"/>
  <c r="R45" i="26"/>
  <c r="R41" i="26"/>
  <c r="R122" i="26"/>
  <c r="R32" i="26"/>
  <c r="R33" i="26"/>
  <c r="P147" i="26"/>
  <c r="Q147" i="26" s="1"/>
  <c r="S147" i="26" s="1"/>
  <c r="P131" i="26"/>
  <c r="Q131" i="26" s="1"/>
  <c r="S131" i="26" s="1"/>
  <c r="P83" i="26"/>
  <c r="Q83" i="26" s="1"/>
  <c r="S83" i="26" s="1"/>
  <c r="R107" i="26"/>
  <c r="R29" i="26"/>
  <c r="P114" i="26"/>
  <c r="Q114" i="26" s="1"/>
  <c r="S114" i="26" s="1"/>
  <c r="P98" i="26"/>
  <c r="Q98" i="26" s="1"/>
  <c r="S98" i="26" s="1"/>
  <c r="P58" i="26"/>
  <c r="Q58" i="26" s="1"/>
  <c r="S58" i="26" s="1"/>
  <c r="P170" i="26"/>
  <c r="Q170" i="26" s="1"/>
  <c r="S170" i="26" s="1"/>
  <c r="P162" i="26"/>
  <c r="Q162" i="26" s="1"/>
  <c r="S162" i="26" s="1"/>
  <c r="P154" i="26"/>
  <c r="Q154" i="26" s="1"/>
  <c r="S154" i="26" s="1"/>
  <c r="P146" i="26"/>
  <c r="Q146" i="26" s="1"/>
  <c r="S146" i="26" s="1"/>
  <c r="P138" i="26"/>
  <c r="Q138" i="26" s="1"/>
  <c r="S138" i="26" s="1"/>
  <c r="P130" i="26"/>
  <c r="Q130" i="26" s="1"/>
  <c r="S130" i="26" s="1"/>
  <c r="P46" i="26"/>
  <c r="Q46" i="26" s="1"/>
  <c r="S46" i="26" s="1"/>
  <c r="M102" i="26"/>
  <c r="P102" i="26" s="1"/>
  <c r="Q102" i="26" s="1"/>
  <c r="S102" i="26" s="1"/>
  <c r="M87" i="26"/>
  <c r="P87" i="26" s="1"/>
  <c r="Q87" i="26" s="1"/>
  <c r="S87" i="26" s="1"/>
  <c r="M57" i="26"/>
  <c r="P57" i="26" s="1"/>
  <c r="Q57" i="26" s="1"/>
  <c r="S57" i="26" s="1"/>
  <c r="M53" i="26"/>
  <c r="M49" i="26"/>
  <c r="M37" i="26"/>
  <c r="M18" i="26"/>
  <c r="P18" i="26" s="1"/>
  <c r="Q18" i="26" s="1"/>
  <c r="S18" i="26" s="1"/>
  <c r="P125" i="26"/>
  <c r="Q125" i="26" s="1"/>
  <c r="S125" i="26" s="1"/>
  <c r="M94" i="26"/>
  <c r="M79" i="26"/>
  <c r="P79" i="26" s="1"/>
  <c r="Q79" i="26" s="1"/>
  <c r="S79" i="26" s="1"/>
  <c r="M75" i="26"/>
  <c r="P75" i="26" s="1"/>
  <c r="Q75" i="26" s="1"/>
  <c r="S75" i="26" s="1"/>
  <c r="M72" i="26"/>
  <c r="P72" i="26" s="1"/>
  <c r="Q72" i="26" s="1"/>
  <c r="S72" i="26" s="1"/>
  <c r="M68" i="26"/>
  <c r="P68" i="26" s="1"/>
  <c r="Q68" i="26" s="1"/>
  <c r="S68" i="26" s="1"/>
  <c r="M64" i="26"/>
  <c r="M60" i="26"/>
  <c r="P60" i="26" s="1"/>
  <c r="Q60" i="26" s="1"/>
  <c r="S60" i="26" s="1"/>
  <c r="M26" i="26"/>
  <c r="P26" i="26" s="1"/>
  <c r="Q26" i="26" s="1"/>
  <c r="S26" i="26" s="1"/>
  <c r="M101" i="26"/>
  <c r="M90" i="26"/>
  <c r="P90" i="26" s="1"/>
  <c r="Q90" i="26" s="1"/>
  <c r="S90" i="26" s="1"/>
  <c r="M86" i="26"/>
  <c r="P86" i="26" s="1"/>
  <c r="Q86" i="26" s="1"/>
  <c r="S86" i="26" s="1"/>
  <c r="M56" i="26"/>
  <c r="M52" i="26"/>
  <c r="M48" i="26"/>
  <c r="M44" i="26"/>
  <c r="P44" i="26" s="1"/>
  <c r="Q44" i="26" s="1"/>
  <c r="S44" i="26" s="1"/>
  <c r="M40" i="26"/>
  <c r="P40" i="26" s="1"/>
  <c r="Q40" i="26" s="1"/>
  <c r="S40" i="26" s="1"/>
  <c r="M36" i="26"/>
  <c r="P36" i="26" s="1"/>
  <c r="Q36" i="26" s="1"/>
  <c r="S36" i="26" s="1"/>
  <c r="M28" i="26"/>
  <c r="M25" i="26"/>
  <c r="P25" i="26" s="1"/>
  <c r="Q25" i="26" s="1"/>
  <c r="S25" i="26" s="1"/>
  <c r="M17" i="26"/>
  <c r="P17" i="26" s="1"/>
  <c r="Q17" i="26" s="1"/>
  <c r="S17" i="26" s="1"/>
  <c r="M13" i="26"/>
  <c r="P13" i="26" s="1"/>
  <c r="Q13" i="26" s="1"/>
  <c r="M95" i="26"/>
  <c r="P94" i="26"/>
  <c r="Q94" i="26" s="1"/>
  <c r="S94" i="26" s="1"/>
  <c r="M97" i="26"/>
  <c r="P97" i="26" s="1"/>
  <c r="Q97" i="26" s="1"/>
  <c r="S97" i="26" s="1"/>
  <c r="M93" i="26"/>
  <c r="P93" i="26" s="1"/>
  <c r="Q93" i="26" s="1"/>
  <c r="S93" i="26" s="1"/>
  <c r="M82" i="26"/>
  <c r="P82" i="26" s="1"/>
  <c r="Q82" i="26" s="1"/>
  <c r="S82" i="26" s="1"/>
  <c r="M78" i="26"/>
  <c r="M67" i="26"/>
  <c r="M63" i="26"/>
  <c r="P63" i="26" s="1"/>
  <c r="Q63" i="26" s="1"/>
  <c r="S63" i="26" s="1"/>
  <c r="M59" i="26"/>
  <c r="M61" i="26"/>
  <c r="P61" i="26" s="1"/>
  <c r="Q61" i="26" s="1"/>
  <c r="S61" i="26" s="1"/>
  <c r="M100" i="26"/>
  <c r="P100" i="26" s="1"/>
  <c r="Q100" i="26" s="1"/>
  <c r="S100" i="26" s="1"/>
  <c r="M89" i="26"/>
  <c r="P89" i="26" s="1"/>
  <c r="Q89" i="26" s="1"/>
  <c r="S89" i="26" s="1"/>
  <c r="M85" i="26"/>
  <c r="P85" i="26" s="1"/>
  <c r="Q85" i="26" s="1"/>
  <c r="S85" i="26" s="1"/>
  <c r="M74" i="26"/>
  <c r="P74" i="26" s="1"/>
  <c r="Q74" i="26" s="1"/>
  <c r="S74" i="26" s="1"/>
  <c r="M51" i="26"/>
  <c r="M47" i="26"/>
  <c r="P47" i="26" s="1"/>
  <c r="Q47" i="26" s="1"/>
  <c r="S47" i="26" s="1"/>
  <c r="M43" i="26"/>
  <c r="M39" i="26"/>
  <c r="P39" i="26" s="1"/>
  <c r="Q39" i="26" s="1"/>
  <c r="S39" i="26" s="1"/>
  <c r="M35" i="26"/>
  <c r="M31" i="26"/>
  <c r="P31" i="26" s="1"/>
  <c r="Q31" i="26" s="1"/>
  <c r="S31" i="26" s="1"/>
  <c r="M27" i="26"/>
  <c r="P27" i="26" s="1"/>
  <c r="Q27" i="26" s="1"/>
  <c r="S27" i="26" s="1"/>
  <c r="M20" i="26"/>
  <c r="M16" i="26"/>
  <c r="M12" i="26"/>
  <c r="P12" i="26" s="1"/>
  <c r="Q12" i="26" s="1"/>
  <c r="S12" i="26" s="1"/>
  <c r="M91" i="26"/>
  <c r="M65" i="26"/>
  <c r="P65" i="26" s="1"/>
  <c r="Q65" i="26" s="1"/>
  <c r="S65" i="26" s="1"/>
  <c r="M96" i="26"/>
  <c r="P96" i="26" s="1"/>
  <c r="Q96" i="26" s="1"/>
  <c r="S96" i="26" s="1"/>
  <c r="M92" i="26"/>
  <c r="M81" i="26"/>
  <c r="P81" i="26" s="1"/>
  <c r="Q81" i="26" s="1"/>
  <c r="S81" i="26" s="1"/>
  <c r="M77" i="26"/>
  <c r="M66" i="26"/>
  <c r="P66" i="26" s="1"/>
  <c r="Q66" i="26" s="1"/>
  <c r="S66" i="26" s="1"/>
  <c r="M62" i="26"/>
  <c r="M107" i="26"/>
  <c r="P107" i="26" s="1"/>
  <c r="Q107" i="26" s="1"/>
  <c r="S107" i="26" s="1"/>
  <c r="M99" i="26"/>
  <c r="P99" i="26" s="1"/>
  <c r="Q99" i="26" s="1"/>
  <c r="S99" i="26" s="1"/>
  <c r="M88" i="26"/>
  <c r="P88" i="26" s="1"/>
  <c r="Q88" i="26" s="1"/>
  <c r="S88" i="26" s="1"/>
  <c r="M73" i="26"/>
  <c r="P73" i="26" s="1"/>
  <c r="Q73" i="26" s="1"/>
  <c r="S73" i="26" s="1"/>
  <c r="M50" i="26"/>
  <c r="P50" i="26" s="1"/>
  <c r="Q50" i="26" s="1"/>
  <c r="S50" i="26" s="1"/>
  <c r="M46" i="26"/>
  <c r="M42" i="26"/>
  <c r="P42" i="26" s="1"/>
  <c r="Q42" i="26" s="1"/>
  <c r="S42" i="26" s="1"/>
  <c r="M38" i="26"/>
  <c r="M34" i="26"/>
  <c r="P34" i="26" s="1"/>
  <c r="Q34" i="26" s="1"/>
  <c r="S34" i="26" s="1"/>
  <c r="M30" i="26"/>
  <c r="M23" i="26"/>
  <c r="P23" i="26" s="1"/>
  <c r="Q23" i="26" s="1"/>
  <c r="S23" i="26" s="1"/>
  <c r="M19" i="26"/>
  <c r="P19" i="26" s="1"/>
  <c r="Q19" i="26" s="1"/>
  <c r="S19" i="26" s="1"/>
  <c r="M15" i="26"/>
  <c r="P15" i="26" s="1"/>
  <c r="Q15" i="26" s="1"/>
  <c r="S15" i="26" s="1"/>
  <c r="P140" i="26"/>
  <c r="Q140" i="26" s="1"/>
  <c r="S140" i="26" s="1"/>
  <c r="P132" i="26"/>
  <c r="Q132" i="26" s="1"/>
  <c r="S132" i="26" s="1"/>
  <c r="P108" i="26"/>
  <c r="Q108" i="26" s="1"/>
  <c r="S108" i="26" s="1"/>
  <c r="P92" i="26"/>
  <c r="Q92" i="26" s="1"/>
  <c r="S92" i="26" s="1"/>
  <c r="P28" i="26"/>
  <c r="Q28" i="26" s="1"/>
  <c r="S28" i="26" s="1"/>
  <c r="P69" i="26"/>
  <c r="Q69" i="26" s="1"/>
  <c r="S69" i="26" s="1"/>
  <c r="P163" i="26"/>
  <c r="Q163" i="26" s="1"/>
  <c r="S163" i="26" s="1"/>
  <c r="P155" i="26"/>
  <c r="Q155" i="26" s="1"/>
  <c r="S155" i="26" s="1"/>
  <c r="P139" i="26"/>
  <c r="Q139" i="26" s="1"/>
  <c r="S139" i="26" s="1"/>
  <c r="P91" i="26"/>
  <c r="Q91" i="26" s="1"/>
  <c r="S91" i="26" s="1"/>
  <c r="P67" i="26"/>
  <c r="Q67" i="26" s="1"/>
  <c r="S67" i="26" s="1"/>
  <c r="P51" i="26"/>
  <c r="Q51" i="26" s="1"/>
  <c r="S51" i="26" s="1"/>
  <c r="P43" i="26"/>
  <c r="Q43" i="26" s="1"/>
  <c r="S43" i="26" s="1"/>
  <c r="P35" i="26"/>
  <c r="Q35" i="26" s="1"/>
  <c r="S35" i="26" s="1"/>
  <c r="P11" i="26"/>
  <c r="Q11" i="26" s="1"/>
  <c r="S11" i="26" s="1"/>
  <c r="P169" i="26"/>
  <c r="Q169" i="26" s="1"/>
  <c r="S169" i="26" s="1"/>
  <c r="P161" i="26"/>
  <c r="Q161" i="26" s="1"/>
  <c r="S161" i="26" s="1"/>
  <c r="P145" i="26"/>
  <c r="Q145" i="26" s="1"/>
  <c r="S145" i="26" s="1"/>
  <c r="P137" i="26"/>
  <c r="Q137" i="26" s="1"/>
  <c r="S137" i="26" s="1"/>
  <c r="P129" i="26"/>
  <c r="Q129" i="26" s="1"/>
  <c r="S129" i="26" s="1"/>
  <c r="P121" i="26"/>
  <c r="Q121" i="26" s="1"/>
  <c r="S121" i="26" s="1"/>
  <c r="P113" i="26"/>
  <c r="Q113" i="26" s="1"/>
  <c r="S113" i="26" s="1"/>
  <c r="P105" i="26"/>
  <c r="Q105" i="26" s="1"/>
  <c r="S105" i="26" s="1"/>
  <c r="P49" i="26"/>
  <c r="Q49" i="26" s="1"/>
  <c r="S49" i="26" s="1"/>
  <c r="P41" i="26"/>
  <c r="Q41" i="26" s="1"/>
  <c r="S41" i="26" s="1"/>
  <c r="P33" i="26"/>
  <c r="Q33" i="26" s="1"/>
  <c r="S33" i="26" s="1"/>
  <c r="P168" i="26"/>
  <c r="Q168" i="26" s="1"/>
  <c r="S168" i="26" s="1"/>
  <c r="P160" i="26"/>
  <c r="Q160" i="26" s="1"/>
  <c r="S160" i="26" s="1"/>
  <c r="P144" i="26"/>
  <c r="Q144" i="26" s="1"/>
  <c r="S144" i="26" s="1"/>
  <c r="P136" i="26"/>
  <c r="Q136" i="26" s="1"/>
  <c r="S136" i="26" s="1"/>
  <c r="P120" i="26"/>
  <c r="Q120" i="26" s="1"/>
  <c r="S120" i="26" s="1"/>
  <c r="P112" i="26"/>
  <c r="Q112" i="26" s="1"/>
  <c r="S112" i="26" s="1"/>
  <c r="P104" i="26"/>
  <c r="Q104" i="26" s="1"/>
  <c r="S104" i="26" s="1"/>
  <c r="P80" i="26"/>
  <c r="Q80" i="26" s="1"/>
  <c r="S80" i="26" s="1"/>
  <c r="P64" i="26"/>
  <c r="Q64" i="26" s="1"/>
  <c r="S64" i="26" s="1"/>
  <c r="P56" i="26"/>
  <c r="Q56" i="26" s="1"/>
  <c r="S56" i="26" s="1"/>
  <c r="P48" i="26"/>
  <c r="Q48" i="26" s="1"/>
  <c r="S48" i="26" s="1"/>
  <c r="P24" i="26"/>
  <c r="Q24" i="26" s="1"/>
  <c r="S24" i="26" s="1"/>
  <c r="P16" i="26"/>
  <c r="Q16" i="26" s="1"/>
  <c r="S16" i="26" s="1"/>
  <c r="P117" i="26"/>
  <c r="Q117" i="26" s="1"/>
  <c r="S117" i="26" s="1"/>
  <c r="P167" i="26"/>
  <c r="Q167" i="26" s="1"/>
  <c r="S167" i="26" s="1"/>
  <c r="P151" i="26"/>
  <c r="Q151" i="26" s="1"/>
  <c r="S151" i="26" s="1"/>
  <c r="P143" i="26"/>
  <c r="Q143" i="26" s="1"/>
  <c r="S143" i="26" s="1"/>
  <c r="P135" i="26"/>
  <c r="Q135" i="26" s="1"/>
  <c r="S135" i="26" s="1"/>
  <c r="P127" i="26"/>
  <c r="Q127" i="26" s="1"/>
  <c r="S127" i="26" s="1"/>
  <c r="P95" i="26"/>
  <c r="Q95" i="26" s="1"/>
  <c r="S95" i="26" s="1"/>
  <c r="R11" i="26"/>
  <c r="P115" i="26"/>
  <c r="Q115" i="26" s="1"/>
  <c r="S115" i="26" s="1"/>
  <c r="R43" i="26"/>
  <c r="R139" i="26"/>
  <c r="R155" i="26"/>
  <c r="P123" i="26"/>
  <c r="Q123" i="26" s="1"/>
  <c r="S123" i="26" s="1"/>
  <c r="R163" i="26"/>
  <c r="R127" i="26"/>
  <c r="R135" i="26"/>
  <c r="P103" i="26"/>
  <c r="Q103" i="26" s="1"/>
  <c r="S103" i="26" s="1"/>
  <c r="R87" i="26"/>
  <c r="E30" i="2"/>
  <c r="A172" i="26"/>
  <c r="A173" i="26" s="1"/>
  <c r="A174" i="26" s="1"/>
  <c r="A175" i="26" s="1"/>
  <c r="A177" i="26" s="1"/>
  <c r="C181" i="26"/>
  <c r="P159" i="26"/>
  <c r="Q159" i="26" s="1"/>
  <c r="S159" i="26" s="1"/>
  <c r="P119" i="26"/>
  <c r="Q119" i="26" s="1"/>
  <c r="S119" i="26" s="1"/>
  <c r="R27" i="26"/>
  <c r="R75" i="26"/>
  <c r="R51" i="26"/>
  <c r="R140" i="26"/>
  <c r="P59" i="26"/>
  <c r="Q59" i="26" s="1"/>
  <c r="S59" i="26" s="1"/>
  <c r="R96" i="26"/>
  <c r="R48" i="26"/>
  <c r="P32" i="26"/>
  <c r="Q32" i="26" s="1"/>
  <c r="S32" i="26" s="1"/>
  <c r="R16" i="26"/>
  <c r="R104" i="26"/>
  <c r="R95" i="26"/>
  <c r="R56" i="26"/>
  <c r="R143" i="26"/>
  <c r="P153" i="26"/>
  <c r="Q153" i="26" s="1"/>
  <c r="S153" i="26" s="1"/>
  <c r="P128" i="26"/>
  <c r="Q128" i="26" s="1"/>
  <c r="S128" i="26" s="1"/>
  <c r="R88" i="26"/>
  <c r="R112" i="26"/>
  <c r="R15" i="26"/>
  <c r="R151" i="26"/>
  <c r="P111" i="26"/>
  <c r="Q111" i="26" s="1"/>
  <c r="S111" i="26" s="1"/>
  <c r="P71" i="26"/>
  <c r="Q71" i="26" s="1"/>
  <c r="S71" i="26" s="1"/>
  <c r="R144" i="26"/>
  <c r="R39" i="26"/>
  <c r="R137" i="26"/>
  <c r="P152" i="26"/>
  <c r="Q152" i="26" s="1"/>
  <c r="S152" i="26" s="1"/>
  <c r="R136" i="26"/>
  <c r="R24" i="26"/>
  <c r="R64" i="26"/>
  <c r="R167" i="26"/>
  <c r="P55" i="26"/>
  <c r="Q55" i="26" s="1"/>
  <c r="S55" i="26" s="1"/>
  <c r="R120" i="26"/>
  <c r="R160" i="26"/>
  <c r="R12" i="26"/>
  <c r="P116" i="26"/>
  <c r="Q116" i="26" s="1"/>
  <c r="S116" i="26" s="1"/>
  <c r="P148" i="26"/>
  <c r="Q148" i="26" s="1"/>
  <c r="S148" i="26" s="1"/>
  <c r="R132" i="26"/>
  <c r="P124" i="26"/>
  <c r="Q124" i="26" s="1"/>
  <c r="S124" i="26" s="1"/>
  <c r="P76" i="26"/>
  <c r="Q76" i="26" s="1"/>
  <c r="S76" i="26" s="1"/>
  <c r="P84" i="26"/>
  <c r="Q84" i="26" s="1"/>
  <c r="S84" i="26" s="1"/>
  <c r="P156" i="26"/>
  <c r="Q156" i="26" s="1"/>
  <c r="S156" i="26" s="1"/>
  <c r="R92" i="26"/>
  <c r="R28" i="26"/>
  <c r="P164" i="26"/>
  <c r="Q164" i="26" s="1"/>
  <c r="S164" i="26" s="1"/>
  <c r="P21" i="26"/>
  <c r="Q21" i="26" s="1"/>
  <c r="S21" i="26" s="1"/>
  <c r="P52" i="26"/>
  <c r="Q52" i="26" s="1"/>
  <c r="S52" i="26" s="1"/>
  <c r="P20" i="26"/>
  <c r="Q20" i="26" s="1"/>
  <c r="S20" i="26" s="1"/>
  <c r="R36" i="26"/>
  <c r="R100" i="26"/>
  <c r="R108" i="26"/>
  <c r="P149" i="26"/>
  <c r="Q149" i="26" s="1"/>
  <c r="S149" i="26" s="1"/>
  <c r="P77" i="26"/>
  <c r="Q77" i="26" s="1"/>
  <c r="S77" i="26" s="1"/>
  <c r="R93" i="26"/>
  <c r="R68" i="26"/>
  <c r="P157" i="26"/>
  <c r="Q157" i="26" s="1"/>
  <c r="S157" i="26" s="1"/>
  <c r="P165" i="26"/>
  <c r="Q165" i="26" s="1"/>
  <c r="S165" i="26" s="1"/>
  <c r="P29" i="26"/>
  <c r="Q29" i="26" s="1"/>
  <c r="S29" i="26" s="1"/>
  <c r="R125" i="26"/>
  <c r="P101" i="26"/>
  <c r="Q101" i="26" s="1"/>
  <c r="S101" i="26" s="1"/>
  <c r="P37" i="26"/>
  <c r="Q37" i="26" s="1"/>
  <c r="S37" i="26" s="1"/>
  <c r="P109" i="26"/>
  <c r="Q109" i="26" s="1"/>
  <c r="S109" i="26" s="1"/>
  <c r="P45" i="26"/>
  <c r="Q45" i="26" s="1"/>
  <c r="S45" i="26" s="1"/>
  <c r="R69" i="26"/>
  <c r="P53" i="26"/>
  <c r="Q53" i="26" s="1"/>
  <c r="S53" i="26" s="1"/>
  <c r="P133" i="26"/>
  <c r="Q133" i="26" s="1"/>
  <c r="S133" i="26" s="1"/>
  <c r="P141" i="26"/>
  <c r="Q141" i="26" s="1"/>
  <c r="S141" i="26" s="1"/>
  <c r="R166" i="26"/>
  <c r="P158" i="26"/>
  <c r="Q158" i="26" s="1"/>
  <c r="S158" i="26" s="1"/>
  <c r="R102" i="26"/>
  <c r="P142" i="26"/>
  <c r="Q142" i="26" s="1"/>
  <c r="S142" i="26" s="1"/>
  <c r="R46" i="26"/>
  <c r="R110" i="26"/>
  <c r="R54" i="26"/>
  <c r="O171" i="26"/>
  <c r="P126" i="26"/>
  <c r="Q126" i="26" s="1"/>
  <c r="S126" i="26" s="1"/>
  <c r="P78" i="26"/>
  <c r="Q78" i="26" s="1"/>
  <c r="S78" i="26" s="1"/>
  <c r="P70" i="26"/>
  <c r="Q70" i="26" s="1"/>
  <c r="S70" i="26" s="1"/>
  <c r="P62" i="26"/>
  <c r="Q62" i="26" s="1"/>
  <c r="S62" i="26" s="1"/>
  <c r="P38" i="26"/>
  <c r="Q38" i="26" s="1"/>
  <c r="S38" i="26" s="1"/>
  <c r="P30" i="26"/>
  <c r="Q30" i="26" s="1"/>
  <c r="S30" i="26" s="1"/>
  <c r="R14" i="26"/>
  <c r="P134" i="26"/>
  <c r="Q134" i="26" s="1"/>
  <c r="S134" i="26" s="1"/>
  <c r="R22" i="26"/>
  <c r="P150" i="26"/>
  <c r="Q150" i="26" s="1"/>
  <c r="S150" i="26" s="1"/>
  <c r="Q22" i="26"/>
  <c r="S22" i="26" s="1"/>
  <c r="P118" i="26"/>
  <c r="Q118" i="26" s="1"/>
  <c r="S118" i="26" s="1"/>
  <c r="R94" i="26"/>
  <c r="R86" i="26"/>
  <c r="R13" i="26"/>
  <c r="R117" i="26"/>
  <c r="A51" i="20" l="1"/>
  <c r="A52" i="20" s="1"/>
  <c r="A53" i="20" s="1"/>
  <c r="A54" i="20" s="1"/>
  <c r="A55" i="20" s="1"/>
  <c r="A56" i="20" s="1"/>
  <c r="A57" i="20" s="1"/>
  <c r="A58" i="20" s="1"/>
  <c r="C37" i="8"/>
  <c r="E37" i="4"/>
  <c r="K37" i="4"/>
  <c r="K64" i="4" s="1"/>
  <c r="K84" i="4"/>
  <c r="M84" i="4"/>
  <c r="J24" i="4"/>
  <c r="F32" i="8"/>
  <c r="F33" i="8" s="1"/>
  <c r="A178" i="26"/>
  <c r="A179" i="26" s="1"/>
  <c r="A180" i="26" s="1"/>
  <c r="A181" i="26" s="1"/>
  <c r="R171" i="26"/>
  <c r="P171" i="26"/>
  <c r="S13" i="26"/>
  <c r="Q171" i="26"/>
  <c r="J18" i="5" l="1"/>
  <c r="K18" i="5" s="1"/>
  <c r="J26" i="5"/>
  <c r="K26" i="5" s="1"/>
  <c r="J56" i="5"/>
  <c r="K56" i="5" s="1"/>
  <c r="J49" i="4"/>
  <c r="K49" i="4" s="1"/>
  <c r="J13" i="5"/>
  <c r="K13" i="5" s="1"/>
  <c r="K29" i="5" s="1"/>
  <c r="J21" i="5"/>
  <c r="K21" i="5" s="1"/>
  <c r="E11" i="8"/>
  <c r="F11" i="8" s="1"/>
  <c r="F17" i="8" s="1"/>
  <c r="F18" i="8" s="1"/>
  <c r="C179" i="26"/>
  <c r="C182" i="26"/>
  <c r="A182" i="26"/>
  <c r="A184" i="26" s="1"/>
  <c r="A185" i="26" s="1"/>
  <c r="A186" i="26" s="1"/>
  <c r="A187" i="26" s="1"/>
  <c r="A188" i="26" s="1"/>
  <c r="A189" i="26" s="1"/>
  <c r="A190" i="26" s="1"/>
  <c r="A191" i="26" s="1"/>
  <c r="S171" i="26"/>
  <c r="K61" i="4" l="1"/>
  <c r="E178" i="26" s="1"/>
  <c r="J53" i="4"/>
  <c r="K53" i="4" s="1"/>
  <c r="J33" i="4"/>
  <c r="K33" i="4" s="1"/>
  <c r="J40" i="5"/>
  <c r="K40" i="5" s="1"/>
  <c r="J53" i="5"/>
  <c r="K53" i="5" s="1"/>
  <c r="J51" i="4"/>
  <c r="K51" i="4" s="1"/>
  <c r="K56" i="4" s="1"/>
  <c r="J56" i="4" s="1"/>
  <c r="J12" i="4"/>
  <c r="K12" i="4" s="1"/>
  <c r="J37" i="5"/>
  <c r="K37" i="5" s="1"/>
  <c r="J51" i="5"/>
  <c r="K51" i="5" s="1"/>
  <c r="J52" i="4"/>
  <c r="K52" i="4" s="1"/>
  <c r="K65" i="4" s="1"/>
  <c r="J52" i="5"/>
  <c r="K52" i="5" s="1"/>
  <c r="E181" i="26"/>
  <c r="K63" i="4" l="1"/>
  <c r="K54" i="5"/>
  <c r="K41" i="5"/>
  <c r="K43" i="5" s="1"/>
  <c r="K59" i="4"/>
  <c r="K34" i="4"/>
  <c r="K66" i="4" l="1"/>
  <c r="K40" i="4"/>
  <c r="J40" i="4" s="1"/>
  <c r="F35" i="8"/>
  <c r="F36" i="8" s="1"/>
  <c r="J34" i="4"/>
  <c r="K74" i="4"/>
  <c r="K76" i="4" s="1"/>
  <c r="J78" i="4" l="1"/>
  <c r="H17" i="2"/>
  <c r="I17" i="2" s="1"/>
  <c r="J85" i="4"/>
  <c r="H16" i="2"/>
  <c r="I16" i="2" s="1"/>
  <c r="I27" i="2" s="1"/>
  <c r="M85" i="4" l="1"/>
  <c r="M86" i="4" s="1"/>
  <c r="K85" i="4"/>
  <c r="K86" i="4" s="1"/>
  <c r="K78" i="4"/>
  <c r="K88" i="4" s="1"/>
  <c r="M78" i="4"/>
  <c r="M88" i="4" s="1"/>
  <c r="K19" i="25" s="1"/>
  <c r="K20" i="25" s="1"/>
  <c r="M57" i="5" s="1"/>
  <c r="M59" i="5" s="1"/>
  <c r="E13" i="3" s="1"/>
  <c r="E27" i="3" s="1"/>
  <c r="E31" i="3" s="1"/>
  <c r="E36" i="3" s="1"/>
  <c r="J19" i="25" l="1"/>
  <c r="J20" i="25" s="1"/>
  <c r="K57" i="5" s="1"/>
  <c r="K59" i="5" s="1"/>
  <c r="I13" i="2" s="1"/>
  <c r="I29" i="2" s="1"/>
  <c r="E177" i="26" s="1"/>
  <c r="E179" i="26" s="1"/>
  <c r="J88" i="4"/>
  <c r="E39" i="3"/>
  <c r="E38" i="3"/>
  <c r="E40" i="3"/>
  <c r="E37" i="3"/>
  <c r="E41" i="3"/>
  <c r="E42" i="3"/>
  <c r="T166" i="26" l="1"/>
  <c r="T110" i="26"/>
  <c r="T54" i="26"/>
  <c r="T14" i="26"/>
  <c r="T133" i="26"/>
  <c r="T153" i="26"/>
  <c r="T34" i="26"/>
  <c r="T59" i="26"/>
  <c r="T47" i="26"/>
  <c r="T52" i="26"/>
  <c r="T33" i="26"/>
  <c r="T154" i="26"/>
  <c r="T77" i="26"/>
  <c r="T140" i="26"/>
  <c r="T126" i="26"/>
  <c r="T49" i="26"/>
  <c r="T141" i="26"/>
  <c r="T73" i="26"/>
  <c r="T35" i="26"/>
  <c r="T26" i="26"/>
  <c r="T159" i="26"/>
  <c r="T65" i="26"/>
  <c r="T114" i="26"/>
  <c r="T98" i="26"/>
  <c r="T53" i="26"/>
  <c r="T123" i="26"/>
  <c r="T107" i="26"/>
  <c r="T143" i="26"/>
  <c r="T63" i="26"/>
  <c r="T22" i="26"/>
  <c r="T145" i="26"/>
  <c r="T83" i="26"/>
  <c r="T164" i="26"/>
  <c r="T74" i="26"/>
  <c r="T101" i="26"/>
  <c r="T169" i="26"/>
  <c r="T90" i="26"/>
  <c r="T152" i="26"/>
  <c r="T31" i="26"/>
  <c r="T69" i="26"/>
  <c r="T125" i="26"/>
  <c r="T127" i="26"/>
  <c r="T39" i="26"/>
  <c r="T93" i="26"/>
  <c r="T88" i="26"/>
  <c r="T94" i="26"/>
  <c r="T165" i="26"/>
  <c r="T130" i="26"/>
  <c r="T84" i="26"/>
  <c r="T135" i="26"/>
  <c r="T138" i="26"/>
  <c r="T64" i="26"/>
  <c r="T68" i="26"/>
  <c r="T70" i="26"/>
  <c r="T91" i="26"/>
  <c r="T148" i="26"/>
  <c r="T25" i="26"/>
  <c r="T149" i="26"/>
  <c r="T155" i="26"/>
  <c r="T79" i="26"/>
  <c r="T16" i="26"/>
  <c r="T89" i="26"/>
  <c r="T32" i="26"/>
  <c r="T23" i="26"/>
  <c r="T46" i="26"/>
  <c r="T48" i="26"/>
  <c r="T61" i="26"/>
  <c r="T38" i="26"/>
  <c r="T56" i="26"/>
  <c r="T29" i="26"/>
  <c r="T168" i="26"/>
  <c r="T146" i="26"/>
  <c r="T109" i="26"/>
  <c r="T132" i="26"/>
  <c r="T167" i="26"/>
  <c r="T86" i="26"/>
  <c r="T116" i="26"/>
  <c r="T15" i="26"/>
  <c r="T87" i="26"/>
  <c r="T120" i="26"/>
  <c r="T119" i="26"/>
  <c r="T144" i="26"/>
  <c r="T28" i="26"/>
  <c r="T157" i="26"/>
  <c r="T160" i="26"/>
  <c r="T62" i="26"/>
  <c r="T137" i="26"/>
  <c r="T21" i="26"/>
  <c r="T42" i="26"/>
  <c r="T150" i="26"/>
  <c r="T104" i="26"/>
  <c r="T75" i="26"/>
  <c r="T103" i="26"/>
  <c r="T50" i="26"/>
  <c r="T170" i="26"/>
  <c r="T105" i="26"/>
  <c r="T36" i="26"/>
  <c r="T95" i="26"/>
  <c r="T96" i="26"/>
  <c r="T122" i="26"/>
  <c r="T121" i="26"/>
  <c r="T44" i="26"/>
  <c r="T18" i="26"/>
  <c r="T20" i="26"/>
  <c r="T129" i="26"/>
  <c r="T45" i="26"/>
  <c r="T67" i="26"/>
  <c r="T156" i="26"/>
  <c r="T111" i="26"/>
  <c r="T66" i="26"/>
  <c r="T78" i="26"/>
  <c r="T41" i="26"/>
  <c r="T57" i="26"/>
  <c r="T115" i="26"/>
  <c r="T81" i="26"/>
  <c r="T147" i="26"/>
  <c r="T11" i="26"/>
  <c r="T102" i="26"/>
  <c r="T24" i="26"/>
  <c r="T100" i="26"/>
  <c r="T30" i="26"/>
  <c r="T43" i="26"/>
  <c r="T60" i="26"/>
  <c r="T76" i="26"/>
  <c r="T51" i="26"/>
  <c r="T124" i="26"/>
  <c r="T108" i="26"/>
  <c r="T118" i="26"/>
  <c r="T151" i="26"/>
  <c r="T17" i="26"/>
  <c r="T158" i="26"/>
  <c r="T161" i="26"/>
  <c r="T162" i="26"/>
  <c r="T117" i="26"/>
  <c r="T27" i="26"/>
  <c r="T106" i="26"/>
  <c r="T163" i="26"/>
  <c r="T58" i="26"/>
  <c r="T136" i="26"/>
  <c r="T97" i="26"/>
  <c r="T55" i="26"/>
  <c r="T92" i="26"/>
  <c r="T71" i="26"/>
  <c r="T12" i="26"/>
  <c r="T142" i="26"/>
  <c r="T80" i="26"/>
  <c r="T72" i="26"/>
  <c r="T37" i="26"/>
  <c r="T139" i="26"/>
  <c r="T131" i="26"/>
  <c r="T112" i="26"/>
  <c r="T85" i="26"/>
  <c r="T134" i="26"/>
  <c r="T19" i="26"/>
  <c r="T113" i="26"/>
  <c r="T40" i="26"/>
  <c r="T128" i="26"/>
  <c r="T99" i="26"/>
  <c r="T13" i="26"/>
  <c r="E182" i="26"/>
  <c r="T171" i="26" l="1"/>
  <c r="I30" i="2" s="1"/>
  <c r="I33" i="2" s="1"/>
  <c r="I38" i="2" s="1"/>
  <c r="I39" i="2" l="1"/>
  <c r="I40" i="2"/>
  <c r="I44" i="2"/>
  <c r="I42" i="2"/>
  <c r="I43" i="2"/>
  <c r="I41" i="2"/>
</calcChain>
</file>

<file path=xl/sharedStrings.xml><?xml version="1.0" encoding="utf-8"?>
<sst xmlns="http://schemas.openxmlformats.org/spreadsheetml/2006/main" count="4201" uniqueCount="2447">
  <si>
    <t xml:space="preserve"> </t>
  </si>
  <si>
    <t>Western Farmers Electric Cooperative, Inc.</t>
  </si>
  <si>
    <t>INDEX</t>
  </si>
  <si>
    <t>A</t>
  </si>
  <si>
    <t>B</t>
  </si>
  <si>
    <t>C</t>
  </si>
  <si>
    <t>Worksheet</t>
  </si>
  <si>
    <t>Description</t>
  </si>
  <si>
    <t>Summary of Total ATRR Revenue Requirement</t>
  </si>
  <si>
    <t>D</t>
  </si>
  <si>
    <t>E</t>
  </si>
  <si>
    <t>F</t>
  </si>
  <si>
    <t>G</t>
  </si>
  <si>
    <t>H</t>
  </si>
  <si>
    <t>I</t>
  </si>
  <si>
    <t>J</t>
  </si>
  <si>
    <t>Line No.</t>
  </si>
  <si>
    <t>Reference</t>
  </si>
  <si>
    <t>Total Company</t>
  </si>
  <si>
    <t>Adjustments</t>
  </si>
  <si>
    <t>Allocation Factor</t>
  </si>
  <si>
    <t>Allocation %</t>
  </si>
  <si>
    <t>Transmission ATRR</t>
  </si>
  <si>
    <t>A. Gross Revenue Requirement for Network Service</t>
  </si>
  <si>
    <t>Transmission Costs</t>
  </si>
  <si>
    <t>Revenue Credits-Operating</t>
  </si>
  <si>
    <t>Misc Svc Revenue</t>
  </si>
  <si>
    <t>Rent from Property</t>
  </si>
  <si>
    <t>Other Elect Rev-Production</t>
  </si>
  <si>
    <t>Direct Zero</t>
  </si>
  <si>
    <t>Other Elect Rev-Wheeling (NITS)</t>
  </si>
  <si>
    <t>Other Elect Rev-NM Coops A&amp;G</t>
  </si>
  <si>
    <t>Sch 1-NITS</t>
  </si>
  <si>
    <t>Sch 1-P2P</t>
  </si>
  <si>
    <t>Sch 7 &amp; 8 P2P</t>
  </si>
  <si>
    <t>Direct 100</t>
  </si>
  <si>
    <t>Renewable Energy Credits</t>
  </si>
  <si>
    <t>Subtotal</t>
  </si>
  <si>
    <t>SPP Upgrades</t>
  </si>
  <si>
    <t>Adjustments to SPP Regional Projects</t>
  </si>
  <si>
    <t>Reconciliation - Adjustment for Prior Year Corrections</t>
  </si>
  <si>
    <t>Sum</t>
  </si>
  <si>
    <t>Network Transmission Load (MW)</t>
  </si>
  <si>
    <t>B. Point-To-Point Service</t>
  </si>
  <si>
    <t>Annual Point-to-Point Cost ($/MW-Yr)</t>
  </si>
  <si>
    <t>Monthly Point-to-Point ($/MW-Mo)</t>
  </si>
  <si>
    <t>Weekly Point-to-Point ($/MW-Week)</t>
  </si>
  <si>
    <t>Daily On-Peak Point-to-Point ($/MW-Day)</t>
  </si>
  <si>
    <t>Daily Off-Peak Point-to-Point ($/MW-Day)</t>
  </si>
  <si>
    <t>Hourly On-Peak Point-to-Point ($/MWh)</t>
  </si>
  <si>
    <t>Hourly Off-Peak Point-to-Point ($/MWh)</t>
  </si>
  <si>
    <t>Page No.</t>
  </si>
  <si>
    <t>Amount</t>
  </si>
  <si>
    <t>A, Schedule 1: Annual Revenue Requirement</t>
  </si>
  <si>
    <t>Total</t>
  </si>
  <si>
    <t>Less: Revenue Credit for transmission service not included in the divisor</t>
  </si>
  <si>
    <t>Schedule 1 True-Up adjustments (if any)</t>
  </si>
  <si>
    <t>Net Schedule 1 Revenue Requirement for Zone</t>
  </si>
  <si>
    <t>B. Schedule 1 Rate Calculations</t>
  </si>
  <si>
    <t>Calculation of Rate Base</t>
  </si>
  <si>
    <t>K</t>
  </si>
  <si>
    <t>Beginning of Year</t>
  </si>
  <si>
    <t>End of Year</t>
  </si>
  <si>
    <t>Transmission</t>
  </si>
  <si>
    <t>Plant in Service</t>
  </si>
  <si>
    <t>301-303</t>
  </si>
  <si>
    <t>Intangible Plant</t>
  </si>
  <si>
    <t>Steam Production Plant</t>
  </si>
  <si>
    <t>Nuclear Production Plant</t>
  </si>
  <si>
    <t>Hydro Production Plant</t>
  </si>
  <si>
    <t>Other Production Plant</t>
  </si>
  <si>
    <t>Total Production Plant</t>
  </si>
  <si>
    <t>Land and Land Rights</t>
  </si>
  <si>
    <t>T-Tran Stations</t>
  </si>
  <si>
    <t>Structures and Improvements</t>
  </si>
  <si>
    <t>Station Equipment</t>
  </si>
  <si>
    <t>354-359</t>
  </si>
  <si>
    <t>Other Transmission Plant</t>
  </si>
  <si>
    <t>T-Tran Lines</t>
  </si>
  <si>
    <t>Transmission Plant</t>
  </si>
  <si>
    <t xml:space="preserve">Subtotal </t>
  </si>
  <si>
    <t>363-374</t>
  </si>
  <si>
    <t>Other Distribution Plant</t>
  </si>
  <si>
    <t>Total Distribution Plant</t>
  </si>
  <si>
    <t>380-386</t>
  </si>
  <si>
    <t>389-399.1</t>
  </si>
  <si>
    <t xml:space="preserve">Total General Plant </t>
  </si>
  <si>
    <t>Gross Electric Plant in Service</t>
  </si>
  <si>
    <t>Electric Plant Held For Future Use</t>
  </si>
  <si>
    <t>Completed Construction Not Classified</t>
  </si>
  <si>
    <t>T-Completed</t>
  </si>
  <si>
    <t>Acquisition Adjustment</t>
  </si>
  <si>
    <t>Construction Work in Progress</t>
  </si>
  <si>
    <t>Utility Plant</t>
  </si>
  <si>
    <t xml:space="preserve">Sum </t>
  </si>
  <si>
    <t>Accumulated Depreciation</t>
  </si>
  <si>
    <t xml:space="preserve">108.1 Depr Rsv of Steam Plant </t>
  </si>
  <si>
    <t>108.2 Depr Rsv of Nuclear Plant</t>
  </si>
  <si>
    <t>108.3 Depr Rsv of Hydraulic Plant</t>
  </si>
  <si>
    <t>108.4 Depr Rsv of Other Prod Plant</t>
  </si>
  <si>
    <t>Total Production Reserve</t>
  </si>
  <si>
    <t>108.5 Depreciation of Transmission Plant</t>
  </si>
  <si>
    <t>T-Tran Plant</t>
  </si>
  <si>
    <t>108.6 Depreciation of Distribution Plant</t>
  </si>
  <si>
    <t>108.7 Depreciation of General Plant</t>
  </si>
  <si>
    <t>108.8 Retirement Work in Progress</t>
  </si>
  <si>
    <t>111 Amort of Electric Plant in Service</t>
  </si>
  <si>
    <t>Total Accumulated Depreciation</t>
  </si>
  <si>
    <t>Total Net Plant in Service</t>
  </si>
  <si>
    <t>Net Intangible Plant</t>
  </si>
  <si>
    <t>Net Production Plant</t>
  </si>
  <si>
    <t>Net Transmission Plant</t>
  </si>
  <si>
    <t>Net Distribution Plant</t>
  </si>
  <si>
    <t>Net General Plant</t>
  </si>
  <si>
    <t>Plant Held for Future</t>
  </si>
  <si>
    <t>Net Completed Construction Not Classified</t>
  </si>
  <si>
    <t>CWIP</t>
  </si>
  <si>
    <t>Adjustments to Rate Base</t>
  </si>
  <si>
    <t>Working Capital</t>
  </si>
  <si>
    <t>Total Transmission O&amp;M Costs</t>
  </si>
  <si>
    <t>Billing Lag in Days</t>
  </si>
  <si>
    <t>Prepayments</t>
  </si>
  <si>
    <t>Materials and Supplies</t>
  </si>
  <si>
    <t>Rate Base</t>
  </si>
  <si>
    <t>O&amp;M, Depreciation, and Return Expenses</t>
  </si>
  <si>
    <t>Transmission Operation &amp; Maintenance Expenses</t>
  </si>
  <si>
    <t>Lines</t>
  </si>
  <si>
    <t>Stations</t>
  </si>
  <si>
    <t>575.1-.8</t>
  </si>
  <si>
    <t>576.1-.5</t>
  </si>
  <si>
    <t>Transmission O&amp;M</t>
  </si>
  <si>
    <t>901-905</t>
  </si>
  <si>
    <t>Customer Accounting</t>
  </si>
  <si>
    <t>907-910</t>
  </si>
  <si>
    <t>Customer Services &amp; Information</t>
  </si>
  <si>
    <t>911-916</t>
  </si>
  <si>
    <t>Sales</t>
  </si>
  <si>
    <t>Customer Related Expense</t>
  </si>
  <si>
    <t>Administrative &amp; General Expense</t>
  </si>
  <si>
    <t>920-931</t>
  </si>
  <si>
    <t>Admin and General Operations Expense</t>
  </si>
  <si>
    <t>SPP Commission and Regulatory Expenses</t>
  </si>
  <si>
    <t>Non-SPP Commission and Regulatory Expenses</t>
  </si>
  <si>
    <t>Maintenance Expense General Plant</t>
  </si>
  <si>
    <t>Total A&amp;G Expenses</t>
  </si>
  <si>
    <t>Subtotal O&amp;M</t>
  </si>
  <si>
    <t>Depreciation Expense</t>
  </si>
  <si>
    <t>Depreciation Expense-Production</t>
  </si>
  <si>
    <t>Depreciation Expense-Trans Substations</t>
  </si>
  <si>
    <t>Depreciation Expense-Tran Lines</t>
  </si>
  <si>
    <t>Depreciation Expense-Distribution</t>
  </si>
  <si>
    <t>Depreciation Expense-General</t>
  </si>
  <si>
    <t>Retirement Work in Process</t>
  </si>
  <si>
    <t>Amort of Intangible Plant</t>
  </si>
  <si>
    <t>Total Depreciation &amp; Amortization</t>
  </si>
  <si>
    <t>Return</t>
  </si>
  <si>
    <t>Revenue Requirement</t>
  </si>
  <si>
    <t>Line No</t>
  </si>
  <si>
    <t>Total Co EoY</t>
  </si>
  <si>
    <t>Cap Str Weight</t>
  </si>
  <si>
    <t>Interest, Margin or Annual Cost</t>
  </si>
  <si>
    <t>Cost of Capital</t>
  </si>
  <si>
    <t>Weighted Rate of Return</t>
  </si>
  <si>
    <t>Other Interest Expense</t>
  </si>
  <si>
    <t>Total Long Term Debt</t>
  </si>
  <si>
    <t>Notes Payable</t>
  </si>
  <si>
    <t>Total Margins and Equities</t>
  </si>
  <si>
    <t>Total Capitalization</t>
  </si>
  <si>
    <t>January</t>
  </si>
  <si>
    <t>February</t>
  </si>
  <si>
    <t>March</t>
  </si>
  <si>
    <t>April</t>
  </si>
  <si>
    <t>May</t>
  </si>
  <si>
    <t>June</t>
  </si>
  <si>
    <t>July</t>
  </si>
  <si>
    <t>August</t>
  </si>
  <si>
    <t>September</t>
  </si>
  <si>
    <t>October</t>
  </si>
  <si>
    <t>November</t>
  </si>
  <si>
    <t>December</t>
  </si>
  <si>
    <t>Allocation Factors</t>
  </si>
  <si>
    <t>Production Wages</t>
  </si>
  <si>
    <t>Transmission Wages &amp; Salaries</t>
  </si>
  <si>
    <t xml:space="preserve">Customer Accounting </t>
  </si>
  <si>
    <t>Customer Service</t>
  </si>
  <si>
    <t>Customer Sales</t>
  </si>
  <si>
    <t>Step Up Transformers</t>
  </si>
  <si>
    <t>Transmission Substations</t>
  </si>
  <si>
    <t>350-353 Transmission Stations</t>
  </si>
  <si>
    <t>Generator Leads</t>
  </si>
  <si>
    <t>Tran Lines-345 kV</t>
  </si>
  <si>
    <t>Tran Lines-138 kV</t>
  </si>
  <si>
    <t>Tran Lines- 69 kV</t>
  </si>
  <si>
    <t>Transmission Lines</t>
  </si>
  <si>
    <t>Calculated Weighted Average</t>
  </si>
  <si>
    <t>Transmission Qualifying Plant</t>
  </si>
  <si>
    <t>Fixed allocation</t>
  </si>
  <si>
    <t>General Input Section</t>
  </si>
  <si>
    <t>Account Number</t>
  </si>
  <si>
    <t>BoY</t>
  </si>
  <si>
    <t>EoY</t>
  </si>
  <si>
    <t>Value or Amount $</t>
  </si>
  <si>
    <t>Billing Lag in days</t>
  </si>
  <si>
    <t>Transmission Service Studies</t>
  </si>
  <si>
    <t>Generation Interconnection Studies</t>
  </si>
  <si>
    <t>Regional Planning &amp; Standards development</t>
  </si>
  <si>
    <t>Schedule 1-Adjustment</t>
  </si>
  <si>
    <t>Retirement</t>
  </si>
  <si>
    <t>Average</t>
  </si>
  <si>
    <t>Tran Subs Qualified Gross Plant</t>
  </si>
  <si>
    <t>Form-12 Input</t>
  </si>
  <si>
    <t>Electric Energy Revenues</t>
  </si>
  <si>
    <t>Form 12, Part A, Sect A, L01b</t>
  </si>
  <si>
    <t xml:space="preserve">Income From Leased Property </t>
  </si>
  <si>
    <t>Form 12, Part A, Sect A, L02b</t>
  </si>
  <si>
    <t>Other Operating Revenue &amp; Income</t>
  </si>
  <si>
    <t>Form 12, Part A, Sect A, L03b</t>
  </si>
  <si>
    <t>Total Operating Revenues &amp; Patronage Capital</t>
  </si>
  <si>
    <t>Part A.  Section A-Statement of Operations:</t>
  </si>
  <si>
    <t>Operating Expense</t>
  </si>
  <si>
    <t>Op Exp-Production excluding fuel</t>
  </si>
  <si>
    <t>Form 12, Part A, Sect A, L05b</t>
  </si>
  <si>
    <t>Op Exp-Production fuel</t>
  </si>
  <si>
    <t>Form 12, Part A, Sect A, L06b</t>
  </si>
  <si>
    <t>Op Exp-Other Power Supply</t>
  </si>
  <si>
    <t>Form 12, Part A, Sect A, L07b</t>
  </si>
  <si>
    <t>Op Exp-Transmission</t>
  </si>
  <si>
    <t>Form 12, Part A, Sect A, L08b</t>
  </si>
  <si>
    <t>Op Exp-RTO/ISO</t>
  </si>
  <si>
    <t>Form 12, Part A, Sect A, L09b</t>
  </si>
  <si>
    <t>Op Exp-Distribution</t>
  </si>
  <si>
    <t>Form 12, Part A, Sect A, L10b</t>
  </si>
  <si>
    <t>Op Exp-Consumer Accounts</t>
  </si>
  <si>
    <t>Form 12, Part A, Sect A, L11b</t>
  </si>
  <si>
    <t>Op Exp-Customer Service</t>
  </si>
  <si>
    <t>Form 12, Part A, Sect A, L12b</t>
  </si>
  <si>
    <t>Op Exp-Sales</t>
  </si>
  <si>
    <t>Form 12, Part A, Sect A, L13b</t>
  </si>
  <si>
    <t>Op Exp-Admin and General</t>
  </si>
  <si>
    <t>Form 12, Part A, Sect A, L14b</t>
  </si>
  <si>
    <t>Total Operation Expense</t>
  </si>
  <si>
    <t>Maintenance Expense</t>
  </si>
  <si>
    <t>Maint Exp-Production</t>
  </si>
  <si>
    <t>Form 12, Part A, Sect A, L16b</t>
  </si>
  <si>
    <t>Maint Exp-Transmission</t>
  </si>
  <si>
    <t>Form 12, Part A, Sect A, L17b</t>
  </si>
  <si>
    <t>Maint Exp-RTO/ISO</t>
  </si>
  <si>
    <t>Form 12, Part A, Sect A, L18b</t>
  </si>
  <si>
    <t>Maint Exp-Distribution</t>
  </si>
  <si>
    <t>Form 12, Part A, Sect A, L19b</t>
  </si>
  <si>
    <t>Maint Exp-General Plant</t>
  </si>
  <si>
    <t>Form 12, Part A, Sect A, L20b</t>
  </si>
  <si>
    <t>Total Maintenance Expense</t>
  </si>
  <si>
    <t>Interest, Taxes and Other Deductions</t>
  </si>
  <si>
    <t>Depreciation &amp; Amortization Expense</t>
  </si>
  <si>
    <t>Form 12, Part A, Sect A, L22b</t>
  </si>
  <si>
    <t>Taxes</t>
  </si>
  <si>
    <t>Form 12, Part A, Sect A, L23b</t>
  </si>
  <si>
    <t>Interest on Long Term Debt</t>
  </si>
  <si>
    <t>Form 12, Part A, Sect A, L24b</t>
  </si>
  <si>
    <t>Interest Charged to Construction - Credit</t>
  </si>
  <si>
    <t>Form 12, Part A, Sect A, L25b</t>
  </si>
  <si>
    <t>Form 12, Part A, Sect A, L26b</t>
  </si>
  <si>
    <t>Asset Retirement Obligations</t>
  </si>
  <si>
    <t>Form 12, Part A, Sect A, L27b</t>
  </si>
  <si>
    <t>Other Deductions</t>
  </si>
  <si>
    <t>Form 12, Part A, Sect A, L28b</t>
  </si>
  <si>
    <t>Total Cost of Electric Service</t>
  </si>
  <si>
    <t>Operating Margins</t>
  </si>
  <si>
    <t>Calculated</t>
  </si>
  <si>
    <t>Interest Income</t>
  </si>
  <si>
    <t>Form 12, Part A, Sect A, L31b</t>
  </si>
  <si>
    <t>Allowance For Funds Used During Construction</t>
  </si>
  <si>
    <t>Form 12, Part A, Sect A, L32b</t>
  </si>
  <si>
    <t>Income (Loss) from Equity Investments</t>
  </si>
  <si>
    <t>Form 12, Part A, Sect A, L33b</t>
  </si>
  <si>
    <t>Other Non-operating Income (Net)</t>
  </si>
  <si>
    <t>Form 12, Part A, Sect A, L34b</t>
  </si>
  <si>
    <t>Generations &amp; Transmission Capital Credits</t>
  </si>
  <si>
    <t>Form 12, Part A, Sect A, L35b</t>
  </si>
  <si>
    <t>Other Capital Credits and Patronage Dividends</t>
  </si>
  <si>
    <t>Extraordinary Items</t>
  </si>
  <si>
    <t>Form 12, Part A, Sect A, L36b</t>
  </si>
  <si>
    <t>Net Patronage Capital or Margins</t>
  </si>
  <si>
    <t>Part A. Section B-Balance Sheet</t>
  </si>
  <si>
    <t>Assets</t>
  </si>
  <si>
    <t>Form 12, Part A, Section B, Line 2</t>
  </si>
  <si>
    <t>Notes Receivable (Net)</t>
  </si>
  <si>
    <t>Form 12, Part A, Section B, Line 19</t>
  </si>
  <si>
    <r>
      <t xml:space="preserve">Prepayments </t>
    </r>
    <r>
      <rPr>
        <i/>
        <sz val="11"/>
        <rFont val="Arial"/>
        <family val="2"/>
      </rPr>
      <t>(Acct 165)</t>
    </r>
  </si>
  <si>
    <t>Form 12, Part A, Section B, Line 25</t>
  </si>
  <si>
    <t>Other Current and Accrued Assets</t>
  </si>
  <si>
    <t>Form 12, Part A, Section B, Line 26</t>
  </si>
  <si>
    <r>
      <t xml:space="preserve">Accumulated Deferred Income Taxes </t>
    </r>
    <r>
      <rPr>
        <i/>
        <sz val="11"/>
        <rFont val="Arial"/>
        <family val="2"/>
      </rPr>
      <t>(Acct 190)</t>
    </r>
  </si>
  <si>
    <t>Form 12, Part A, Section B, Line 31</t>
  </si>
  <si>
    <t>Liabilities</t>
  </si>
  <si>
    <t>Patronage Capital - Net</t>
  </si>
  <si>
    <t>Total Margins &amp; Equities</t>
  </si>
  <si>
    <t>Form 12, Part A, Section B, Line 39</t>
  </si>
  <si>
    <t>Form 12, Part A, Sect B, L46</t>
  </si>
  <si>
    <t>Obligations Under Capital Leases - Non Current</t>
  </si>
  <si>
    <t>Form 12, Part A, Sect B, L47</t>
  </si>
  <si>
    <t>Form 12, Part A, Sect B, L50</t>
  </si>
  <si>
    <t>Current Maturities Long Term Debt</t>
  </si>
  <si>
    <t>Current Maturities Long Term Debt - Rural Dev.</t>
  </si>
  <si>
    <r>
      <t xml:space="preserve">Accumulated Deferred Income Taxes </t>
    </r>
    <r>
      <rPr>
        <i/>
        <sz val="11"/>
        <rFont val="Arial"/>
        <family val="2"/>
      </rPr>
      <t>(Acct 283)</t>
    </r>
  </si>
  <si>
    <t>Part H. Section A-Utility Plant</t>
  </si>
  <si>
    <t>Form 12, Suppl, Part H, Section A, Line 1</t>
  </si>
  <si>
    <t>Steam Plant</t>
  </si>
  <si>
    <t>Form 12, Suppl, Part H, Section A, Line 2</t>
  </si>
  <si>
    <t>Nuclear Plant</t>
  </si>
  <si>
    <t>Form 12, Suppl, Part H, Section A, Line 3</t>
  </si>
  <si>
    <t>Hydro Plant</t>
  </si>
  <si>
    <t>Form 12, Suppl, Part H, Section A, Line 4</t>
  </si>
  <si>
    <t>Other Prod Plant</t>
  </si>
  <si>
    <t>Form 12, Suppl, Part H, Section A, Line 5</t>
  </si>
  <si>
    <t>Land &amp; Land Rights</t>
  </si>
  <si>
    <t>Form 12, Suppl, Part H, Section A, Line 7</t>
  </si>
  <si>
    <t>Form 12, Suppl, Part H, Section A, Line 8</t>
  </si>
  <si>
    <t>Form 12, Suppl, Part H, Section A, Line 9</t>
  </si>
  <si>
    <t>354-359.1</t>
  </si>
  <si>
    <t>Form 12, Suppl, Part H, Section A, Line 10</t>
  </si>
  <si>
    <t>Total Transmission Plant</t>
  </si>
  <si>
    <t>Form 12, Suppl, Part H, Section A, Line 12</t>
  </si>
  <si>
    <t>Form 12, Suppl, Part H, Section A, Line 13</t>
  </si>
  <si>
    <t>Form 12, Suppl, Part H, Section A, Line 14</t>
  </si>
  <si>
    <t>Form 12, Suppl, Part H, Section A, Line 15</t>
  </si>
  <si>
    <t>Distb</t>
  </si>
  <si>
    <t>General</t>
  </si>
  <si>
    <t>RTO/ISO Plant</t>
  </si>
  <si>
    <t>Form 12, Suppl, Part H, Section A, Line 17</t>
  </si>
  <si>
    <t>Form 12, Suppl, Part H, Section A, Line 18</t>
  </si>
  <si>
    <t>Electric Plant In Service</t>
  </si>
  <si>
    <t>Electric Plant Purchased or Sold</t>
  </si>
  <si>
    <t>Electric Plant Leased to Others</t>
  </si>
  <si>
    <t>Form 12, Suppl, Part H, Section A, Line 22</t>
  </si>
  <si>
    <t>Form 12, Suppl, Part H, Section A, Line 23</t>
  </si>
  <si>
    <t>Form 12, Suppl, Part H, Section A, Line 24</t>
  </si>
  <si>
    <t>Other Utility Plant</t>
  </si>
  <si>
    <t>Nuclear Fuel Assemblies</t>
  </si>
  <si>
    <t>Construction Work in Progress (CWIP)</t>
  </si>
  <si>
    <t>Form 12, Suppl, Part H, Section A, Line 28</t>
  </si>
  <si>
    <t>Total Utility Plant</t>
  </si>
  <si>
    <t>Part H. Section B-Depreciation and Amortization Reserves</t>
  </si>
  <si>
    <t xml:space="preserve">Depr Rsv of Steam Plant </t>
  </si>
  <si>
    <t xml:space="preserve">Form 12, Suppl, Part H, Section B, Line 1 </t>
  </si>
  <si>
    <t>Depr Rsv of Nuclear Plant</t>
  </si>
  <si>
    <t>Depr Rsv of Hydraulic Plant</t>
  </si>
  <si>
    <t>Depr Rsv of Other Prod Plant</t>
  </si>
  <si>
    <t>Form 12, Suppl, Part H, Section B, Line 4</t>
  </si>
  <si>
    <t>Depreciation of Transmission Plant</t>
  </si>
  <si>
    <t>Form 12, Suppl, Part H, Section B, Line 5</t>
  </si>
  <si>
    <t>Depreciation of Distribution Plant</t>
  </si>
  <si>
    <t>Form 12, Suppl, Part H, Section B, Line 6</t>
  </si>
  <si>
    <t>Depreciation of General Plant</t>
  </si>
  <si>
    <t>Form 12, Suppl, Part H, Section B, Line 7</t>
  </si>
  <si>
    <t>Retirement Work in Progress</t>
  </si>
  <si>
    <t>Form 12, Suppl, Part H, Section B, Line 8</t>
  </si>
  <si>
    <t>Amort of Electric Plant in Service</t>
  </si>
  <si>
    <t>Form 12, Suppl, Part H, Section B, Line 12</t>
  </si>
  <si>
    <t>Amort of Acquisition Adj</t>
  </si>
  <si>
    <t>Form 12, Suppl, Part H, Section B, Line 15</t>
  </si>
  <si>
    <t>Total Depr Reserves for Elect Plant</t>
  </si>
  <si>
    <t>Part H. Section G-Materials and Supplies Inventory</t>
  </si>
  <si>
    <t>M&amp;S Coal</t>
  </si>
  <si>
    <t>Form-12, Part H, Section G, Line 1</t>
  </si>
  <si>
    <t>M&amp;S Other Fuel</t>
  </si>
  <si>
    <t>Form-12, Part H, Section G, Line 2</t>
  </si>
  <si>
    <t>M&amp;S Production Plant Parts</t>
  </si>
  <si>
    <t>Form-12, Part H, Section G, Line 3</t>
  </si>
  <si>
    <t>M&amp;S Station Transformers &amp; Equipment</t>
  </si>
  <si>
    <t>Form-12, Part H, Section G, Line 4</t>
  </si>
  <si>
    <t>M&amp;S Line Materials &amp; Supplies</t>
  </si>
  <si>
    <t>Form-12, Part H, Section G, Line 5</t>
  </si>
  <si>
    <t>M&amp;S Other</t>
  </si>
  <si>
    <t>Form-12, Part H, Section G, Line 6</t>
  </si>
  <si>
    <t>Part H. Section H-Long Term Debt and Debt Service Requirements</t>
  </si>
  <si>
    <t>RUS Debt Service Billed</t>
  </si>
  <si>
    <t>Principal Payments on Debt</t>
  </si>
  <si>
    <t>Section A. Expenses and Costs</t>
  </si>
  <si>
    <t>Item</t>
  </si>
  <si>
    <t>Account Name</t>
  </si>
  <si>
    <t>Lines (a)</t>
  </si>
  <si>
    <t>Stations (b)</t>
  </si>
  <si>
    <t>Transmissions Operations</t>
  </si>
  <si>
    <t>Supervision and Engineering</t>
  </si>
  <si>
    <t>Load Dispatching</t>
  </si>
  <si>
    <t>Station Expenses</t>
  </si>
  <si>
    <t>Overhead Line Expenses</t>
  </si>
  <si>
    <t>Underground Line Expenses</t>
  </si>
  <si>
    <t>Miscellaneous Expenses</t>
  </si>
  <si>
    <t>Subtotal (1 thru 6)</t>
  </si>
  <si>
    <t>Transmission of Electricity by others</t>
  </si>
  <si>
    <t>Rents</t>
  </si>
  <si>
    <t>Total Transmission Operations (7 thru 9)</t>
  </si>
  <si>
    <t>Transmission Maintenance</t>
  </si>
  <si>
    <t>Structures</t>
  </si>
  <si>
    <t>Overhead Lines</t>
  </si>
  <si>
    <t>Underground Lines</t>
  </si>
  <si>
    <t>Miscellaneous Transmission Plant</t>
  </si>
  <si>
    <t>Total Transmission Maintenance (11 thru 16)</t>
  </si>
  <si>
    <t>Total Transmission Expense (10+17)</t>
  </si>
  <si>
    <t>RTO/ISO Expense - Operation</t>
  </si>
  <si>
    <t>575.1-575.8</t>
  </si>
  <si>
    <t xml:space="preserve">RTO/ISO Expense - Maintenance </t>
  </si>
  <si>
    <t>576.1-576.5</t>
  </si>
  <si>
    <t>Total RTO/ISO Expense (19+20)</t>
  </si>
  <si>
    <t>Distribution Expense - Operation</t>
  </si>
  <si>
    <t>580-589</t>
  </si>
  <si>
    <t>Distribution Expense - Maintenance</t>
  </si>
  <si>
    <t>590-598</t>
  </si>
  <si>
    <t>Total Distribution Expense (22+23)</t>
  </si>
  <si>
    <t>Total Operation and Maintenance (18+21+24)</t>
  </si>
  <si>
    <t>Fixed Costs</t>
  </si>
  <si>
    <t xml:space="preserve">Depreciation - Transmission </t>
  </si>
  <si>
    <t>Depreciation - Distribution</t>
  </si>
  <si>
    <t xml:space="preserve">Interest - Transmission </t>
  </si>
  <si>
    <t>Interest - Distribution</t>
  </si>
  <si>
    <t>Total Transmission (18+26+28)</t>
  </si>
  <si>
    <t>Total Distribution (24+27+29)</t>
  </si>
  <si>
    <t>Total Lines and Stations (21+30+31)</t>
  </si>
  <si>
    <t>Worksheet H</t>
  </si>
  <si>
    <t>L</t>
  </si>
  <si>
    <t>M</t>
  </si>
  <si>
    <t>N</t>
  </si>
  <si>
    <t>O</t>
  </si>
  <si>
    <t>General Plant</t>
  </si>
  <si>
    <t>Line</t>
  </si>
  <si>
    <t>Net Plant</t>
  </si>
  <si>
    <t>ATRR</t>
  </si>
  <si>
    <t>Worksheet I</t>
  </si>
  <si>
    <t>Reconciliation Items, Refunds and Surcharges</t>
  </si>
  <si>
    <t>ADJUSTMENTS TO GROSS ATRR DUE TO ERROR CORRECTIONS RESULTING IN REFUNDS OR SURCHARGES:</t>
  </si>
  <si>
    <t>ERROR IDENTIFICATION</t>
  </si>
  <si>
    <t>Formula Reference</t>
  </si>
  <si>
    <t>Incorrect Amount</t>
  </si>
  <si>
    <t>Correct Amount</t>
  </si>
  <si>
    <t>Difference (Cred)/ Chg</t>
  </si>
  <si>
    <t>Impact on ATRR (Cred)/Chg</t>
  </si>
  <si>
    <t>Total Adjustment to ATRR</t>
  </si>
  <si>
    <t>Total Adjustment to Gross ATRR:</t>
  </si>
  <si>
    <t>ADJUSTMENTS TO SPP REGIONAL PROJECTS' ATRR DUE TO ERROR CORRECTIONS RESULTING IN REFUNDS OR SURCHARGES:</t>
  </si>
  <si>
    <t>12</t>
  </si>
  <si>
    <t>Total Adjustment to SPP Regional Projects' ATRR:</t>
  </si>
  <si>
    <t>Notes:</t>
  </si>
  <si>
    <t>Depreciation Rates</t>
  </si>
  <si>
    <t>Account</t>
  </si>
  <si>
    <t>Group</t>
  </si>
  <si>
    <t>Code</t>
  </si>
  <si>
    <t>Unit</t>
  </si>
  <si>
    <t>Asset ID</t>
  </si>
  <si>
    <t>Percent</t>
  </si>
  <si>
    <t>Electric Plant Acquisition Adjustments</t>
  </si>
  <si>
    <t>WFECO</t>
  </si>
  <si>
    <t>WFECO11400</t>
  </si>
  <si>
    <t>WFECO11401</t>
  </si>
  <si>
    <t>WFECO11402</t>
  </si>
  <si>
    <t>WFECO11403</t>
  </si>
  <si>
    <t>WFECO11404</t>
  </si>
  <si>
    <t>WFECO11405</t>
  </si>
  <si>
    <t>WFECO11406</t>
  </si>
  <si>
    <t>WFECO11407</t>
  </si>
  <si>
    <t>Miscellaneous Intangible Plant</t>
  </si>
  <si>
    <t>WFECO30300</t>
  </si>
  <si>
    <t>WFECO30301</t>
  </si>
  <si>
    <t>WFECO30302</t>
  </si>
  <si>
    <t>SPA Pole Yard</t>
  </si>
  <si>
    <t>WFECO35204</t>
  </si>
  <si>
    <t>WFECO35300</t>
  </si>
  <si>
    <t>SCADA</t>
  </si>
  <si>
    <t>WFECO35302</t>
  </si>
  <si>
    <t>Moorland Tran</t>
  </si>
  <si>
    <t>WFECO35310</t>
  </si>
  <si>
    <t>Moorland Gen</t>
  </si>
  <si>
    <t>WFECO35312</t>
  </si>
  <si>
    <t>Combined Cycle Tran</t>
  </si>
  <si>
    <t>WFECO35330</t>
  </si>
  <si>
    <t>Combined Cycle Gen</t>
  </si>
  <si>
    <t>WFECO35332</t>
  </si>
  <si>
    <t>Anadarko Stm Tran</t>
  </si>
  <si>
    <t>WFECO35335</t>
  </si>
  <si>
    <t>Anadarko Stm Gen</t>
  </si>
  <si>
    <t>WFECO35337</t>
  </si>
  <si>
    <t>Hugo Gen</t>
  </si>
  <si>
    <t>WFECO3534G</t>
  </si>
  <si>
    <t>Hugo Retired</t>
  </si>
  <si>
    <t>WFECO3534R</t>
  </si>
  <si>
    <t>Hugo Non Lease</t>
  </si>
  <si>
    <t>WFECO35348</t>
  </si>
  <si>
    <t>Hugo SH</t>
  </si>
  <si>
    <t>WFECO35349</t>
  </si>
  <si>
    <t>Towers and Fixtures</t>
  </si>
  <si>
    <t>WFECO35400</t>
  </si>
  <si>
    <t xml:space="preserve"> 69 KV</t>
  </si>
  <si>
    <t>WFECO35410</t>
  </si>
  <si>
    <t>WFECO35449</t>
  </si>
  <si>
    <t>Poles and Fixtures</t>
  </si>
  <si>
    <t>WFECO35500</t>
  </si>
  <si>
    <t>WFECO35530</t>
  </si>
  <si>
    <t>345 KV Tenaska Line</t>
  </si>
  <si>
    <t>WFECO35545</t>
  </si>
  <si>
    <t>Overhead Conductors and Devices</t>
  </si>
  <si>
    <t>WFECO35600</t>
  </si>
  <si>
    <t>138 KV</t>
  </si>
  <si>
    <t>WFECO35630</t>
  </si>
  <si>
    <t>WFECO35649</t>
  </si>
  <si>
    <t>Distribution Plant</t>
  </si>
  <si>
    <t>WFECO36200</t>
  </si>
  <si>
    <t>WFECO36202</t>
  </si>
  <si>
    <t>WFECO36210</t>
  </si>
  <si>
    <t>WFECO36220</t>
  </si>
  <si>
    <t>Poles Towers and Fixtures</t>
  </si>
  <si>
    <t>WFECO36400</t>
  </si>
  <si>
    <t>WFECO36500</t>
  </si>
  <si>
    <t>WFECO39000</t>
  </si>
  <si>
    <t>WFECO39010</t>
  </si>
  <si>
    <t>WFECO39020</t>
  </si>
  <si>
    <t>WFECO39030</t>
  </si>
  <si>
    <t>WFECO39040</t>
  </si>
  <si>
    <t>WFECO39050</t>
  </si>
  <si>
    <t>WFECO39060</t>
  </si>
  <si>
    <t>WFECO39070</t>
  </si>
  <si>
    <t>WFECO39080</t>
  </si>
  <si>
    <t>Office Furniture and Equipment</t>
  </si>
  <si>
    <t>WFECO39100</t>
  </si>
  <si>
    <t>WFECO39105</t>
  </si>
  <si>
    <t>WFECO39106</t>
  </si>
  <si>
    <t>WFECO39110</t>
  </si>
  <si>
    <t>WFECO39120</t>
  </si>
  <si>
    <t>WFECO39122</t>
  </si>
  <si>
    <t>WFECO39123</t>
  </si>
  <si>
    <t>WFECO39125</t>
  </si>
  <si>
    <t>WFECO39130</t>
  </si>
  <si>
    <t>WFECO39140</t>
  </si>
  <si>
    <t>WFECO39141</t>
  </si>
  <si>
    <t>WFECO39149</t>
  </si>
  <si>
    <t>Transportation Equipment</t>
  </si>
  <si>
    <t>WFECO3924R</t>
  </si>
  <si>
    <t>WFECO39248</t>
  </si>
  <si>
    <t>WFECO39249</t>
  </si>
  <si>
    <t>Stores Equipment</t>
  </si>
  <si>
    <t>WFECO39300</t>
  </si>
  <si>
    <t>WFECO39310</t>
  </si>
  <si>
    <t>WFECO39320</t>
  </si>
  <si>
    <t>Tools, Shop and Garage Equipment</t>
  </si>
  <si>
    <t>WFECO39400</t>
  </si>
  <si>
    <t>WFECO39410</t>
  </si>
  <si>
    <t>WFECO39420</t>
  </si>
  <si>
    <t>WFECO39430</t>
  </si>
  <si>
    <t>WFECO39448</t>
  </si>
  <si>
    <t>WFECO39449</t>
  </si>
  <si>
    <t>Laboratory Equipment</t>
  </si>
  <si>
    <t>WFECO39500</t>
  </si>
  <si>
    <t>WFECO39502</t>
  </si>
  <si>
    <t>WFECO39510</t>
  </si>
  <si>
    <t>WFECO39550</t>
  </si>
  <si>
    <t>WFECO39560</t>
  </si>
  <si>
    <t>WFECO39570</t>
  </si>
  <si>
    <t>Power Operated Equipment</t>
  </si>
  <si>
    <t>WFECO39600</t>
  </si>
  <si>
    <t>WFECO39610</t>
  </si>
  <si>
    <t>WFECO39620</t>
  </si>
  <si>
    <t>Communication Equipment</t>
  </si>
  <si>
    <t>WFECO39700</t>
  </si>
  <si>
    <t>WFECO39701</t>
  </si>
  <si>
    <t>WFECO39702</t>
  </si>
  <si>
    <t>WFECO39703</t>
  </si>
  <si>
    <t>WFECO39704</t>
  </si>
  <si>
    <t>WFECO39705</t>
  </si>
  <si>
    <t>WFECO39706</t>
  </si>
  <si>
    <t>WFECO39710</t>
  </si>
  <si>
    <t>WFECO39749</t>
  </si>
  <si>
    <t>Miscellaneous Equipment</t>
  </si>
  <si>
    <t>WFECO39800</t>
  </si>
  <si>
    <t>Wage Input &amp; Functionalization</t>
  </si>
  <si>
    <t>Account Description</t>
  </si>
  <si>
    <t>Actual</t>
  </si>
  <si>
    <t>Account Major</t>
  </si>
  <si>
    <t>Account Minor</t>
  </si>
  <si>
    <t>Production</t>
  </si>
  <si>
    <t>Trans</t>
  </si>
  <si>
    <t>Cust-Acct</t>
  </si>
  <si>
    <t>Cust-Svc</t>
  </si>
  <si>
    <t>Cust-Sales</t>
  </si>
  <si>
    <t>Admin &amp; Gen</t>
  </si>
  <si>
    <t>Regular Straight Time</t>
  </si>
  <si>
    <t>50001</t>
  </si>
  <si>
    <t>Oper,Supv // WfecPr Reg</t>
  </si>
  <si>
    <t>5010101</t>
  </si>
  <si>
    <t>Fuel // WfecPr Reg/Gas-Direct</t>
  </si>
  <si>
    <t>5010104</t>
  </si>
  <si>
    <t>Fuel // WfecPr Reg/Coal</t>
  </si>
  <si>
    <t>50201</t>
  </si>
  <si>
    <t>Steam Exp // WfecPr Reg</t>
  </si>
  <si>
    <t>50501</t>
  </si>
  <si>
    <t>Elect Exp // WfecPr Reg</t>
  </si>
  <si>
    <t>50601</t>
  </si>
  <si>
    <t>Misc Steam // WfecPr Reg</t>
  </si>
  <si>
    <t>5060145</t>
  </si>
  <si>
    <t>Misc Steam // WfecPr Reg/NERC</t>
  </si>
  <si>
    <t>51001</t>
  </si>
  <si>
    <t>Maint,S&amp;E // WfecPr Reg</t>
  </si>
  <si>
    <t>51101</t>
  </si>
  <si>
    <t>Maint,Stru // WfecPr Reg</t>
  </si>
  <si>
    <t>51201</t>
  </si>
  <si>
    <t>Maint,Blr // WfecPr Reg</t>
  </si>
  <si>
    <t>51301</t>
  </si>
  <si>
    <t>Maint,El // WfecPr Reg</t>
  </si>
  <si>
    <t>5130101</t>
  </si>
  <si>
    <t>Maint,El // WfecPr Reg/Environ</t>
  </si>
  <si>
    <t>51401</t>
  </si>
  <si>
    <t>Mt,Misc St // WfecPr Reg</t>
  </si>
  <si>
    <t>54601</t>
  </si>
  <si>
    <t>Ops // WfecPr Reg</t>
  </si>
  <si>
    <t>5470101</t>
  </si>
  <si>
    <t>Fuel-Gas // WfecPr Reg/Gas Dir</t>
  </si>
  <si>
    <t>54801</t>
  </si>
  <si>
    <t>Gen Exp // WfecPr Reg</t>
  </si>
  <si>
    <t>54901</t>
  </si>
  <si>
    <t>MiscGenExp // WfecPr Reg</t>
  </si>
  <si>
    <t>5490145</t>
  </si>
  <si>
    <t>MiscGenExp//WfecPr Reg/NERC</t>
  </si>
  <si>
    <t>55101</t>
  </si>
  <si>
    <t>Maintnance // WfecPr Reg</t>
  </si>
  <si>
    <t>55201</t>
  </si>
  <si>
    <t>Mt,Structr // WfecPr Reg</t>
  </si>
  <si>
    <t>55301</t>
  </si>
  <si>
    <t>Maint, Gen // WfecPr Reg</t>
  </si>
  <si>
    <t>55401</t>
  </si>
  <si>
    <t>Mt,MiscO P // WfecPr Reg</t>
  </si>
  <si>
    <t>5560101</t>
  </si>
  <si>
    <t>SysCntrl // WfecPr Reg/Ops</t>
  </si>
  <si>
    <t>5560103</t>
  </si>
  <si>
    <t>SysCntrl // WfecPr Reg/Support</t>
  </si>
  <si>
    <t>56001</t>
  </si>
  <si>
    <t>Op-Sup-Eng // WfecPr Reg</t>
  </si>
  <si>
    <t>56101</t>
  </si>
  <si>
    <t>Load Disp // WfecPr Reg</t>
  </si>
  <si>
    <t>5610101</t>
  </si>
  <si>
    <t>Load Disp // WfecPr Reg/Ops</t>
  </si>
  <si>
    <t>5610103</t>
  </si>
  <si>
    <t>Load Disp // WfecPr Reg/Supprt</t>
  </si>
  <si>
    <t>5610104</t>
  </si>
  <si>
    <t>Load Disp//WfecPr Reg/RTO ASE</t>
  </si>
  <si>
    <t>5610145</t>
  </si>
  <si>
    <t>Load Disp // WfecPr Reg/NERC</t>
  </si>
  <si>
    <t>56201</t>
  </si>
  <si>
    <t>Sta Exp // WfecPr Reg</t>
  </si>
  <si>
    <t>5620101</t>
  </si>
  <si>
    <t>Sta Exp // WfecPr Reg/69kv&amp;Up</t>
  </si>
  <si>
    <t>5620107</t>
  </si>
  <si>
    <t>Sta Exp // WfecPr Reg / MW</t>
  </si>
  <si>
    <t>56301</t>
  </si>
  <si>
    <t>Ovhd Line // WfecPr Reg</t>
  </si>
  <si>
    <t>56601</t>
  </si>
  <si>
    <t>MiscTR Exp // WfecPr Reg</t>
  </si>
  <si>
    <t>5660101</t>
  </si>
  <si>
    <t>MiscTR Exp//WfecPR Reg/Ec Dev</t>
  </si>
  <si>
    <t>5660145</t>
  </si>
  <si>
    <t>MiscTR Exp // WfecPr Reg/NERC</t>
  </si>
  <si>
    <t>57001</t>
  </si>
  <si>
    <t>Maint, Sta // WfecPr Reg</t>
  </si>
  <si>
    <t>57101</t>
  </si>
  <si>
    <t>Maint, OH // WfecPr Reg</t>
  </si>
  <si>
    <t>5710101</t>
  </si>
  <si>
    <t>Maint OH//WfecPr Reg/Herb App</t>
  </si>
  <si>
    <t>5710102</t>
  </si>
  <si>
    <t>Maint OH // WfecPr Reg / Veg</t>
  </si>
  <si>
    <t>57301</t>
  </si>
  <si>
    <t>Mt,MiscTR // WfecPr Reg</t>
  </si>
  <si>
    <t>58001</t>
  </si>
  <si>
    <t>O, S &amp; Eng // WfecPr Reg</t>
  </si>
  <si>
    <t>58201</t>
  </si>
  <si>
    <t>Statn  Exp // WfecPr Reg</t>
  </si>
  <si>
    <t>5820101</t>
  </si>
  <si>
    <t>Statn Exp // WfecPr Reg/MbrCps</t>
  </si>
  <si>
    <t>5820145</t>
  </si>
  <si>
    <t>Statn Exp // WfecPr Reg/NERC</t>
  </si>
  <si>
    <t>58601</t>
  </si>
  <si>
    <t>Meter Exp // WfecPr Reg</t>
  </si>
  <si>
    <t>58801</t>
  </si>
  <si>
    <t>MiscDst // WfecPr Reg</t>
  </si>
  <si>
    <t>59201</t>
  </si>
  <si>
    <t>Mt,StaEqmt // WfecPr Reg</t>
  </si>
  <si>
    <t>5920103</t>
  </si>
  <si>
    <t>Mt,StaEqmt // WfecPrReg/SubAut</t>
  </si>
  <si>
    <t>59701</t>
  </si>
  <si>
    <t>Maint,Metr // WfecPr Reg</t>
  </si>
  <si>
    <t>59801</t>
  </si>
  <si>
    <t>Maint,Misc // WfecPr Reg</t>
  </si>
  <si>
    <t>90201</t>
  </si>
  <si>
    <t>Meter Rdng // WfecPr Reg</t>
  </si>
  <si>
    <t>90301</t>
  </si>
  <si>
    <t>CstBilling // WfecPr Reg</t>
  </si>
  <si>
    <t>91201</t>
  </si>
  <si>
    <t>Demo,Sell // WfecPr Reg</t>
  </si>
  <si>
    <t>92001</t>
  </si>
  <si>
    <t>Admin,Genl // WfecPr Reg</t>
  </si>
  <si>
    <t>9350103</t>
  </si>
  <si>
    <t>Mt,Gen Plt // WfecPr Reg/AnaHQ</t>
  </si>
  <si>
    <t>9350104</t>
  </si>
  <si>
    <t>Mt,GenPlt//WfecPrReg/Frederick</t>
  </si>
  <si>
    <t>9350105</t>
  </si>
  <si>
    <t>Mt,GenPlt /WfecPrReg/McAlester</t>
  </si>
  <si>
    <t>9350106</t>
  </si>
  <si>
    <t>Mt,GenPlt // WfecPrReg / Mlrnd</t>
  </si>
  <si>
    <t>9350107</t>
  </si>
  <si>
    <t>Mt,GenPlt/WfecPr Reg/Comanche</t>
  </si>
  <si>
    <t>9350108</t>
  </si>
  <si>
    <t>Mt,GenPlt/WfecPr Reg / Antlers</t>
  </si>
  <si>
    <t>9350109</t>
  </si>
  <si>
    <t>Mt,GenPlt/WfecPr Reg/Elk City</t>
  </si>
  <si>
    <t>9350110</t>
  </si>
  <si>
    <t>Mt,GenPlt/WfecPr Reg/Shawnee</t>
  </si>
  <si>
    <t>9350111</t>
  </si>
  <si>
    <t>Mt,GenPlt/WfecPr Reg/Ana T&amp;DS</t>
  </si>
  <si>
    <t>9350113</t>
  </si>
  <si>
    <t>Mt,GenPlt/WfecPr Reg/Kingston</t>
  </si>
  <si>
    <t>9350114</t>
  </si>
  <si>
    <t>Mt,GenPlt/WfecPr Reg/StckCnyn</t>
  </si>
  <si>
    <t>9350115</t>
  </si>
  <si>
    <t>Mt,GenPlt/WfecPr Reg/Hennessey</t>
  </si>
  <si>
    <t>9350116</t>
  </si>
  <si>
    <t>Mt,GenPlt/WfecPrReg/AnaPeaBut</t>
  </si>
  <si>
    <t>Overtime</t>
  </si>
  <si>
    <t>50002</t>
  </si>
  <si>
    <t>Oper,Supv // WfecPr OT</t>
  </si>
  <si>
    <t>5010201</t>
  </si>
  <si>
    <t>Fuel // WfecPr OT/Gas-Direct</t>
  </si>
  <si>
    <t>50202</t>
  </si>
  <si>
    <t>Steam Exp // WfecPr OT</t>
  </si>
  <si>
    <t>50502</t>
  </si>
  <si>
    <t>Elect Exp // WfecPr OT</t>
  </si>
  <si>
    <t>50602</t>
  </si>
  <si>
    <t>Misc Steam // WfecPr OT</t>
  </si>
  <si>
    <t>5060245</t>
  </si>
  <si>
    <t>Misc Steam // WfecPr OT/NERC</t>
  </si>
  <si>
    <t>51002</t>
  </si>
  <si>
    <t>Maint,S&amp;E // WfecPr OT</t>
  </si>
  <si>
    <t>51102</t>
  </si>
  <si>
    <t>Maint,Stru // WfecPr OT</t>
  </si>
  <si>
    <t>51202</t>
  </si>
  <si>
    <t>Maint,Blr // WfecPr OT</t>
  </si>
  <si>
    <t>51302</t>
  </si>
  <si>
    <t>Maint,El // WfecPr OT</t>
  </si>
  <si>
    <t>5130201</t>
  </si>
  <si>
    <t>Maint,El // WfecPr OT/Environ</t>
  </si>
  <si>
    <t>51402</t>
  </si>
  <si>
    <t>Mt,Misc St // WfecPr OT</t>
  </si>
  <si>
    <t>54602</t>
  </si>
  <si>
    <t>Ops // WfecPr OT</t>
  </si>
  <si>
    <t>5470201</t>
  </si>
  <si>
    <t>54802</t>
  </si>
  <si>
    <t>Gen Exp // WfecPr OT</t>
  </si>
  <si>
    <t>54902</t>
  </si>
  <si>
    <t>MiscGenExp // WfecPr OT</t>
  </si>
  <si>
    <t>55202</t>
  </si>
  <si>
    <t>Mt,Structr // WfecPr OT</t>
  </si>
  <si>
    <t>55302</t>
  </si>
  <si>
    <t>Maint, Gen // WfecPr OT</t>
  </si>
  <si>
    <t>55402</t>
  </si>
  <si>
    <t>Mt,MiscO P // WfecPr OT</t>
  </si>
  <si>
    <t>5560203</t>
  </si>
  <si>
    <t>SysCntrl // WfecPr OT/Support</t>
  </si>
  <si>
    <t>5610201</t>
  </si>
  <si>
    <t>Load Disp // WfecPr OT/Ops</t>
  </si>
  <si>
    <t>5610203</t>
  </si>
  <si>
    <t>Load Disp // WfecPr OT/Supprt</t>
  </si>
  <si>
    <t>5610204</t>
  </si>
  <si>
    <t>Load Disp // WfecPR OT/RTO ASE</t>
  </si>
  <si>
    <t>56202</t>
  </si>
  <si>
    <t>Sta Exp // WfecPr OT</t>
  </si>
  <si>
    <t>5620201</t>
  </si>
  <si>
    <t>Sta Exp // WfecPr OT/69kv&amp;Up</t>
  </si>
  <si>
    <t>5620207</t>
  </si>
  <si>
    <t>Sta Exp // WfecPr OT / MW</t>
  </si>
  <si>
    <t>56302</t>
  </si>
  <si>
    <t>Ovhd Line // WfecPr OT</t>
  </si>
  <si>
    <t>56602</t>
  </si>
  <si>
    <t>MiscTR Exp // WfecPr OT</t>
  </si>
  <si>
    <t>5660201</t>
  </si>
  <si>
    <t>MiscTR Exp//WfecPr OT/Ec Dev</t>
  </si>
  <si>
    <t>5660245</t>
  </si>
  <si>
    <t>MiscTr Exp // WfecPr OT/NERC</t>
  </si>
  <si>
    <t>57002</t>
  </si>
  <si>
    <t>Maint, Sta // WfecPr OT</t>
  </si>
  <si>
    <t>57102</t>
  </si>
  <si>
    <t>Maint, OH // WfecPr OT</t>
  </si>
  <si>
    <t>5710201</t>
  </si>
  <si>
    <t>Maint OH//WfecPr OT/Herb App</t>
  </si>
  <si>
    <t>5710202</t>
  </si>
  <si>
    <t>Maint OH // WfecPr OT / Veg</t>
  </si>
  <si>
    <t>57302</t>
  </si>
  <si>
    <t>Mt,MiscTR // WfecPr OT</t>
  </si>
  <si>
    <t>58002</t>
  </si>
  <si>
    <t>O, S &amp; Eng // WfecPr OT</t>
  </si>
  <si>
    <t>58202</t>
  </si>
  <si>
    <t>Statn  Exp // WfecPr OT</t>
  </si>
  <si>
    <t>58602</t>
  </si>
  <si>
    <t>Meter Exp // WfecPr OT</t>
  </si>
  <si>
    <t>58802</t>
  </si>
  <si>
    <t>MiscDst // WfecPr OT</t>
  </si>
  <si>
    <t>59202</t>
  </si>
  <si>
    <t>Mt,StaEqmt // WfecPr OT</t>
  </si>
  <si>
    <t>5920203</t>
  </si>
  <si>
    <t>Mt,StaEqmt // WfecPr OT/SubAut</t>
  </si>
  <si>
    <t>90202</t>
  </si>
  <si>
    <t>Meter Rdng // WfecPr OT</t>
  </si>
  <si>
    <t>91202</t>
  </si>
  <si>
    <t>Demo,Sell // WfecPr OT</t>
  </si>
  <si>
    <t>92002</t>
  </si>
  <si>
    <t>Admin,Genl // WfecPr OT</t>
  </si>
  <si>
    <t>9350203</t>
  </si>
  <si>
    <t>Mt,Gen Plt // WfecPr OT/AnaHQ</t>
  </si>
  <si>
    <t>9350204</t>
  </si>
  <si>
    <t>Mt,GenPlt//WfecPr OT/Frederick</t>
  </si>
  <si>
    <t>9350205</t>
  </si>
  <si>
    <t>Mt,GenPlt/WfecPrOT/McAlester</t>
  </si>
  <si>
    <t>9350206</t>
  </si>
  <si>
    <t>Mt,GenPlt // WfecPr OT / Mrlnd</t>
  </si>
  <si>
    <t>9350207</t>
  </si>
  <si>
    <t>Mt,GenPlt/WfecPr OT/Comanche</t>
  </si>
  <si>
    <t>9350208</t>
  </si>
  <si>
    <t>Mt,GenPlt/WfecPr OT/Antlers</t>
  </si>
  <si>
    <t>9350209</t>
  </si>
  <si>
    <t>Mt,GenPlt/WfecPr OT / Elk City</t>
  </si>
  <si>
    <t>9350210</t>
  </si>
  <si>
    <t>Mt,GenPlt/WfecPr OT/Shawnee</t>
  </si>
  <si>
    <t>9350211</t>
  </si>
  <si>
    <t>Mt,GenPlt/WfecPr OT/Ana T&amp;DS</t>
  </si>
  <si>
    <t>9350213</t>
  </si>
  <si>
    <t>Mt,GenPlt/WfecPr OT/Kingston</t>
  </si>
  <si>
    <t>9350214</t>
  </si>
  <si>
    <t>Mt,GenPlt/WfecPr OT/StckCnyn</t>
  </si>
  <si>
    <t>9350215</t>
  </si>
  <si>
    <t>Mt,GenPlt/WfecPr OT/Hennessey</t>
  </si>
  <si>
    <t>9350216</t>
  </si>
  <si>
    <t>Mt,GenPlt/WfecPrOT/AnaPeaBut</t>
  </si>
  <si>
    <t>Other Labor Costs</t>
  </si>
  <si>
    <t>50005</t>
  </si>
  <si>
    <t>Oper,Supv // CashAwards</t>
  </si>
  <si>
    <t>50205</t>
  </si>
  <si>
    <t>Steam Exp // CashAwards</t>
  </si>
  <si>
    <t>50505</t>
  </si>
  <si>
    <t>Elect Exp // CashAwards</t>
  </si>
  <si>
    <t>50603</t>
  </si>
  <si>
    <t>Misc Steam // WfecPrTemp</t>
  </si>
  <si>
    <t>50605</t>
  </si>
  <si>
    <t>Misc Steam // CashAwards</t>
  </si>
  <si>
    <t>51005</t>
  </si>
  <si>
    <t>Maint,S&amp;E // CashAwards</t>
  </si>
  <si>
    <t>51103</t>
  </si>
  <si>
    <t>Maint,Stru // WfecPrTemp</t>
  </si>
  <si>
    <t>51205</t>
  </si>
  <si>
    <t>Maint,Blr // CashAwards</t>
  </si>
  <si>
    <t>51305</t>
  </si>
  <si>
    <t>Maint,El // CashAwards</t>
  </si>
  <si>
    <t>54605</t>
  </si>
  <si>
    <t>Ops // CashAwards</t>
  </si>
  <si>
    <t>54803</t>
  </si>
  <si>
    <t>Gen Exp // WfecPrTemp</t>
  </si>
  <si>
    <t>54805</t>
  </si>
  <si>
    <t>Gen Exp // CashAwards</t>
  </si>
  <si>
    <t>54903</t>
  </si>
  <si>
    <t>MiscGenExp // WfecPrTemp</t>
  </si>
  <si>
    <t>54905</t>
  </si>
  <si>
    <t>MiscGenExp // CashAwards</t>
  </si>
  <si>
    <t>5560501</t>
  </si>
  <si>
    <t>SysCntrl // CashAwards/Ops</t>
  </si>
  <si>
    <t>56005</t>
  </si>
  <si>
    <t>Op-Sup-Eng // CashAwards</t>
  </si>
  <si>
    <t>56105</t>
  </si>
  <si>
    <t>Load Disp // CashAwards</t>
  </si>
  <si>
    <t>5610501</t>
  </si>
  <si>
    <t>Load Disp // CashAwards/Ops</t>
  </si>
  <si>
    <t>56203</t>
  </si>
  <si>
    <t>Sta Exp // WfecPrTemp</t>
  </si>
  <si>
    <t>56303</t>
  </si>
  <si>
    <t>Ovhd Line // WfecPrTemp</t>
  </si>
  <si>
    <t>56305</t>
  </si>
  <si>
    <t>Ovhd Line // CashAwards</t>
  </si>
  <si>
    <t>56603</t>
  </si>
  <si>
    <t>MiscTR Exp // WfecPrTemp</t>
  </si>
  <si>
    <t>56605</t>
  </si>
  <si>
    <t>MiscTR Exp // CashAwards</t>
  </si>
  <si>
    <t>57005</t>
  </si>
  <si>
    <t>Maint, Sta // CashAwards</t>
  </si>
  <si>
    <t>5710301</t>
  </si>
  <si>
    <t>Maint OH//WfecPr Temp/Herb App</t>
  </si>
  <si>
    <t>5710302</t>
  </si>
  <si>
    <t>Maint OH // WfecPr Temp / Veg</t>
  </si>
  <si>
    <t>57303</t>
  </si>
  <si>
    <t>Mt,MiscTR // WfecPrTemp</t>
  </si>
  <si>
    <t>58203</t>
  </si>
  <si>
    <t>Statn  Exp // WfecPrTemp</t>
  </si>
  <si>
    <t>58205</t>
  </si>
  <si>
    <t>Statn  Exp // CashAwards</t>
  </si>
  <si>
    <t>58605</t>
  </si>
  <si>
    <t>Meter Exp // CashAwards</t>
  </si>
  <si>
    <t>59203</t>
  </si>
  <si>
    <t>Mt,StaEqmt // WfecPrTemp</t>
  </si>
  <si>
    <t>59205</t>
  </si>
  <si>
    <t>Mt,StaEqmt // CashAwards</t>
  </si>
  <si>
    <t>91203</t>
  </si>
  <si>
    <t>Demo,Sell // WfecPrTemp</t>
  </si>
  <si>
    <t>91205</t>
  </si>
  <si>
    <t>Demo,Sell // CashAwards</t>
  </si>
  <si>
    <t>92003</t>
  </si>
  <si>
    <t>Admin,Genl // WfecPrTemp</t>
  </si>
  <si>
    <t>92005</t>
  </si>
  <si>
    <t>Admin,Genl // CashAwards</t>
  </si>
  <si>
    <t>9210502</t>
  </si>
  <si>
    <t>Office Sup // Cash Awards/Fit</t>
  </si>
  <si>
    <t>9350303</t>
  </si>
  <si>
    <t>Mt,Gen Plt // WfecPrTemp/AnaHQ</t>
  </si>
  <si>
    <t>9350311</t>
  </si>
  <si>
    <t>Mt,GenPlt/WfecPr Temp/Ana T&amp;DS</t>
  </si>
  <si>
    <t>9350316</t>
  </si>
  <si>
    <t>Mt,GenPlt/WfecPrTemp/AnaPeaBut</t>
  </si>
  <si>
    <t>TOTAL  O&amp;M   LABOR</t>
  </si>
  <si>
    <t>CAPITALIZED LABOR</t>
  </si>
  <si>
    <r>
      <t>TOTAL LABOR (</t>
    </r>
    <r>
      <rPr>
        <b/>
        <i/>
        <sz val="11"/>
        <rFont val="Arial"/>
        <family val="2"/>
      </rPr>
      <t>excludes benefits</t>
    </r>
    <r>
      <rPr>
        <b/>
        <sz val="11"/>
        <rFont val="Arial"/>
        <family val="2"/>
      </rPr>
      <t>)</t>
    </r>
  </si>
  <si>
    <t>Benefit Allocations</t>
  </si>
  <si>
    <t>50025</t>
  </si>
  <si>
    <t>Oper,Supv // AlloBen&amp;Tx</t>
  </si>
  <si>
    <t>5012501</t>
  </si>
  <si>
    <t>Fuel // AlloBen&amp;Tx/Gas-Direct</t>
  </si>
  <si>
    <t>5012504</t>
  </si>
  <si>
    <t>Fuel // AlloBen&amp;Tx/Coal</t>
  </si>
  <si>
    <t>50225</t>
  </si>
  <si>
    <t>Steam Exp // AlloBen&amp;Tx</t>
  </si>
  <si>
    <t>50525</t>
  </si>
  <si>
    <t>Elect Exp // AlloBen&amp;Tx</t>
  </si>
  <si>
    <t>50625</t>
  </si>
  <si>
    <t>Misc Steam // AlloBen&amp;Tx</t>
  </si>
  <si>
    <t>5062545</t>
  </si>
  <si>
    <t>Misc Steam // AlloBen&amp;Tx/NERC</t>
  </si>
  <si>
    <t>51025</t>
  </si>
  <si>
    <t>Maint,S&amp;E // AlloBen&amp;Tx</t>
  </si>
  <si>
    <t>51125</t>
  </si>
  <si>
    <t>Maint,Stru // AlloBen&amp;Tx</t>
  </si>
  <si>
    <t>51225</t>
  </si>
  <si>
    <t>Maint,Blr // AlloBen&amp;Tx</t>
  </si>
  <si>
    <t>51325</t>
  </si>
  <si>
    <t>Maint,El // AlloBen&amp;Tx</t>
  </si>
  <si>
    <t>5132501</t>
  </si>
  <si>
    <t>Maint,El // AlloBen&amp;Tx/Environ</t>
  </si>
  <si>
    <t>51425</t>
  </si>
  <si>
    <t>Mt,Misc St // AlloBen&amp;Tx</t>
  </si>
  <si>
    <t>54625</t>
  </si>
  <si>
    <t>Ops // AlloBen&amp;Tx</t>
  </si>
  <si>
    <t>5472501</t>
  </si>
  <si>
    <t>Fuel-Gas // AlloBen&amp;Tx/Gas Dir</t>
  </si>
  <si>
    <t>54825</t>
  </si>
  <si>
    <t>Gen Exp // AlloBen&amp;Tx</t>
  </si>
  <si>
    <t>54925</t>
  </si>
  <si>
    <t>MiscGenExp // AlloBen&amp;Tx</t>
  </si>
  <si>
    <t>5492545</t>
  </si>
  <si>
    <t>MiscGenExp//AlloBen&amp;Tx/NERC</t>
  </si>
  <si>
    <t>55125</t>
  </si>
  <si>
    <t>Maintnance // AlloBen&amp;Tx</t>
  </si>
  <si>
    <t>55225</t>
  </si>
  <si>
    <t>Mt,Structr // AlloBen&amp;Tx</t>
  </si>
  <si>
    <t>55325</t>
  </si>
  <si>
    <t>Maint, Gen // AlloBen&amp;Tx</t>
  </si>
  <si>
    <t>55425</t>
  </si>
  <si>
    <t>Mt,MiscO P // AlloBen&amp;Tx</t>
  </si>
  <si>
    <t>5562501</t>
  </si>
  <si>
    <t>SysCntrl // AlloBen&amp;Tx/Ops</t>
  </si>
  <si>
    <t>5562503</t>
  </si>
  <si>
    <t>SysCntrl // AlloBen&amp;Tx/Support</t>
  </si>
  <si>
    <t>56025</t>
  </si>
  <si>
    <t>Op-Sup-Eng // AlloBen&amp;Tx</t>
  </si>
  <si>
    <t>56125</t>
  </si>
  <si>
    <t>Load Disp // AlloBen&amp;Tx</t>
  </si>
  <si>
    <t>5612501</t>
  </si>
  <si>
    <t>Load Disp // AlloBen&amp;Tx/Ops</t>
  </si>
  <si>
    <t>5612503</t>
  </si>
  <si>
    <t>Load Disp // AlloBen&amp;Tx/Supprt</t>
  </si>
  <si>
    <t>5612504</t>
  </si>
  <si>
    <t>Load Disp//AlloBen&amp;Tx/RTO ASE</t>
  </si>
  <si>
    <t>5612545</t>
  </si>
  <si>
    <t>Load Disp // AlloBen&amp;Tx/NERC</t>
  </si>
  <si>
    <t>56225</t>
  </si>
  <si>
    <t>Sta Exp // AlloBen&amp;Tx</t>
  </si>
  <si>
    <t>5622501</t>
  </si>
  <si>
    <t>Sta Exp // AlloBen&amp;Tx/69kv&amp;Up</t>
  </si>
  <si>
    <t>5622507</t>
  </si>
  <si>
    <t>Sta Exp // AlloBen&amp;Tx / MW</t>
  </si>
  <si>
    <t>56325</t>
  </si>
  <si>
    <t>Ovhd Line // AlloBen&amp;Tx</t>
  </si>
  <si>
    <t>56625</t>
  </si>
  <si>
    <t>MiscTR Exp // AlloBen&amp;Tx</t>
  </si>
  <si>
    <t>5662501</t>
  </si>
  <si>
    <t>MiscTR Exp//AlloBen&amp;Tx/Ec Dev</t>
  </si>
  <si>
    <t>5662545</t>
  </si>
  <si>
    <t>MiscTR Exp // AlloBen&amp;Tx/NERC</t>
  </si>
  <si>
    <t>57025</t>
  </si>
  <si>
    <t>Maint, Sta // AlloBen&amp;Tx</t>
  </si>
  <si>
    <t>57125</t>
  </si>
  <si>
    <t>Maint, OH // AlloBen&amp;Tx</t>
  </si>
  <si>
    <t>5712501</t>
  </si>
  <si>
    <t>Maint OH//AlloBen&amp;Tx/Herb App</t>
  </si>
  <si>
    <t>5712502</t>
  </si>
  <si>
    <t>Maint OH // AlloBen&amp;Tx / Veg</t>
  </si>
  <si>
    <t>57325</t>
  </si>
  <si>
    <t>Mt,MiscTR // AlloBen&amp;Tx</t>
  </si>
  <si>
    <t>58025</t>
  </si>
  <si>
    <t>O, S &amp; Eng // AlloBen&amp;Tx</t>
  </si>
  <si>
    <t>58225</t>
  </si>
  <si>
    <t>Statn  Exp // AlloBen&amp;Tx</t>
  </si>
  <si>
    <t>5822501</t>
  </si>
  <si>
    <t>Statn Exp // AlloBen&amp;Tx/MbrCps</t>
  </si>
  <si>
    <t>5822545</t>
  </si>
  <si>
    <t>Statn Exp // AlloBen&amp;Tx/NERC</t>
  </si>
  <si>
    <t>58625</t>
  </si>
  <si>
    <t>Meter Exp // AlloBen&amp;Tx</t>
  </si>
  <si>
    <t>58825</t>
  </si>
  <si>
    <t>MiscDst // AlloBen&amp;Tx</t>
  </si>
  <si>
    <t>59225</t>
  </si>
  <si>
    <t>Mt,StaEqmt // AlloBen&amp;Tx</t>
  </si>
  <si>
    <t>5922503</t>
  </si>
  <si>
    <t>Mt,StaEqmt //AlloBen&amp;Tx/SubAut</t>
  </si>
  <si>
    <t>59725</t>
  </si>
  <si>
    <t>Maint,Metr // AlloBen&amp;Tx</t>
  </si>
  <si>
    <t>59825</t>
  </si>
  <si>
    <t>Maint,Misc // AlloBen&amp;Tx</t>
  </si>
  <si>
    <t>90225</t>
  </si>
  <si>
    <t>Meter Rdng // AlloBen&amp;Tx</t>
  </si>
  <si>
    <t>90325</t>
  </si>
  <si>
    <t>CstBilling // AlloBen&amp;Tx</t>
  </si>
  <si>
    <t>91225</t>
  </si>
  <si>
    <t>Demo,Sell // AlloBen&amp;Tx</t>
  </si>
  <si>
    <t>92025</t>
  </si>
  <si>
    <t>Admin,Genl // AlloBen&amp;Tx</t>
  </si>
  <si>
    <t>9352503</t>
  </si>
  <si>
    <t>Mt,Gen Plt // AlloBen&amp;Tx/AnaHQ</t>
  </si>
  <si>
    <t>9352504</t>
  </si>
  <si>
    <t>Mt,GenPlt//AlloBen&amp;Tx/Fredrick</t>
  </si>
  <si>
    <t>9352505</t>
  </si>
  <si>
    <t>Mt,GenPlt /AlloBen&amp;Tx/McAlestr</t>
  </si>
  <si>
    <t>9352506</t>
  </si>
  <si>
    <t>Mt,GenPlt // AlloBen&amp;Tx/Mlrnd</t>
  </si>
  <si>
    <t>9352507</t>
  </si>
  <si>
    <t>Mt,GenPlt/AlloBen&amp;Tx/Comanche</t>
  </si>
  <si>
    <t>9352508</t>
  </si>
  <si>
    <t>Mt,GenPlt/AlloBen&amp;Tx / Antlers</t>
  </si>
  <si>
    <t>9352509</t>
  </si>
  <si>
    <t>Mt,GenPlt/AlloBen&amp;Tx/Elk City</t>
  </si>
  <si>
    <t>9352510</t>
  </si>
  <si>
    <t>Mt,GenPlt/AlloBen&amp;Tx/Shawnee</t>
  </si>
  <si>
    <t>9352511</t>
  </si>
  <si>
    <t>Mt,GenPlt/AlloBen&amp;Tx/Ana T&amp;DS</t>
  </si>
  <si>
    <t>9352513</t>
  </si>
  <si>
    <t>Mt,GenPlt/AlloBen&amp;Tx/Kingston</t>
  </si>
  <si>
    <t>9352514</t>
  </si>
  <si>
    <t>Mt,GenPlt/AllocBen&amp;Tx/StckCnyn</t>
  </si>
  <si>
    <t>9352515</t>
  </si>
  <si>
    <t>Mt,GenPlt//AllBen&amp;Tx/Hennessey</t>
  </si>
  <si>
    <t>9352516</t>
  </si>
  <si>
    <t>Mt,GenPlt/AlloBen&amp;Tax/AnaPeaBu</t>
  </si>
  <si>
    <t>Total Labor</t>
  </si>
  <si>
    <t>Source: Company Records</t>
  </si>
  <si>
    <t>Year End Balance</t>
  </si>
  <si>
    <t>Tran-Station</t>
  </si>
  <si>
    <t>Tran Lines</t>
  </si>
  <si>
    <t>Distribution</t>
  </si>
  <si>
    <t>Amort.</t>
  </si>
  <si>
    <t>40300</t>
  </si>
  <si>
    <t>403</t>
  </si>
  <si>
    <t>Depr Exp //</t>
  </si>
  <si>
    <t>40310</t>
  </si>
  <si>
    <t>Depr Exp // Steam Plant</t>
  </si>
  <si>
    <t>40340</t>
  </si>
  <si>
    <t>Depr Exp // Other Production</t>
  </si>
  <si>
    <t>40345</t>
  </si>
  <si>
    <t>Depr Exp // Other Prod/Lovngtn</t>
  </si>
  <si>
    <t>40350</t>
  </si>
  <si>
    <t>Depr Exp // Transm Plant</t>
  </si>
  <si>
    <t>40360</t>
  </si>
  <si>
    <t>Depr Exp // Dist Plant</t>
  </si>
  <si>
    <t>40370</t>
  </si>
  <si>
    <t>Depr Exp // General</t>
  </si>
  <si>
    <t>40375</t>
  </si>
  <si>
    <t>Depr Exp // General/Lovngtn</t>
  </si>
  <si>
    <t>40380</t>
  </si>
  <si>
    <t>Depr Exp // ARO-Steam</t>
  </si>
  <si>
    <t>40390</t>
  </si>
  <si>
    <t>Depr Exp // ARC-Tmn</t>
  </si>
  <si>
    <t>40400</t>
  </si>
  <si>
    <t>AmtLimTerm // Plant</t>
  </si>
  <si>
    <t>40730</t>
  </si>
  <si>
    <t>RegDebits // BoltsTrans Costs</t>
  </si>
  <si>
    <t>40734</t>
  </si>
  <si>
    <t>RegDebits // Lease Term Loss</t>
  </si>
  <si>
    <t>Totals</t>
  </si>
  <si>
    <t>Transmission Plant Functionalization</t>
  </si>
  <si>
    <t>Category</t>
  </si>
  <si>
    <t>Western Farmers Electric      Co-op</t>
  </si>
  <si>
    <t>Step Up Substations (GSUs)</t>
  </si>
  <si>
    <t>Other Substations</t>
  </si>
  <si>
    <t>OH Lines-Generator Lead</t>
  </si>
  <si>
    <t>OH Lines-345 kV</t>
  </si>
  <si>
    <t>OH Lines-138 kV</t>
  </si>
  <si>
    <t>OH Lines-69 kV</t>
  </si>
  <si>
    <t>35000</t>
  </si>
  <si>
    <t>Land/Rights - Trans 69 kV</t>
  </si>
  <si>
    <t>35001</t>
  </si>
  <si>
    <t>Land/Rights-Trans 69 kV-Term L 20-yr</t>
  </si>
  <si>
    <t>35002</t>
  </si>
  <si>
    <t>Land/Rights-Trans 69 kV-Term L 50-yr</t>
  </si>
  <si>
    <t>35004</t>
  </si>
  <si>
    <t>Land/Rights - SPA Trans</t>
  </si>
  <si>
    <t>35005</t>
  </si>
  <si>
    <t>Land/Rights - Off Sys Acq</t>
  </si>
  <si>
    <t>35020</t>
  </si>
  <si>
    <t>Land/Rights - Laverne</t>
  </si>
  <si>
    <t>35030</t>
  </si>
  <si>
    <t>Land/Rights - Woodward</t>
  </si>
  <si>
    <t>35045</t>
  </si>
  <si>
    <t>Land/Rights-Tenaska 345</t>
  </si>
  <si>
    <t>35204</t>
  </si>
  <si>
    <t>Struct &amp; Impr - SPA Pole Yd</t>
  </si>
  <si>
    <t>35300</t>
  </si>
  <si>
    <t>Sta &amp; Equip - 69 kV Trans</t>
  </si>
  <si>
    <t>35302</t>
  </si>
  <si>
    <t>Sta &amp; Eq - 69 kV Trans - SCADA</t>
  </si>
  <si>
    <t>35310</t>
  </si>
  <si>
    <t>Sta &amp; Equip - 69 kV Mrlnd Tran</t>
  </si>
  <si>
    <t>35312</t>
  </si>
  <si>
    <t>Sta &amp; Equip - 69 kV Mrlnd - Ge</t>
  </si>
  <si>
    <t>35330</t>
  </si>
  <si>
    <t>Sta &amp; Equip - Comb Cycle - Tra</t>
  </si>
  <si>
    <t>35332</t>
  </si>
  <si>
    <t>Sta &amp; Equip - Comb Cycle - Gen</t>
  </si>
  <si>
    <t>35335</t>
  </si>
  <si>
    <t>Sta &amp; Equip - Ana Stm - Trans</t>
  </si>
  <si>
    <t>35337</t>
  </si>
  <si>
    <t>Sta &amp; Equip - Ana Stm - Gen</t>
  </si>
  <si>
    <t>35348</t>
  </si>
  <si>
    <t>Sta &amp; Equip - Hugo - Non Lease</t>
  </si>
  <si>
    <t>35349</t>
  </si>
  <si>
    <t>Sta &amp; Equip - Hugo - SH</t>
  </si>
  <si>
    <t>3534G</t>
  </si>
  <si>
    <t>Sta &amp; Equip - Hugo - Gen</t>
  </si>
  <si>
    <t>3534R</t>
  </si>
  <si>
    <t>Sta &amp; Equip - 69 kV Hugo - Ret</t>
  </si>
  <si>
    <t>35400</t>
  </si>
  <si>
    <t>Tower &amp; Fix - 69 kV Unitized</t>
  </si>
  <si>
    <t>35410</t>
  </si>
  <si>
    <t>Tower &amp; Fix - 69 kV</t>
  </si>
  <si>
    <t>35449</t>
  </si>
  <si>
    <t>Tower &amp; Fix - Hugo - SH</t>
  </si>
  <si>
    <t>35500</t>
  </si>
  <si>
    <t>Poles &amp; Fix - 69 kV Unitized</t>
  </si>
  <si>
    <t>35530</t>
  </si>
  <si>
    <t>Poles &amp; Fix - 138 kV Unitized</t>
  </si>
  <si>
    <t>35545</t>
  </si>
  <si>
    <t>345 KV TENASKA LINE</t>
  </si>
  <si>
    <t>35600</t>
  </si>
  <si>
    <t>OH Cond &amp; Dev - 69 kV</t>
  </si>
  <si>
    <t>35630</t>
  </si>
  <si>
    <t>OH Cond &amp; Dev - 138 kV</t>
  </si>
  <si>
    <t>35649</t>
  </si>
  <si>
    <t>OH Cond &amp; Dev - Hugo - SH</t>
  </si>
  <si>
    <t>35900</t>
  </si>
  <si>
    <t>Roads/Trails - 69 kV Unitized</t>
  </si>
  <si>
    <t>35920</t>
  </si>
  <si>
    <t>Roads/Trails - 138 kV Unitized</t>
  </si>
  <si>
    <t>35924</t>
  </si>
  <si>
    <t>Roads/Trails - SPA Trans</t>
  </si>
  <si>
    <t>Subtotals of the above lines:</t>
  </si>
  <si>
    <t>Land &amp; Land rights</t>
  </si>
  <si>
    <t>Structures &amp; Improvements</t>
  </si>
  <si>
    <t>Substations Total</t>
  </si>
  <si>
    <t>Tower &amp; Fixtures</t>
  </si>
  <si>
    <t>Poles &amp; Fixtures</t>
  </si>
  <si>
    <t>Roads &amp; Trails</t>
  </si>
  <si>
    <t>OH Lines Total</t>
  </si>
  <si>
    <t>Transmission Total</t>
  </si>
  <si>
    <t>Source: Gross Plant Transmission Accounts.xlsx</t>
  </si>
  <si>
    <t>Other Operating Revenue</t>
  </si>
  <si>
    <t>REA Account</t>
  </si>
  <si>
    <t>REA Account Description</t>
  </si>
  <si>
    <t>45000</t>
  </si>
  <si>
    <t>FortfdDisc //</t>
  </si>
  <si>
    <t>45100</t>
  </si>
  <si>
    <t>MiscSrvRev //</t>
  </si>
  <si>
    <t>4510001</t>
  </si>
  <si>
    <t>MiscSrvRev // 345kv Tenaska</t>
  </si>
  <si>
    <t>4510002</t>
  </si>
  <si>
    <t>MiscSrvRev // 345kvMaintTenask</t>
  </si>
  <si>
    <t>45600</t>
  </si>
  <si>
    <t>Othr E Rev //</t>
  </si>
  <si>
    <t>45610</t>
  </si>
  <si>
    <t>Othr E Rev // Sale of Fly Ash</t>
  </si>
  <si>
    <t>45620</t>
  </si>
  <si>
    <t>Othr E Rev // Sale of Fuel Oil</t>
  </si>
  <si>
    <t>45630</t>
  </si>
  <si>
    <t>Othr E Rev // Gas Transport</t>
  </si>
  <si>
    <t>45631</t>
  </si>
  <si>
    <t>Othr E Rev // Pulverizr Patent</t>
  </si>
  <si>
    <t>45640</t>
  </si>
  <si>
    <t>Othr E Rev // Emission Allwnce</t>
  </si>
  <si>
    <t>45645</t>
  </si>
  <si>
    <t>Othr E Rev // Sale of Green Cr</t>
  </si>
  <si>
    <t>45650</t>
  </si>
  <si>
    <t>Othr E Rev // OMPA Wheeling</t>
  </si>
  <si>
    <t>45651</t>
  </si>
  <si>
    <t>Othr E Rev // Anthony Wheeling</t>
  </si>
  <si>
    <t>45652</t>
  </si>
  <si>
    <t>Othr E Rev // GRDA AS &amp; Fac Ch</t>
  </si>
  <si>
    <t>45653</t>
  </si>
  <si>
    <t>Othr E Rev // OMPA AS &amp; Fac Ch</t>
  </si>
  <si>
    <t>45654</t>
  </si>
  <si>
    <t>Othr E Rev // Rossville Fac Ch</t>
  </si>
  <si>
    <t>45655</t>
  </si>
  <si>
    <t>Othr E Rev // PEC Fac &amp; Tr Ch</t>
  </si>
  <si>
    <t>45670</t>
  </si>
  <si>
    <t>Othr E Rev // Transm/Adjustment</t>
  </si>
  <si>
    <t>4567010</t>
  </si>
  <si>
    <t>Othr E Rev // Transm/Rev CR</t>
  </si>
  <si>
    <t>4567015</t>
  </si>
  <si>
    <t>Othr E Rev // Transm/Sch 1-NITS</t>
  </si>
  <si>
    <t>Othr E Rev // Transm/Sch 1-P2P</t>
  </si>
  <si>
    <t>Othr E Rev // Transm/Sch 7&amp;8 P2P</t>
  </si>
  <si>
    <t>Othr E Rev // Transm/Sch 11</t>
  </si>
  <si>
    <t>45680</t>
  </si>
  <si>
    <t>Othr E Rev // NM Coops A&amp;G</t>
  </si>
  <si>
    <t>45900</t>
  </si>
  <si>
    <t>Othr E Rev // Renew Enrgy Cred</t>
  </si>
  <si>
    <t>Total Other Operating Revenue and Income</t>
  </si>
  <si>
    <t>Summary of above information:</t>
  </si>
  <si>
    <t>Other Revenues Total</t>
  </si>
  <si>
    <t>Construction Work in Process (CWIP)</t>
  </si>
  <si>
    <t>Project ID</t>
  </si>
  <si>
    <t>Project Description</t>
  </si>
  <si>
    <t>Approval Docket No.</t>
  </si>
  <si>
    <t>In-Service Date (Estimated)</t>
  </si>
  <si>
    <t>BoY Balance</t>
  </si>
  <si>
    <t>EoY Balance</t>
  </si>
  <si>
    <t>Plant Held for Future Use</t>
  </si>
  <si>
    <t>Facility No.</t>
  </si>
  <si>
    <t>Asset No.</t>
  </si>
  <si>
    <t>BoY Investment</t>
  </si>
  <si>
    <t>EOY Investment</t>
  </si>
  <si>
    <t>Average Investment</t>
  </si>
  <si>
    <t>Total Transmission Future Use Assets</t>
  </si>
  <si>
    <t>P</t>
  </si>
  <si>
    <t>Q</t>
  </si>
  <si>
    <t>R</t>
  </si>
  <si>
    <t>S</t>
  </si>
  <si>
    <t>Line Number</t>
  </si>
  <si>
    <t>NTC ID</t>
  </si>
  <si>
    <t>Upgrade ID</t>
  </si>
  <si>
    <t>Cost Allocation Voltage</t>
  </si>
  <si>
    <t>Cost Allocation Type</t>
  </si>
  <si>
    <t>BPF %</t>
  </si>
  <si>
    <t>Final Costs</t>
  </si>
  <si>
    <t>Upgrade Name</t>
  </si>
  <si>
    <t>In-Service Date</t>
  </si>
  <si>
    <t>Upgrade Status</t>
  </si>
  <si>
    <t>In Svc? ("CLOSED OUT" OR "COMPLETE") [1=True, 0=False]</t>
  </si>
  <si>
    <t>Voltage (kV)</t>
  </si>
  <si>
    <t>Days In Svc to Test Year End (Less 30 days)</t>
  </si>
  <si>
    <t>Base Plan Funded %</t>
  </si>
  <si>
    <t>Base Plan Funded Net Plant</t>
  </si>
  <si>
    <t>Regulatory and Commission Expenses</t>
  </si>
  <si>
    <t>Account 928</t>
  </si>
  <si>
    <t>Non-SPP Expenses</t>
  </si>
  <si>
    <t>SPP Expenses</t>
  </si>
  <si>
    <t>Completed Construction, not Classified</t>
  </si>
  <si>
    <t>Ops // WfecPr Reg/Environ</t>
  </si>
  <si>
    <t>Maintnance // WfecPR OT</t>
  </si>
  <si>
    <t>Statn Exp // WfecPr OT/NERC</t>
  </si>
  <si>
    <t>Sta Exp // WfecPrTemp/MW</t>
  </si>
  <si>
    <t>Maint, OH // WfecPrTemp</t>
  </si>
  <si>
    <t>Mt,GenPlt/WfecPrTemp/Antlers</t>
  </si>
  <si>
    <t>Ops // AlloBen&amp;Tx/Environ</t>
  </si>
  <si>
    <t>Othr E Rev // Rent fromElectPr</t>
  </si>
  <si>
    <t>Form 12, Part A, Sect B, L52</t>
  </si>
  <si>
    <t>Form 12, Part A, Sect B, L53</t>
  </si>
  <si>
    <t>Form 12, Part A, Sect B, L60</t>
  </si>
  <si>
    <t>Return on Equity</t>
  </si>
  <si>
    <t>Capital Structure &amp; Rate of Return based on Return on Equity</t>
  </si>
  <si>
    <t>Approximate Construction Start Date</t>
  </si>
  <si>
    <t xml:space="preserve">Direct </t>
  </si>
  <si>
    <t>Direct</t>
  </si>
  <si>
    <t>Schedule 1 Revenue Requirements</t>
  </si>
  <si>
    <r>
      <t>Average Balance</t>
    </r>
    <r>
      <rPr>
        <sz val="11"/>
        <rFont val="Arial"/>
        <family val="2"/>
      </rPr>
      <t xml:space="preserve"> 
(Col D through E) /2</t>
    </r>
  </si>
  <si>
    <r>
      <t>Average Balance</t>
    </r>
    <r>
      <rPr>
        <sz val="11"/>
        <rFont val="Arial"/>
        <family val="2"/>
      </rPr>
      <t xml:space="preserve"> 
(Col I through J) /2</t>
    </r>
  </si>
  <si>
    <t>Construction Completed Not Classified</t>
  </si>
  <si>
    <t>Capital Structure &amp; Return</t>
  </si>
  <si>
    <t>Distribution Wages &amp; Salaries</t>
  </si>
  <si>
    <t>Data from Substation/Segments Spreadsheet</t>
  </si>
  <si>
    <t>Unitized</t>
  </si>
  <si>
    <t xml:space="preserve"> 69 KV Unitized</t>
  </si>
  <si>
    <t>135 KV Unitized</t>
  </si>
  <si>
    <t>OH Conductors &amp; Devices</t>
  </si>
  <si>
    <t>Total (c)</t>
  </si>
  <si>
    <t>Annual Depreciation Expense</t>
  </si>
  <si>
    <t>Recovery Approved</t>
  </si>
  <si>
    <t>Pricing Zone</t>
  </si>
  <si>
    <r>
      <t>Includable in Rate Base</t>
    </r>
    <r>
      <rPr>
        <sz val="11"/>
        <rFont val="Arial"/>
        <family val="2"/>
      </rPr>
      <t xml:space="preserve"> 
(Col E * Col K)</t>
    </r>
  </si>
  <si>
    <t>T-Wage</t>
  </si>
  <si>
    <t>T-Plant</t>
  </si>
  <si>
    <t>Note:</t>
  </si>
  <si>
    <t>A. Lines representing detail and sub-accounts can be added only at the same depreciation rates shown in the groupings originally listed.</t>
  </si>
  <si>
    <t xml:space="preserve">A. The addition of new lines and the removal of outdated lines may be necessary in order to accurately provide </t>
  </si>
  <si>
    <t>A. Percentage recovery cannot be added or changed absent approval from FERC</t>
  </si>
  <si>
    <t>C. AFUDC ceases when CWIP is recovered in rate base.  No CWIP will be included in rate base absent FERC authorization.</t>
  </si>
  <si>
    <t>Rate Year 
(A)</t>
  </si>
  <si>
    <t>Calculated Interest 
(B)</t>
  </si>
  <si>
    <t>Worksheet C</t>
  </si>
  <si>
    <t>Worksheet B</t>
  </si>
  <si>
    <t>Worksheet A</t>
  </si>
  <si>
    <t>Worksheet D</t>
  </si>
  <si>
    <t>Worksheet E</t>
  </si>
  <si>
    <t>Worksheet F</t>
  </si>
  <si>
    <t>Worksheet G</t>
  </si>
  <si>
    <t>Worksheet J</t>
  </si>
  <si>
    <t>Qualified Substations</t>
  </si>
  <si>
    <t>Name</t>
  </si>
  <si>
    <t>Long Name</t>
  </si>
  <si>
    <t>Property Description (Located in following counties)</t>
  </si>
  <si>
    <t xml:space="preserve">A. The addition of new lines and the removal of outdated lines may be necessary in order to accurately </t>
  </si>
  <si>
    <t>Qualified Lines</t>
  </si>
  <si>
    <t>From</t>
  </si>
  <si>
    <t>To</t>
  </si>
  <si>
    <t>LENGTH (Miles)</t>
  </si>
  <si>
    <t>Total Qualified Miles</t>
  </si>
  <si>
    <t>Tran Qual Ckt Miles - 138 kV</t>
  </si>
  <si>
    <t>Tran Qual Ckt Miles - 69 kV</t>
  </si>
  <si>
    <t>Owned Miles</t>
  </si>
  <si>
    <t>Qualified Miles</t>
  </si>
  <si>
    <t>Ratio</t>
  </si>
  <si>
    <t>Total 138 &amp; 69 kV</t>
  </si>
  <si>
    <t>Target Capital Str</t>
  </si>
  <si>
    <t>Form 12, Part A, Section B, Line 34d</t>
  </si>
  <si>
    <t>Form 12, Annual Supplement, Sect H, Line 1, Col d</t>
  </si>
  <si>
    <t>Form 12, Annual Supplement, Sect H, Line Total, Col c</t>
  </si>
  <si>
    <t>Oper Rev // Capacity Payments</t>
  </si>
  <si>
    <t>Oper Rev // Fixed O&amp;M Payments</t>
  </si>
  <si>
    <t>Oper Rev // Variable O&amp;M Pmnts</t>
  </si>
  <si>
    <t>Oper Rev // Engine Reserve</t>
  </si>
  <si>
    <t>Oper Rev // Station Power</t>
  </si>
  <si>
    <t>40101</t>
  </si>
  <si>
    <t>40102</t>
  </si>
  <si>
    <t>40103</t>
  </si>
  <si>
    <t>40104</t>
  </si>
  <si>
    <t>40109</t>
  </si>
  <si>
    <t>O&amp;M Input - RUS Form 12</t>
  </si>
  <si>
    <t>Depreciation Rate</t>
  </si>
  <si>
    <t>End of Year Date</t>
  </si>
  <si>
    <t>Year</t>
  </si>
  <si>
    <t>Summary ATRR</t>
  </si>
  <si>
    <t>Schedule 1</t>
  </si>
  <si>
    <t>B. CWIP amounts should be directly assigned to pricing zone on Summary</t>
  </si>
  <si>
    <t>Sch 11 P2P</t>
  </si>
  <si>
    <t>Total (MW-Mo)</t>
  </si>
  <si>
    <t>Average (MW-Mo)</t>
  </si>
  <si>
    <t xml:space="preserve">Revenue Credits </t>
  </si>
  <si>
    <t>NERC Assessment Fee</t>
  </si>
  <si>
    <t>FERC  Assessment Fee</t>
  </si>
  <si>
    <t>SPP Schedule 1 Charges</t>
  </si>
  <si>
    <t>Sch 1-P2P Revenues</t>
  </si>
  <si>
    <t>SPP Schedule 1A Charges</t>
  </si>
  <si>
    <t>Trial Balance Amount</t>
  </si>
  <si>
    <t>Network Load (MW)</t>
  </si>
  <si>
    <t>Direct Assigned Revenues</t>
  </si>
  <si>
    <t>Less: Revenue Credit for transmission service not included in the divisor (enter as negative)</t>
  </si>
  <si>
    <t>Othr E Rev//Tran/Sch9WFEC</t>
  </si>
  <si>
    <t>Othr E Rev//Tran/Sch1WFEC</t>
  </si>
  <si>
    <t>Othr E Rev//Tran/Sch7WFEC</t>
  </si>
  <si>
    <t>Othr E Rev//Transm/Sch11WFEC</t>
  </si>
  <si>
    <t>Key</t>
  </si>
  <si>
    <t>Transportation Equipment*</t>
  </si>
  <si>
    <t>Tools, Shop, Garage Equipment</t>
  </si>
  <si>
    <t>Target Equity Floor</t>
  </si>
  <si>
    <t>Revenue Requirement before SPP Adj and Prior Yr corrections</t>
  </si>
  <si>
    <t>Retirement work in progress</t>
  </si>
  <si>
    <t>ATRR Allocated</t>
  </si>
  <si>
    <t>Load Dispatch</t>
  </si>
  <si>
    <t>Schedule 1 Allocated</t>
  </si>
  <si>
    <t xml:space="preserve">ATRR Allocation % </t>
  </si>
  <si>
    <t xml:space="preserve">Schedule 1 Allocation % </t>
  </si>
  <si>
    <t>Schedule 1 expenses</t>
  </si>
  <si>
    <t>Net Tran Plant</t>
  </si>
  <si>
    <t>Base Plan Funded Gross Plant</t>
  </si>
  <si>
    <t>T</t>
  </si>
  <si>
    <t>Accum Depr Reserve 
(Depr Rate/365 * Col O * Col M)</t>
  </si>
  <si>
    <t>ATRR for Each Project 
(Col's T + U + V)</t>
  </si>
  <si>
    <t>Period Start</t>
  </si>
  <si>
    <t>Period Ending</t>
  </si>
  <si>
    <t>Beginning Balance</t>
  </si>
  <si>
    <t>Accumulation or Payback</t>
  </si>
  <si>
    <t>FERC Annual Interest Rate</t>
  </si>
  <si>
    <t>Quarterly Interest Amount</t>
  </si>
  <si>
    <t>Ending Balance</t>
  </si>
  <si>
    <t>Interest calculation for Item #1</t>
  </si>
  <si>
    <t>Rate Year</t>
  </si>
  <si>
    <t>True-Up Year</t>
  </si>
  <si>
    <t>Interest calculation for Item #2…</t>
  </si>
  <si>
    <t>(Repeat the above interest calculation for other items as necessary.)</t>
  </si>
  <si>
    <t>Year Description</t>
  </si>
  <si>
    <t>Network Demand</t>
  </si>
  <si>
    <t>561 Load Dispatch Wages &amp; Salaries</t>
  </si>
  <si>
    <t>Carrying Charge</t>
  </si>
  <si>
    <t>SPP Net Plant</t>
  </si>
  <si>
    <t>SPP ATRR</t>
  </si>
  <si>
    <t>Non-Depreciable</t>
  </si>
  <si>
    <t>Electric Plant Held for Future Use</t>
  </si>
  <si>
    <t>WFECO10510</t>
  </si>
  <si>
    <t>Organizations</t>
  </si>
  <si>
    <t>WFECO30100</t>
  </si>
  <si>
    <t>Land Lease</t>
  </si>
  <si>
    <t>WFECO35001</t>
  </si>
  <si>
    <t>WFECO35002</t>
  </si>
  <si>
    <t>WFECO38921</t>
  </si>
  <si>
    <t>Land</t>
  </si>
  <si>
    <t>WFECO35004</t>
  </si>
  <si>
    <t>WFECO35005</t>
  </si>
  <si>
    <t>WFECO35020</t>
  </si>
  <si>
    <t>WFECO35030</t>
  </si>
  <si>
    <t>WFECO35045</t>
  </si>
  <si>
    <t>WFECO35000</t>
  </si>
  <si>
    <t>WFECO35900</t>
  </si>
  <si>
    <t>WFECO35920</t>
  </si>
  <si>
    <t>WFECO35924</t>
  </si>
  <si>
    <t>WFECO36000</t>
  </si>
  <si>
    <t>WFECO36006</t>
  </si>
  <si>
    <t>WFECO38900</t>
  </si>
  <si>
    <t>WFECO38910</t>
  </si>
  <si>
    <t>WFECO38920</t>
  </si>
  <si>
    <t>WFECO39101</t>
  </si>
  <si>
    <t>WFECO39107</t>
  </si>
  <si>
    <t>WFECO39121</t>
  </si>
  <si>
    <t>WFECO39126</t>
  </si>
  <si>
    <t>WFECO39150</t>
  </si>
  <si>
    <t>WFECO39200</t>
  </si>
  <si>
    <t>WFECO39201</t>
  </si>
  <si>
    <t>WFECO39202</t>
  </si>
  <si>
    <t>WFECO39203</t>
  </si>
  <si>
    <t>WFECO39204</t>
  </si>
  <si>
    <t>WFECO39205</t>
  </si>
  <si>
    <t>WFECO39206</t>
  </si>
  <si>
    <t>WFECO39207</t>
  </si>
  <si>
    <t>WFECO39208</t>
  </si>
  <si>
    <t>WFECO39401</t>
  </si>
  <si>
    <t>Worksheet P</t>
  </si>
  <si>
    <t>Account No.</t>
  </si>
  <si>
    <t>Annual Expense Amount</t>
  </si>
  <si>
    <t>% Included in SPP</t>
  </si>
  <si>
    <t>SPP Amount</t>
  </si>
  <si>
    <t>575.1-575.8 RTO/ISO Expense - Operation</t>
  </si>
  <si>
    <t>1a</t>
  </si>
  <si>
    <t>1b</t>
  </si>
  <si>
    <t>…</t>
  </si>
  <si>
    <t>Total 575.1-575.8 RTO/ISO Expense - Operation (sum lines 1a-1xx) (Note A)</t>
  </si>
  <si>
    <t>576.1-576.5 RTO/ISO Expense - Maintenance</t>
  </si>
  <si>
    <t>3a</t>
  </si>
  <si>
    <t>3b</t>
  </si>
  <si>
    <t>576.1-576.5 RTO/ISO Expense - Maintenance (sum lines 3a-3xx) (Note B)</t>
  </si>
  <si>
    <t>Notes</t>
  </si>
  <si>
    <t>Worksheet U</t>
  </si>
  <si>
    <t/>
  </si>
  <si>
    <t>Worksheet K</t>
  </si>
  <si>
    <t>Worksheet L</t>
  </si>
  <si>
    <t>Worksheet M</t>
  </si>
  <si>
    <t>Worksheet N</t>
  </si>
  <si>
    <t>Worksheet O</t>
  </si>
  <si>
    <t>Worksheet Q</t>
  </si>
  <si>
    <t>Worksheet R</t>
  </si>
  <si>
    <t>Worksheet S</t>
  </si>
  <si>
    <t>Worksheet T</t>
  </si>
  <si>
    <t>Account 575/576 Expenses</t>
  </si>
  <si>
    <t>115 Amort of Acquisition Adj</t>
  </si>
  <si>
    <t>Net Acquisition Adjustment</t>
  </si>
  <si>
    <t>CWIP to included in Rate Base</t>
  </si>
  <si>
    <t xml:space="preserve">D. The addition of new lines and the removal of outdated lines may be necessary in order to accurately provide information, and populate or remove data in the Worksheet with </t>
  </si>
  <si>
    <t>A. The addition of new lines and the removal of outdated lines may be necessary in order to accurately provide information, and populate or remove data in the Worksheet with changes in future years.</t>
  </si>
  <si>
    <t>ER16-1774</t>
  </si>
  <si>
    <t xml:space="preserve">    Accounting procedures must be provided during the annual update to ensure that there is no duplicate recovery of </t>
  </si>
  <si>
    <t xml:space="preserve">    CWIP and corresponding AFUDC capitalized. Projects are transmission related only.</t>
  </si>
  <si>
    <t xml:space="preserve">    changes in future years. Where appropriate, these changes will provide detail and linkage to updated Form 12 data requirements or other similar supporting documentation.</t>
  </si>
  <si>
    <t xml:space="preserve">    Additional line items will not require FPA Section 205 or 206 filings. WFEC will describe such changes in the Annual </t>
  </si>
  <si>
    <t xml:space="preserve">    Update, and the changes will be subject to the review of Interested Parties under the procedures set forth in WFEC's Implementation Protocols. WFEC may not change the columns</t>
  </si>
  <si>
    <t xml:space="preserve">    or the formulas included in these Worksheets during the Annual Update.</t>
  </si>
  <si>
    <t xml:space="preserve">A. Acquisition adjustments will not be used in the calculation of ATRR absent Commission approval through a 205 or 206 filing.  </t>
  </si>
  <si>
    <t>A. Lines can be added or removed from this Worksheet only if there are corresponding changes in the RUS Form 12 format.</t>
  </si>
  <si>
    <t xml:space="preserve">Nots: </t>
  </si>
  <si>
    <t>A. Source: NTC.xls</t>
  </si>
  <si>
    <t>B. Check column K (Upgrade Status) to determine if project is complete</t>
  </si>
  <si>
    <t>C. The addition of new lines and the removal of outdated lines may be necessary in order to accurately provide information, and populate or remove data in the Worksheet with changes in future years.</t>
  </si>
  <si>
    <t xml:space="preserve">    Where appropriate, these changes will provide detail and linkage to updated Form 12 data requirements or other similar supporting documentation.</t>
  </si>
  <si>
    <t xml:space="preserve">    Additional line items or line deletions will not require FPA Section 205 or 206 filings. WFEC will describe such changes in the Annual </t>
  </si>
  <si>
    <t xml:space="preserve">    Update, and the changes will be subject to the review of Interested Parties under the procedures set forth in WFEC's Implementation Protocols. WFEC may not change the columns or the</t>
  </si>
  <si>
    <t xml:space="preserve">    formulas included in these Worksheets during the Annual Update.</t>
  </si>
  <si>
    <t>A.  Rate Year in which the error occurred and affected the ATRR and rates paid by customers.</t>
  </si>
  <si>
    <t>B. Each ATRR adjustment shall include interest based on Section 35.19a of the Commission Regulations.</t>
  </si>
  <si>
    <t>C. The interest calculation may need to be modified to recognize the implementation partial year.</t>
  </si>
  <si>
    <t>Depreciation Values from Form-12, Part I, Section A, Line 26.  (used to allocate between Subs &amp; Lines)</t>
  </si>
  <si>
    <t xml:space="preserve">    information, and populate or remove data in the Worksheet with changes in future years. Where appropriate, these  </t>
  </si>
  <si>
    <t xml:space="preserve">    changes will provide detail and linkage to updated Form 12 data requirements or other similar supporting </t>
  </si>
  <si>
    <t xml:space="preserve">    documentation. Additional line items or line deletions will not require FPA Section 205 or 206 filings. WFEC will </t>
  </si>
  <si>
    <t xml:space="preserve">    describe such changes in the Annual Update, and the changes will be subject to the review of Interested Parties under</t>
  </si>
  <si>
    <t xml:space="preserve">    the procedures set forth in WFEC's Implementation Protocols. WFEC may not change the columns or the formulas </t>
  </si>
  <si>
    <t xml:space="preserve">    included in these Worksheets during the Annual Update.</t>
  </si>
  <si>
    <t xml:space="preserve">    provide information, and populate or remove data in the Worksheet with changes in future years. </t>
  </si>
  <si>
    <t xml:space="preserve">    Where appropriate, these changes will provide detail and linkage to updated Form 12 data requirements or </t>
  </si>
  <si>
    <t xml:space="preserve">    other similar supporting documentation. Additional line items or line deletions will not require FPA Section </t>
  </si>
  <si>
    <t xml:space="preserve">    205 or 206 filings. WFEC will describe such changes in the Annual Update, and the changes will be </t>
  </si>
  <si>
    <t xml:space="preserve">    subject to the review of Interested Parties under the procedures set forth in WFEC's Implementation</t>
  </si>
  <si>
    <t xml:space="preserve">    Protocols. WFEC may not change the columns or the formulas included in these Worksheets during </t>
  </si>
  <si>
    <t xml:space="preserve">    the Annual Update.</t>
  </si>
  <si>
    <t xml:space="preserve">   provide information, and populate or remove data in the Worksheet with changes in future years. </t>
  </si>
  <si>
    <t>A. The total on line 2, column D must reconcile to the amounts shown on RUS12.</t>
  </si>
  <si>
    <t>B. The total on line 4, column D must reconcile to the amounts shown on RUS12.</t>
  </si>
  <si>
    <t>C. Amounts listed on lines 1a-1xx and 3a-3xx are only eligible for inclusion in SPP Zone 13 ATRR following a change in</t>
  </si>
  <si>
    <t xml:space="preserve">    accounting procedures to the RUS Form 12 or Uniform System of Accounts, which would classify amounts in these accounts</t>
  </si>
  <si>
    <t xml:space="preserve">    as eligible for transmission rate recovery. To the extent that this occurs, WFEC may file a single-issue Section 205 filing with the </t>
  </si>
  <si>
    <t xml:space="preserve">    Commission to seek recovery of these amounts in Zone 13 rates. WFEC may not include any costs absent authroization from FERC via a Section 205 or 206 filing. </t>
  </si>
  <si>
    <t>D. The addition of new lines and the removal of outdated lines necessary to populate or remove data in the Worksheet with the changes in future years does not</t>
  </si>
  <si>
    <t xml:space="preserve">    require a Federal Power Act section 205 or 206 filing. The addition or removal of columns and formulas contained with those columns cannot be changed absent a </t>
  </si>
  <si>
    <t xml:space="preserve">    Federal Power Act section 205 or 206 filing.</t>
  </si>
  <si>
    <t>Denotes input values</t>
  </si>
  <si>
    <t>Final In-service Cost</t>
  </si>
  <si>
    <t>A. The cost of capital for Total Margins and Equities and the floor is fixed and cannot be changed absent Commission approval through a Section 205 or 206 filing.</t>
  </si>
  <si>
    <t>B. The cost of capital for Total Margins and Equities reflects a 50 basis point incentive adder per the commission's order in Docket No. ER16-177.</t>
  </si>
  <si>
    <t>Industry Standard</t>
  </si>
  <si>
    <t>ER16-1774 Settlement</t>
  </si>
  <si>
    <t>A. Stated Values" in Column H are fixed and cannot be changed absent Commission approval through a Section 205 or 206 filing.</t>
  </si>
  <si>
    <t>9350117</t>
  </si>
  <si>
    <t>Mt,GenPlt//WfecPrReg/MooreSaOf</t>
  </si>
  <si>
    <t>9350217</t>
  </si>
  <si>
    <t>Mt,GenPlt//WfecPrOT/MooreSatOf</t>
  </si>
  <si>
    <t>9352517</t>
  </si>
  <si>
    <t>Mt,GenPlt//AllocBen&amp;Tx/MreStOf</t>
  </si>
  <si>
    <t>GainsAllow // Disposition</t>
  </si>
  <si>
    <t>Othr E Rev//Transm/Sch11PTP</t>
  </si>
  <si>
    <t>45656</t>
  </si>
  <si>
    <t>Othr E Rev //KMEA Fac Ch</t>
  </si>
  <si>
    <t>Othr E Rev // Transm/NITS (less Line 39)</t>
  </si>
  <si>
    <t>006262</t>
  </si>
  <si>
    <t>TMN-PSO Atoka Interconnect</t>
  </si>
  <si>
    <t>006823</t>
  </si>
  <si>
    <t>TMN-Blue Canyon 6 ROW</t>
  </si>
  <si>
    <t>007002</t>
  </si>
  <si>
    <t>TMN-Wakita SW-Renfro Sw138kV</t>
  </si>
  <si>
    <t>007065</t>
  </si>
  <si>
    <t>TMN-New Twin Lakes Switch</t>
  </si>
  <si>
    <t>007150</t>
  </si>
  <si>
    <t>TMN-Pharoah Switch Station Upg</t>
  </si>
  <si>
    <t>007174</t>
  </si>
  <si>
    <t>TMN-Renfrow to Pond Creek TMN</t>
  </si>
  <si>
    <t>007179</t>
  </si>
  <si>
    <t>TMN-Acme to West Norman Sub Co</t>
  </si>
  <si>
    <t>007204</t>
  </si>
  <si>
    <t>TMN-Stonewall Tap</t>
  </si>
  <si>
    <t>007205</t>
  </si>
  <si>
    <t>TMN-Prelim Boggy Switch Statio</t>
  </si>
  <si>
    <t>007243</t>
  </si>
  <si>
    <t>TMN-Pharaoh-Wewoka Riv Cross</t>
  </si>
  <si>
    <t>007249</t>
  </si>
  <si>
    <t>TMN-Elgin Tap</t>
  </si>
  <si>
    <t>007276</t>
  </si>
  <si>
    <t>TMN-Marland Tap</t>
  </si>
  <si>
    <t>007284</t>
  </si>
  <si>
    <t>TMN-Alva SW Freedom Sub Line</t>
  </si>
  <si>
    <t>007285</t>
  </si>
  <si>
    <t>TMN-Buffalo SW Line Upgrade</t>
  </si>
  <si>
    <t>007321</t>
  </si>
  <si>
    <t>TMN-Marietta -Thacker-Line Upg</t>
  </si>
  <si>
    <t>007330</t>
  </si>
  <si>
    <t>TMN-Bearcat Jct Emerg Road Acc</t>
  </si>
  <si>
    <t>007335</t>
  </si>
  <si>
    <t>TMN-OU-Cole 69kV-138kV</t>
  </si>
  <si>
    <t>007336</t>
  </si>
  <si>
    <t>TMN-OU-Blanchard 69kV-138kV</t>
  </si>
  <si>
    <t>007355</t>
  </si>
  <si>
    <t>2013 Franklin Switch Upgrade</t>
  </si>
  <si>
    <t>007378</t>
  </si>
  <si>
    <t>TMN-Chernicky to Paradigm Rive</t>
  </si>
  <si>
    <t>007400</t>
  </si>
  <si>
    <t>TMN-Pink-Shawnee ODOT</t>
  </si>
  <si>
    <t>007401</t>
  </si>
  <si>
    <t>TMN-Cache-Indiahoma Sub 138kV</t>
  </si>
  <si>
    <t>007402</t>
  </si>
  <si>
    <t>Indiahoma-Grandfield 69-138kV</t>
  </si>
  <si>
    <t>007404</t>
  </si>
  <si>
    <t>TMN-Grandfield Switch Station</t>
  </si>
  <si>
    <t>007421</t>
  </si>
  <si>
    <t>TMN-Payne Switch Station</t>
  </si>
  <si>
    <t>007426</t>
  </si>
  <si>
    <t>TMN-2014 Term Easement Renewal</t>
  </si>
  <si>
    <t>007428</t>
  </si>
  <si>
    <t>TMN-Canton Sub-Taloga SW Upgra</t>
  </si>
  <si>
    <t>007438</t>
  </si>
  <si>
    <t>TMN-Avard Tap 138kV Transmissi</t>
  </si>
  <si>
    <t>007439</t>
  </si>
  <si>
    <t>TMN-Garber Tap 138kV Transmiss</t>
  </si>
  <si>
    <t>007461</t>
  </si>
  <si>
    <t>TMN-Fletcher Sw-Rush Springs S</t>
  </si>
  <si>
    <t>007462</t>
  </si>
  <si>
    <t>TMN-Lindsay Sw-Wallville Subst</t>
  </si>
  <si>
    <t>007467</t>
  </si>
  <si>
    <t>TMN-Lone Wolf Junction MOD's</t>
  </si>
  <si>
    <t>007468</t>
  </si>
  <si>
    <t>TMN-Grandfield Trans Line Mod</t>
  </si>
  <si>
    <t>007470</t>
  </si>
  <si>
    <t>TMN-Hanna-Eufaula 138kV Transm</t>
  </si>
  <si>
    <t>007471</t>
  </si>
  <si>
    <t>TMN-Taloga Sw Station Upgrade</t>
  </si>
  <si>
    <t>007472</t>
  </si>
  <si>
    <t>TMN-Taloga Sw Stn Autotransfor</t>
  </si>
  <si>
    <t>007476</t>
  </si>
  <si>
    <t>TMN-Eldorado Junction MOD's</t>
  </si>
  <si>
    <t>007478</t>
  </si>
  <si>
    <t>TMN-Navajo Junction MOD's</t>
  </si>
  <si>
    <t>007487</t>
  </si>
  <si>
    <t>TMN-Grandfield Sw-Randlett Sub</t>
  </si>
  <si>
    <t>007497</t>
  </si>
  <si>
    <t>TMN-Pressure Washer &amp; Bldg</t>
  </si>
  <si>
    <t>007498</t>
  </si>
  <si>
    <t>TMN-ONEOK Acces Road</t>
  </si>
  <si>
    <t>007520</t>
  </si>
  <si>
    <t>TMN-NERC Corr Actions-2015</t>
  </si>
  <si>
    <t>007523</t>
  </si>
  <si>
    <t>TMN-Gotebo-Arapaho ODOT</t>
  </si>
  <si>
    <t>007524</t>
  </si>
  <si>
    <t>TMN-Payne Sw Sta Line</t>
  </si>
  <si>
    <t>007526</t>
  </si>
  <si>
    <t>TMN-Bear Creek Tap 138kV Trans</t>
  </si>
  <si>
    <t>007527</t>
  </si>
  <si>
    <t>TMN-Hammett Sw-Meeker Sub 138k</t>
  </si>
  <si>
    <t>007528</t>
  </si>
  <si>
    <t>TMN-Woodward-OGE Woodward 69kV</t>
  </si>
  <si>
    <t>007533</t>
  </si>
  <si>
    <t>TMN-Gotebo Switch Upgrade-CIAC</t>
  </si>
  <si>
    <t>007538</t>
  </si>
  <si>
    <t>TMN-Renfrow Capacitor Bank</t>
  </si>
  <si>
    <t>007539</t>
  </si>
  <si>
    <t>TMN-Wakita 138kV Cap Bank</t>
  </si>
  <si>
    <t>007551</t>
  </si>
  <si>
    <t>TMN-138kV Worn Pole Replc 2015</t>
  </si>
  <si>
    <t>007552</t>
  </si>
  <si>
    <t>TMN-69kV Worn Pole Replc 2015</t>
  </si>
  <si>
    <t>007556</t>
  </si>
  <si>
    <t>TMN-Noel Switch Expansion</t>
  </si>
  <si>
    <t>007575</t>
  </si>
  <si>
    <t>TMN-2015 Term Easement Renewal</t>
  </si>
  <si>
    <t>007576</t>
  </si>
  <si>
    <t>TMN-Doolin Sw-Bluff Creek Sub</t>
  </si>
  <si>
    <t>007591</t>
  </si>
  <si>
    <t>TMN-Union Valley Tap</t>
  </si>
  <si>
    <t>007606</t>
  </si>
  <si>
    <t>TMN-Cleveland County 5/6/2015</t>
  </si>
  <si>
    <t>007607</t>
  </si>
  <si>
    <t>TMN-Grady County 5/6/2015</t>
  </si>
  <si>
    <t>007611</t>
  </si>
  <si>
    <t>TMN-Elmore City to Paoli</t>
  </si>
  <si>
    <t>007614</t>
  </si>
  <si>
    <t>TMN-Pushmataha StrmDmg 5/16/15</t>
  </si>
  <si>
    <t>007618</t>
  </si>
  <si>
    <t>TMN-Garvin County-EMER</t>
  </si>
  <si>
    <t>007619</t>
  </si>
  <si>
    <t>TMN-Marshall County-EMER</t>
  </si>
  <si>
    <t>007620</t>
  </si>
  <si>
    <t>TMN-Bryan County-EMER</t>
  </si>
  <si>
    <t>007641</t>
  </si>
  <si>
    <t>TMN-Burnett Tap</t>
  </si>
  <si>
    <t>007652</t>
  </si>
  <si>
    <t>TMN-Baseline SW Paoli SW River</t>
  </si>
  <si>
    <t>007653</t>
  </si>
  <si>
    <t>TMN-Franklin SW -Sunshine Cany</t>
  </si>
  <si>
    <t>007664</t>
  </si>
  <si>
    <t>TMN - Boggy Depot Tap 138kV</t>
  </si>
  <si>
    <t>007675</t>
  </si>
  <si>
    <t>TMN - Canton-Taloga ODOT</t>
  </si>
  <si>
    <t>007691</t>
  </si>
  <si>
    <t>TMN- Grady County Storm Dam</t>
  </si>
  <si>
    <t>007692</t>
  </si>
  <si>
    <t>TMN- Canadian County Storm Dam</t>
  </si>
  <si>
    <t>007693</t>
  </si>
  <si>
    <t>TMN- 2015 Ice Storm Var Counti</t>
  </si>
  <si>
    <t>007702</t>
  </si>
  <si>
    <t>TMN- 2015 December Ice Storm</t>
  </si>
  <si>
    <t>ISD 12/18/15 CLOSING 3/31/16</t>
  </si>
  <si>
    <t>ISD 3/31/16 CLOSING PENDING FEMA RESOLUTION</t>
  </si>
  <si>
    <t>007303</t>
  </si>
  <si>
    <t>TMN-AEP Ellis Meter Point</t>
  </si>
  <si>
    <t>007688</t>
  </si>
  <si>
    <t>TMN-69kV WornPole Replace 2016</t>
  </si>
  <si>
    <t>007689</t>
  </si>
  <si>
    <t>TMN-2016Term EasementRenewal</t>
  </si>
  <si>
    <t>007690</t>
  </si>
  <si>
    <t>TMN-138kVWornPoleReplace2016</t>
  </si>
  <si>
    <t>007714</t>
  </si>
  <si>
    <t>007717</t>
  </si>
  <si>
    <t>007744</t>
  </si>
  <si>
    <t>007746</t>
  </si>
  <si>
    <t>007757</t>
  </si>
  <si>
    <t>007772</t>
  </si>
  <si>
    <t>007784</t>
  </si>
  <si>
    <t>007786</t>
  </si>
  <si>
    <t>007787</t>
  </si>
  <si>
    <t>007789</t>
  </si>
  <si>
    <t>007797</t>
  </si>
  <si>
    <t>007798</t>
  </si>
  <si>
    <t>007800</t>
  </si>
  <si>
    <t>007801</t>
  </si>
  <si>
    <t>007814</t>
  </si>
  <si>
    <t>TMN-Cana Jct MOD's</t>
  </si>
  <si>
    <t>TMN-Okeene Switch Station Re</t>
  </si>
  <si>
    <t>TMN-Kingston Outpost Facility</t>
  </si>
  <si>
    <t>TMN-Bridge Creek MOD's</t>
  </si>
  <si>
    <t>TMN-36th &amp; Havenbrook</t>
  </si>
  <si>
    <t>TMN-Doolin Switch Station</t>
  </si>
  <si>
    <t xml:space="preserve">TMN-OG&amp;E Lincoln SW </t>
  </si>
  <si>
    <t>TMN-Sara Road-Sunshine</t>
  </si>
  <si>
    <t>TMN-BrownSW-RussettSW LINE</t>
  </si>
  <si>
    <t>TMN-Thermal Imaging Camera</t>
  </si>
  <si>
    <t>TMN-Stonewall Switch Station</t>
  </si>
  <si>
    <t>TMN- Okeene-Eagle Chief ODOT</t>
  </si>
  <si>
    <t>TMN-Boggy Tap</t>
  </si>
  <si>
    <t>TMN-AEP Ellis</t>
  </si>
  <si>
    <t>TMN-Anritsu Antennae Coax Anal</t>
  </si>
  <si>
    <t>TMN-Buffalo SW -Ft. Supply Upg</t>
  </si>
  <si>
    <t>TMN-2013 Franklin Switch Upgr</t>
  </si>
  <si>
    <t>007403</t>
  </si>
  <si>
    <t>TMN-Anadarko 69kV Switch Recon</t>
  </si>
  <si>
    <t>92800</t>
  </si>
  <si>
    <t>Reg Comm // Reg Comm Exp</t>
  </si>
  <si>
    <t>ALTUSSW2</t>
  </si>
  <si>
    <t>Altus Switch</t>
  </si>
  <si>
    <t>A TRACT OF LAND IN THE NORTHWEST QUARTER (NW/4) OF SECTION TWENTY-SEVEN (27), TOWNSHIP TWO (2) NORTH, RANGE TWENTY (20) WEST INDIAN MERIDIAN, JACKSON COUNTY, OKLAHOMA.</t>
  </si>
  <si>
    <t>ALVA   2</t>
  </si>
  <si>
    <t>Alva Switch Station</t>
  </si>
  <si>
    <t>A TRACT OF LAND IN THE SOUTHWEST QUARTER (SW/4) OF SECTION ELEVEN (11), TOWNSHIP TWENTY-SEVEN (27) NORTH, RANGE FOURTEEN (14) WEST, INDIAN MERIDIAN, WOODS COUNTY, OKLAHOMA.</t>
  </si>
  <si>
    <t>ANADARK2</t>
  </si>
  <si>
    <t>Anadarko Sw Sta</t>
  </si>
  <si>
    <t>LAND LOCATED IN PARTS OF SECTION FOURTEEN (14), TOWNSHIP SEVEN (7) NORTH, RANGE TEN (10) WEST, INDIAN MERIDIAN, CADDO COUNTY, OKLAHOMA.</t>
  </si>
  <si>
    <t>ANADARK4</t>
  </si>
  <si>
    <t>ARAPAHO2</t>
  </si>
  <si>
    <t>Arapaho Sw Sta</t>
  </si>
  <si>
    <t>A TRACT IN THE NORTHEAST QUARTER (NE/4) OF SECTION FIVE (5), TOWNSHIP TWELVE (12) NORTH, RANGE SEVENTEEN (17) WEST OF THE INDIAN MERIDIAN, CUSTER COUNTY, OKLAHOMA.</t>
  </si>
  <si>
    <t>ATKEAST4</t>
  </si>
  <si>
    <t>PSO Atoka-East</t>
  </si>
  <si>
    <t>SW/4 Sec 23, 2S, 10E, Atoka County, OK</t>
  </si>
  <si>
    <t>ATKWEST4</t>
  </si>
  <si>
    <t>PSO Atoka-West</t>
  </si>
  <si>
    <t>BASELIN2</t>
  </si>
  <si>
    <t>Baseline Sw</t>
  </si>
  <si>
    <t>A tract of land in Southwest corner of the South Half (S ½) of the Southwest Quarter (SW/4) of Section Thirty-four (34), Township One (1) North, Range Four (4) W.I.M., Stephens County, Oklahoma.</t>
  </si>
  <si>
    <t>BASELIN4</t>
  </si>
  <si>
    <t>BENNGTN4</t>
  </si>
  <si>
    <t>Bennington Switch</t>
  </si>
  <si>
    <t>A tract in the W/2 SW/4 of Section 11, Township 6 South, Range 12 East, Bryan County, Oklahoma.</t>
  </si>
  <si>
    <t>BINGERJ4</t>
  </si>
  <si>
    <t>Binger Junction</t>
  </si>
  <si>
    <t>SE/4 Sec 31, 10N, 10W, Caddo County, OK</t>
  </si>
  <si>
    <t>BLUCAN5 4</t>
  </si>
  <si>
    <t>Blue Canyon Gen (5)</t>
  </si>
  <si>
    <t>A 2.81 acre tract of land located in the SW/4 of Section 14, T4N, R12W, I.M. Comanche County, Oklahoma, more particularly described as:  Commencing at the SE/corner of the SW/4, Section 14, T4N, R12W, I.M., Comanche County, Oklahoma.</t>
  </si>
  <si>
    <t>BRADYJT2</t>
  </si>
  <si>
    <t>Brady Junction</t>
  </si>
  <si>
    <t>A track of land in the Northeast corner of Section 23, Township 28 North of Range 1 West, I.M., Kay County, Oklahoma.</t>
  </si>
  <si>
    <t>Brown SW</t>
  </si>
  <si>
    <t>Brown Sw Sub</t>
  </si>
  <si>
    <t>A TRACT OF LAND IN THE SOUTHEAST QUARTER OF THE SOUTHEAST QUARTER OF THE SOUTHEAST QUARTER (SE/4 SE/4 SE/4) OF SECTION THIRTY (30), TOWNSHIP FIVE (5) SOUTH, RANGE EIGHT (8) EAST, BRYAN COUNTY, OKLAHOMA.</t>
  </si>
  <si>
    <t>BUFFALO2</t>
  </si>
  <si>
    <t>Buffalo Switch</t>
  </si>
  <si>
    <t>A TRACT OF LAND OUT OF THE NORTHEAST QUARTER OF THE NORTHWEST QUARTER (NE/4 NW/4) OF SECTION THIRTEEN (13), IN TOWNSHIP TWENTY-SEVEN (27) NORTH, RANGE TWENTY-THREE (23) WEST OF THE INDIAN MERIDIAN, HARPER COUNTY,  OKLAHOMA.</t>
  </si>
  <si>
    <t>CACHEJ4</t>
  </si>
  <si>
    <t>Cache Junction</t>
  </si>
  <si>
    <t>A TRACT OF LAND IN THE SOUTHWEST CORNER OF THE SOUTHWEST QUARTER (SW/4) OF SECTION TWENTY-SEVEN (27), TOWNSHIP TWO (2) NORTH, RANGE FOURTEEN (14) WEST OF THE INDIAN MERIDIAN, COMANCHE COUNTY, OKLAHOMA.</t>
  </si>
  <si>
    <t>CANADNS2</t>
  </si>
  <si>
    <t>Canadian Sw</t>
  </si>
  <si>
    <t>A tract of land in the Southwest Quarter (SW/4) of Section twenty-Two (22), Township Eight (8) North, Range Two (2) West, Cleveland County, Oklahoma.</t>
  </si>
  <si>
    <t>CANADNS4</t>
  </si>
  <si>
    <t>CARTERJ2</t>
  </si>
  <si>
    <t>Carter Sw Sta</t>
  </si>
  <si>
    <t>SW/4 Sec 16, 9N, 21W, Beckham County, OK</t>
  </si>
  <si>
    <t>CHEROKS2</t>
  </si>
  <si>
    <t>Cherokee Switch</t>
  </si>
  <si>
    <t>A TRACT OR PARCEL OF LAND IN THE NORTHEAST CORNER OF THE NORTHEAST QUARTER (NE/4) OF SECTION NINE (9), TOWNSHIP TWENTY-SEVEN (27) NORTH, RANGE TWELVE (12) WEST OF THE INDIAN MERIDIAN, IN ALFALFA COUNTY, OKLAHOMA.</t>
  </si>
  <si>
    <t>CLEO JT2</t>
  </si>
  <si>
    <t>Cleo Junction</t>
  </si>
  <si>
    <t>Major County, Oklahoma</t>
  </si>
  <si>
    <t>Cleveland Sw Sta</t>
  </si>
  <si>
    <t>A tract of land in the Southwest Quarter (SW/4) of the Northwest Quarter (NW/4) of Section 13, Township 8 North, Range 9 West of the Indian Meridian, Caddo County, Oklahoma.</t>
  </si>
  <si>
    <t>COMANCH4</t>
  </si>
  <si>
    <t>Comanche Sw</t>
  </si>
  <si>
    <t>A TRACT OF LAND SITUATED IN THE SOUTHEAST QUARTER OF SECTION THIRTY (30), TOWNSHIP TWO (2) SOUTH, RANGE SEVEN (7) WEST OF THE INDIAN BASE AND MERIDIAN, STEPHENS COUNTY, OKLAHOMA.</t>
  </si>
  <si>
    <t>CORN TP4</t>
  </si>
  <si>
    <t>Cornville Jct</t>
  </si>
  <si>
    <t>Grady, Oklahoma</t>
  </si>
  <si>
    <t>DARWIN 4</t>
  </si>
  <si>
    <t>Darwin Junction</t>
  </si>
  <si>
    <t>A TRACT OF LAND IN THE SOUTHEAST QUARTER (SE/4) OF SECTION FOUR (4), TOWNSHIP FOUR (4) SOUTH, RANGE FIFTEEN (15) EAST OF THE INDIAN MERIDIAN, PUSHMATAHA COUNTY, OKLAHOMA.</t>
  </si>
  <si>
    <t>DILL JT2</t>
  </si>
  <si>
    <t>Dill Junction</t>
  </si>
  <si>
    <t>A TRACT OF LAND IN THE EAST HALF OF THE SOUTHEAST QUARTER (E/2 SE/4) OF SECTION THIRTY-THREE (33), TOWNSHIP TEN (10) NORTH, RANGE NINETEEN (19) WEST OF THE INDIAN MERIDIAN, WASHITA COUNTY, OKLAHOMA.</t>
  </si>
  <si>
    <t>DIVERSW2</t>
  </si>
  <si>
    <t>Diverson Switch</t>
  </si>
  <si>
    <t>Block 13, HTC RR Survey, Wilbarger County, TX</t>
  </si>
  <si>
    <t>DOMINJCT4</t>
  </si>
  <si>
    <t>Dominance Junction</t>
  </si>
  <si>
    <t>NE/4 SE/4 Sec 14, 6S, 24E, McCurtain County, OK</t>
  </si>
  <si>
    <t>DOVERSW2</t>
  </si>
  <si>
    <t>Dover Sw</t>
  </si>
  <si>
    <t>Sec 9, 18N, 7W, Kingfisher County, OK</t>
  </si>
  <si>
    <t>DOVERSW4</t>
  </si>
  <si>
    <t>Sec 28, 18N, 7W, Kingfisher County, OK</t>
  </si>
  <si>
    <t>EAGLCHF2</t>
  </si>
  <si>
    <t>Eagle Chief Sw Sta</t>
  </si>
  <si>
    <t>A part of the Northwest Quarter (NW¼) of Section Twenty-one (21), Township Twenty-three (23) North, Range Twelve (12) West of the Indian Meridian, Major County, Oklahoma.</t>
  </si>
  <si>
    <t>EL RENO2</t>
  </si>
  <si>
    <t>El Reno Switch</t>
  </si>
  <si>
    <t>A tract of land located in the Southeast Quarter of the Northeast Quarter of Section Twenty-five (25), Township Twelve (12) North, Range Eight (8) West of the Indian Meridian, Canadian County, Oklahoma.</t>
  </si>
  <si>
    <t>EL RENO4</t>
  </si>
  <si>
    <t>EL RENOJ2</t>
  </si>
  <si>
    <t>ELCTRSW2</t>
  </si>
  <si>
    <t>Electra Sw</t>
  </si>
  <si>
    <t>Sec 1, TC RR Survey, Wichita County, TX</t>
  </si>
  <si>
    <t>ELDORDJ2</t>
  </si>
  <si>
    <t>Eldorado Junction</t>
  </si>
  <si>
    <t>A TRACT OF LAND LOCATED IN THE NORTHEAST CORNER OF SECTION SIXTEEN (16), TOWNSHIP ONE (1) SOUTH, RANGE TWENTY-FOUR (24) WEST INDIAN MERIDIAN,  JACKSON COUNTY, OKLAHOMA.</t>
  </si>
  <si>
    <t>ELMORE 2</t>
  </si>
  <si>
    <t>Elmore City Sw Sta</t>
  </si>
  <si>
    <t>A tract or parcel of land containing one acre and carved out of the East one-half (E1/2) of the Southeast Quarter (SE1/4) of the Northeast Quarter (NE1/4) of Section Twenty Nine (29), township Three (3) north of Range Two (2) West of the Indian Meridian, in Garvin County, Oklahoma.</t>
  </si>
  <si>
    <t>ERICK 4</t>
  </si>
  <si>
    <t>Erick Switch</t>
  </si>
  <si>
    <t>A TRACT IN THE SOUTHEAST QUARTER (SE/4) OF SECTION SEVENTEEN (17), TOWNSHIP NINE (9) NORTH, RANGE TWENTY FOUR (24) WEST, IM, BECKHAM COUNTY, OK.</t>
  </si>
  <si>
    <t>ESQNDLJ2</t>
  </si>
  <si>
    <t>Essaquandale Jct</t>
  </si>
  <si>
    <t>ONE (1) SQUARE ACRE OF LAND IN THE NORTHWEST CORNER OF THE NORTHWEST QUARTER (NW/4) OF SECTION TWENTY-SIX (26), TOWNSHIP THREE (3) SOUTH, RANGE ELEVEN (11) WEST, INDIAN MERIDIAN, COTTON COUNTY, OKLAHOMA.</t>
  </si>
  <si>
    <t>FARGOJCT2</t>
  </si>
  <si>
    <t>Fargo Jct</t>
  </si>
  <si>
    <t>NE/4 Sec 34, 22N, 22W, Woodward County, OK</t>
  </si>
  <si>
    <t>FLETCH-4</t>
  </si>
  <si>
    <t>Fetcher Sw</t>
  </si>
  <si>
    <t>SE/4 Sec 5, 4N, 9W, Comanche County, OK</t>
  </si>
  <si>
    <t>FLETCHR2</t>
  </si>
  <si>
    <t>FRANKLN4</t>
  </si>
  <si>
    <t>Franklin Sw</t>
  </si>
  <si>
    <t>A PART OF THE NORTHWEST QUARTER (NW/4) OF SECTION THIRTY-FOUR (34), TOWNSHIP TEN (10) NORTH, RANGE TWO (2) WEST OF INDIAN MERIDIAN, CLEVELAND COUNTY, OKLAHOMA.</t>
  </si>
  <si>
    <t>FRNKLNS4</t>
  </si>
  <si>
    <t>FREDRIK2</t>
  </si>
  <si>
    <t>Frederick Junction</t>
  </si>
  <si>
    <t>A TRACT OF LAND IN THE SOUTHEAST QUARTER (SE/4) OF SECTION SIX (6), TOWNSHIP TWO (2) SOUTH, RANGE SEVENTEEN (17) WEST INDIAN MERIDIAN, TILLMAN COUNTY, OKLAHOMA.</t>
  </si>
  <si>
    <t>FTSUPLY2</t>
  </si>
  <si>
    <t>Ft. Supply Sw Sta</t>
  </si>
  <si>
    <t>A TRACT OF LAND IN THE NORTHEAST QUARTER OF THE NORTHEAST QUARTER (NE/4 NE/4) OF SECTION SEVEN (7), TOWNSHIP TWENTY-FOUR (24) NORTH, RANGE TWENTY-TWO (22) WEST OF THE INDIAN MERIDIAN, Woodward County, Oklahoma.</t>
  </si>
  <si>
    <t>FTSUPLY4</t>
  </si>
  <si>
    <t>GOLDENSW4</t>
  </si>
  <si>
    <t>Golden Hill Sw Sta</t>
  </si>
  <si>
    <t>A tract of land in the North Half of the Southwest Quarter of the Southwest Quarter (N/2 SW/4 SW/4) of Section 11, Township 6 South, Range 24 East, IM, McCurtain County, Oklahoma.</t>
  </si>
  <si>
    <t>GOTEBO 2</t>
  </si>
  <si>
    <t>Gotebo Sw Sta</t>
  </si>
  <si>
    <t>A PART OR PORTION OF THE SOUTHWEST QUARTER (SW/4) OF SECTION SIXTEEN (16), TOWNSHIP SEVEN (7) NORTH,RANGE SEVENTEEN (17) WEST, INDIAN MERIDIAN, KIOWA COUNTY, OKLAHOMA.</t>
  </si>
  <si>
    <t>GRANFLD2</t>
  </si>
  <si>
    <t>Grandfield Sw</t>
  </si>
  <si>
    <t>An 8.26 acre tract lying the East Half (E/2) of Section Twenty Two (22), Township Two (2) South, Range Fourteen (14) West, I.M., Cotton County, Oklahoma.</t>
  </si>
  <si>
    <t>GREASYC4</t>
  </si>
  <si>
    <t>Greasy Creek Sw Sta</t>
  </si>
  <si>
    <t>NW/4 Sec 25, 8N, 10E, Hughes County, OK</t>
  </si>
  <si>
    <t>HARISBG2</t>
  </si>
  <si>
    <t>Harrisburg Sw Sta</t>
  </si>
  <si>
    <t>A TRACT OF LAND IN THE SOUTHWEST CORNER OF THE NORTHWEST QUARTER (NW/4) OF SECTION TWENTY-ONE (21), TOWNSHIP ONE (1) SOUTH, RANGE FIVE (5) WEST OF THE INDIAN MERIDIAN, STEPHENS COUNTY, OKLAHOMA.</t>
  </si>
  <si>
    <t>HAZELJT4</t>
  </si>
  <si>
    <t>Hazel Junction</t>
  </si>
  <si>
    <t>THAT PART OF LOT 4, SECTION ONE (1), TOWNSHIP SIX (6) NORTH, RANGE FIVE (5) EAST, SEMINOLE COUNTY, OKLAHOMA.</t>
  </si>
  <si>
    <t>HAZLTNJ2</t>
  </si>
  <si>
    <t>Hazelton Junction</t>
  </si>
  <si>
    <t>A TRACT OF LAND 208.7 FEET SQUARE IN THE SOUTHWEST QUARTER (SW/4) OF THE SOUTHEAST QUARTER (SE/4) OF SOUTHEAST QUARTER (SE/4) OF SECTION TWENTY-SEVEN (27), TOWNSHIP THIRTY-THREE (33) SOUTH, RANGE TEN (10) WEST, BARBER COUNTY, KANSAS.</t>
  </si>
  <si>
    <t>HM-BTTP2</t>
  </si>
  <si>
    <t>Hammon Butler Juction</t>
  </si>
  <si>
    <t>Custer County, Oklahoma</t>
  </si>
  <si>
    <t>HOCHJCT4</t>
  </si>
  <si>
    <t>Hochatown Junction</t>
  </si>
  <si>
    <t>A TRACT OF LAND IN LOT THREE (3) (NE/4 NW/4) AND IN LOT FOUR (4) (NW/4 NW/4) SECTION ONE (1), TOWNSHIP FIVE (5) SOUTH, RANGE TWENTY-FOUR (24) EAST, IM, MCCURTAIN COUNTY, OKLAHOMA.</t>
  </si>
  <si>
    <t>HOLLSTR2</t>
  </si>
  <si>
    <t>HOLLISTER Sw Sta</t>
  </si>
  <si>
    <t>ONE ACRE IN THE NORTHEAST CORNER OF THE NORTHEAST QUARTER (NE/4) OF SECTION TWELVE (12), TOWNSHIP TWO (2) SOUTH, RANGE SEVENTEEN (17) WEST INDIAN MERIDIAN, TILLMAN COUNTY, OKLAHOMA.</t>
  </si>
  <si>
    <t>HUGO PP4</t>
  </si>
  <si>
    <t>Hugo Sw Sta</t>
  </si>
  <si>
    <t>Located in parts of sections fifteen (15), sixteen (16), twenty one (21), twenty two (22), twenty seven (27), and thirty four (34), Township six (6) South, Range niteen (19) East, Chochtaw County, Oklahoma.</t>
  </si>
  <si>
    <t>IDABEL 4</t>
  </si>
  <si>
    <t>Idabel</t>
  </si>
  <si>
    <t>A TRACK OF LAND IN THE SW/C OF NE/4 OF SECTION TWENTY-SEVEN (27), TOWNSHIP SEVEN (7) SOUTH, RANGE TWENTY-FOUR (24) EAST, MCCURTAIN COUNTY, OKLAHOMA.</t>
  </si>
  <si>
    <t>INGRAMJCT4</t>
  </si>
  <si>
    <t>Ingram Junction</t>
  </si>
  <si>
    <t>A TRACT OF LAND IN LOT THREE (3), SECTION FIVE (5), TOWNSHIP ELEVEN (11) NORTH, RANGE SEVENTEEN (17) WEST, WASHITA COUNTY,  OKLAHOMA.</t>
  </si>
  <si>
    <t>KRSYJCTN4</t>
  </si>
  <si>
    <t>Kiersey North Junction</t>
  </si>
  <si>
    <t>A part of Lot Eight (8) in Section Twenty-Seven (27), Township Six (6) South, Range Eight (8) East, of the Indian Base and Meridian, Bryan County, Oklahoma.</t>
  </si>
  <si>
    <t>KRSYJCTS4</t>
  </si>
  <si>
    <t>Kiersey South Junction</t>
  </si>
  <si>
    <t>LATTAJT4</t>
  </si>
  <si>
    <t>Latta Junction</t>
  </si>
  <si>
    <t>Ponotoc County, Oklahoma</t>
  </si>
  <si>
    <t>LKCREEK2</t>
  </si>
  <si>
    <t>Lake Creek Sw Sta</t>
  </si>
  <si>
    <t>SW/4 Sec 33, 7N, 21W, Greer County, OK</t>
  </si>
  <si>
    <t>LNDSYSW2</t>
  </si>
  <si>
    <t>Lindsay Sw Sta</t>
  </si>
  <si>
    <t>A tract or parcel of land located in the Northeast Quarter (NE/4) of  the Northeast Quarter (NE/4) of Section Twelve (12), Township Four (4) North, Range Four (4) W.I.M., Garvin County,  Oklahoma.</t>
  </si>
  <si>
    <t>LOCO   4</t>
  </si>
  <si>
    <t>Loco Sw Sta</t>
  </si>
  <si>
    <t>A TRACT OF LAND IN THE SOUTHEAST CORNER OF SECTION TWENTY-NINE (29), TOWNSHIP TWO (2) SOUTH, RANGE FIVE (5) WEST OF THE INDIAN MERIDIAN, STEPHENS COUNTY, OKLAHOMA.</t>
  </si>
  <si>
    <t>MARIETA2</t>
  </si>
  <si>
    <t>Marietta Sw Sta</t>
  </si>
  <si>
    <t>THE EAST 295 FEET OF THE WEST 325 FEET OF THE NORTH 295 FEET OF THE SOUTHWEST QUARTER OF SOUTHWEST QUARTER (SW/4 SW/4) OF SECTION SIXTEEN (16), TOWNSHIP SEVEN (7) SOUTH, RANGE TWO (2) EAST, INDIAN MERIDIAN, LOVE COUNTY, OKLAHOMA.</t>
  </si>
  <si>
    <t>MARIETA4</t>
  </si>
  <si>
    <t>MARLOWJ2</t>
  </si>
  <si>
    <t>Marlow Junction</t>
  </si>
  <si>
    <t>A parcel of land lying in Section Thirty-three (33), Township Three (3) North, Range Eight (8) W.I.M., Grady County, Oklahoma</t>
  </si>
  <si>
    <t>MEDPRKJ2</t>
  </si>
  <si>
    <t>Medicine Park Junction</t>
  </si>
  <si>
    <t>A TRACT OF LAND IN THE NORTHEAST QUARTER (NE/4) OF SECTION SIXTEEN (16), TOWNSHIP THREE (3) NORTH, RANGE TWELVE (12) WEST, I.M., COMANCHE COUNTY, OK.</t>
  </si>
  <si>
    <t>MOORLND2</t>
  </si>
  <si>
    <t>Mooreland Pw Plant Sw</t>
  </si>
  <si>
    <t>The Northeast Quarter (NE/4) of Section Sixteen (16), in Township Twenty Three (23) North, Range Nineteen (19) West, I.M., Woodward County, OK.</t>
  </si>
  <si>
    <t>MOORLND4</t>
  </si>
  <si>
    <t>The Southeast Quarter (SE/4) of Section Sixteen (16) in Township Twenty Three (23) North, Range Nineteen (19) West, I.M., Woodward County, OK.</t>
  </si>
  <si>
    <t>MORWODS4</t>
  </si>
  <si>
    <t>Morewood Sw</t>
  </si>
  <si>
    <t>A track of land lying in the Northeast corner of Section 36, T15N, R20W, Custer County, Oklahoma.</t>
  </si>
  <si>
    <t>NAPLESTP</t>
  </si>
  <si>
    <t>Naples Junction</t>
  </si>
  <si>
    <t>A tract of land in the Southwest Quarter (SW/4) of Section 14, T6N, R5W, Grady County, Oklahoma.</t>
  </si>
  <si>
    <t>NOEL_SW</t>
  </si>
  <si>
    <t>Noel Sw Sta</t>
  </si>
  <si>
    <t>A tract of land located in the Southwest corner of Lot Five (5), also sometimes described as the Southwest Quarter of the Northwest Quarter (SW/4 NW/4) of Section Six (6), Township Twenty Six (26) North, Range Thirteen (13) West, I.M., Woods County, Oklahoma.</t>
  </si>
  <si>
    <t>OKEENE 2</t>
  </si>
  <si>
    <t>Okeene Sw Sta</t>
  </si>
  <si>
    <t>A tract or parcel of land in the Southwest Quarter (SW¼) of the Southeast Quarter (SE¼) of Section Six, Township Eighteen North, Range Eleven W, I.M., Blaine County, Oklahoma.</t>
  </si>
  <si>
    <t>OKEENE 4</t>
  </si>
  <si>
    <t>OU SW 4</t>
  </si>
  <si>
    <t>OU Sw Sta</t>
  </si>
  <si>
    <t>A TRACT OF LAND IN LOT FOUR (4), ALSO KNOWN AS THE SOUTHWEST QUARTER OF THE SOUTHWEST QUARTER (SW/4 SW/4) OF SECTION EIGHTEEN (18), TOWNSHIP EIGHT (8) NORTH, RANGE THREE (3) WEST OF THE INDIAN MERIDIAN, MCCLAIN COUNTY, OKLAHOMA.</t>
  </si>
  <si>
    <t>PAOLI  2</t>
  </si>
  <si>
    <t>Paoli Sw Sta</t>
  </si>
  <si>
    <t>A tract of land in Lots 6 and 7 (sometimes referred to as fractional W 1/2 SW 1/4) of Section 6, Township 4 North, Range 1 West of the Indian Base and Meridian, Garvin County, Oklahoma.</t>
  </si>
  <si>
    <t>PAOLI  4</t>
  </si>
  <si>
    <t>PAYNE</t>
  </si>
  <si>
    <t>Payne Switch</t>
  </si>
  <si>
    <t>A tract of land in the Northeast Quarter (NE/4) of Section Nineteen (19), Township Five (5) North, Range Three (3) West, I.M., McClain County,  Oklahoma.</t>
  </si>
  <si>
    <t>PHAROAH4</t>
  </si>
  <si>
    <t>Pharoah Sw Sta</t>
  </si>
  <si>
    <t>A TRACT OF LAND IN THE NE SW NW OF SECTION 11, TOWNSHIP 10 NORTH, RANGE 11 EAST, OKFUSKEE COUNTY,  OKLAHOMA.</t>
  </si>
  <si>
    <t>PINK SW4</t>
  </si>
  <si>
    <t>Pink Sw Sta</t>
  </si>
  <si>
    <t>A tract in the West Half of the Southeast Quarter (W/2 SE/4) of Section Eighteen (18), Township Nine (9) North, Range Two (2) East, I.M., Pottawatomie County, Oklahoma.</t>
  </si>
  <si>
    <t>RHWIND4</t>
  </si>
  <si>
    <t>Red Hills Wind Farm Sw</t>
  </si>
  <si>
    <t>A TRACT IN THE SOUTHWEST QUARTER (SW/4) OF SECTION TWENTY-ONE (21), TOWNSHIP ELEVEN (11) NORTH, RANGE FOUR (4) EAST OF THE INDIAN MERIDIAN, POTTAWATOMIE COUNTY, OKLAHOMA.</t>
  </si>
  <si>
    <t>RNGWODJ2</t>
  </si>
  <si>
    <t>Ringwood Junction</t>
  </si>
  <si>
    <t>A TRACT OR PARCEL OF LAND IN THE SOUTHWEST CORNER OF THE SOUTHWEST QUARTER (SW/4) OF SECTION TEN (10), TOWNSHIP TWENTY-TWO (22) NORTH, RANGE TEN (10) WEST OF THE INDIAN MERIDIAN, MAJOR COUNTY, OKLAHOMA.</t>
  </si>
  <si>
    <t>RUSHSPG2</t>
  </si>
  <si>
    <t>Rush Springs Sw</t>
  </si>
  <si>
    <t>A tract or parcel of land in the Southwest Quarter (SW¼) of the Southeast Quarter (SE¼) of Section Twenty-Five (25), Township Four (4) North, Range Seven (7) West of the Indian Meridian, in Grady County, Oklahoma.</t>
  </si>
  <si>
    <t>RUSSELL2</t>
  </si>
  <si>
    <t>Russell Sw Sta</t>
  </si>
  <si>
    <t>A PART OF SECTION NINE (9), TOWNSHIP TWO (2) NORTH, RANGE TWENTY-TWO (22) WEST OF THE INDIAN MERIDIAN, JACKSON COUNTY, OKLAHOMA.</t>
  </si>
  <si>
    <t>RUSSELL4</t>
  </si>
  <si>
    <t>RUSSETT4</t>
  </si>
  <si>
    <t>Russett Sw Sta</t>
  </si>
  <si>
    <t>A tract of land lying in the SW/4 of the SW/4 of the SW/4 of Section 21, Township 4 South, Range 5 of the IM in Johnston County, Oklahoma.</t>
  </si>
  <si>
    <t>SNYDER 2</t>
  </si>
  <si>
    <t>Snyder Sw Sta</t>
  </si>
  <si>
    <t>NW/4 Sec 27, 2N, 17W, Kiowa County, OK</t>
  </si>
  <si>
    <t>SNYDER 4</t>
  </si>
  <si>
    <t>Snyder Switch</t>
  </si>
  <si>
    <t>STONEWAL  LH</t>
  </si>
  <si>
    <t>Stonewall Switch</t>
  </si>
  <si>
    <t>Coal County, Sec. 19, T-2-N, R-8-EIM, Oklahoma</t>
  </si>
  <si>
    <t>SUNSHIN2</t>
  </si>
  <si>
    <t>Sunshine Canyon Switch</t>
  </si>
  <si>
    <t>Part of the Northeast Quarter (NE/4) of Section Seven (7), Township Nine (9) North, Range Four (4) West, I.M., McClain County, Oklahoma.</t>
  </si>
  <si>
    <t>SUNSHIN4</t>
  </si>
  <si>
    <t>TALOGA 2</t>
  </si>
  <si>
    <t>Taloga Switch</t>
  </si>
  <si>
    <t>A TRACT OF LAND IN THE SOUTHWEST CORNER OF THE NORTHWEST QUARTER (NW/4) OF SECTION FOUR (4), TOWNSHIP EIGHTEEN (18) NORTH, RANGE SIXTEEN (16) WEST OF THE INDIAN MERIDIAN, DEWEY COUNTY, OKLAHOMA.</t>
  </si>
  <si>
    <t>TALOGA 4</t>
  </si>
  <si>
    <t>TEXOMAJ4</t>
  </si>
  <si>
    <t>Texoma Junction</t>
  </si>
  <si>
    <t>A tract in the Southwest Quarter (SW/4) of Section Three (3), Township Seven (7) South, Range Six (6) East, I.M., Marshall County, Oklahoma.</t>
  </si>
  <si>
    <t>TIPTONJ2</t>
  </si>
  <si>
    <t>Tipton Junction</t>
  </si>
  <si>
    <t>A PART OF THE SOUTHWEST QUARTER (SW/4) OF SECTION THIRTY-FIVE (35), TOWNSHIP ONE (1) NORTH, RANGE NINETEEN (19) WEST OF THE INDIAN MERIDIAN, TILLMAN COUNTY, OKLAHOMA.</t>
  </si>
  <si>
    <t>TUPELO4</t>
  </si>
  <si>
    <t>Tupelo Sw</t>
  </si>
  <si>
    <t>NW/4 Sec 27, 2N, 8E, Coal County, OK</t>
  </si>
  <si>
    <t>TUPLOTP4</t>
  </si>
  <si>
    <t>Tupelo Tap</t>
  </si>
  <si>
    <t>TWNLAKE4</t>
  </si>
  <si>
    <t>Twin Lakes Sw &amp; Caps</t>
  </si>
  <si>
    <t>A tract of land in the Southeast Quarter (SE/4) of Section Eight (8), Township Fifteen (15) North, Range Four (4) West, I.M., Logan County, Oklahoma.</t>
  </si>
  <si>
    <t>VERNON 2</t>
  </si>
  <si>
    <t>Vernon Sw Sta (W White City Load below)</t>
  </si>
  <si>
    <t>Wilbarger County, Texas</t>
  </si>
  <si>
    <t>WAKITA 2</t>
  </si>
  <si>
    <t>Wakita Sw Station</t>
  </si>
  <si>
    <t>A tract of land in the NW/4 of Section 35, Township 28 North, Range 8 West, I.M., Grant County, Oklahoma.</t>
  </si>
  <si>
    <t>WAKITA_138</t>
  </si>
  <si>
    <t>WASHITA2</t>
  </si>
  <si>
    <t>Washita Sw Sta</t>
  </si>
  <si>
    <t>A PARCEL OF LAND IN THE SOUTHEAST QUARTER (SE/4) OF SECTION FIVE (5), TOWNSHIP SEVEN (7) NORTH, RANGE ELEVEN (11) WEST OF THE INDIAN MERIDIAN, CADDO COUNTY, OKLAHOMA.</t>
  </si>
  <si>
    <t>WASHITA4</t>
  </si>
  <si>
    <t>WATNGSW2</t>
  </si>
  <si>
    <t>Watonga Sw</t>
  </si>
  <si>
    <t>NE/4 Sec 25, 16N, 11W, Blaine County, OK</t>
  </si>
  <si>
    <t>WEWOKA 4</t>
  </si>
  <si>
    <t>Wewoka Sw Sta</t>
  </si>
  <si>
    <t>A tract of land in the Southwest Quarter of the Northwest Quarter of the Southwest Quarter (SW/4 NW/4 SW/4) of Section Twenty-Five (25), Township Nine (9) North, Range Seven (7) East, I.M., Seminole County, Oklahoma.</t>
  </si>
  <si>
    <t>WINCH_TAP</t>
  </si>
  <si>
    <t>Winchester Tap</t>
  </si>
  <si>
    <t>A tract of land in the NE/4 of Section 22, 28N, 15W, Woods County, Oklahoma, containing 2.07 acres, more or less.</t>
  </si>
  <si>
    <t>WOODWRD2</t>
  </si>
  <si>
    <t>Woodward Sw</t>
  </si>
  <si>
    <t>LOTS SEVENTEEN (17), EIGHTEEN (18), NINETEEN (19), TWENTY (20), TWENTY-ONE (21) AND TWENTY-TWO (22), BLOCK FIFTEEN (15), IN HIGHLAND PARK ADDITION TO THE CITY OF WOODWARD, WOODWARD COUNTY, OKLAHOMA, ACCORDING TO THE RECORDED PLAT THEREOF.</t>
  </si>
  <si>
    <t>BEAVERRIVER2</t>
  </si>
  <si>
    <t>BEAVER 2</t>
  </si>
  <si>
    <t>Harper to Harper</t>
  </si>
  <si>
    <t>BEAVERJ2</t>
  </si>
  <si>
    <t>Harper thru Ellis to Woodward</t>
  </si>
  <si>
    <t>STOCKHOLM2</t>
  </si>
  <si>
    <t>Harper to Woodward</t>
  </si>
  <si>
    <t>BUFBEAR2</t>
  </si>
  <si>
    <t>WEST   2</t>
  </si>
  <si>
    <t>Harper to Woods</t>
  </si>
  <si>
    <t>FREEDOM2</t>
  </si>
  <si>
    <t>Woods to Woods</t>
  </si>
  <si>
    <t>Woods to Alfalfa</t>
  </si>
  <si>
    <t>BRLNGTN2</t>
  </si>
  <si>
    <t>Alfalfa to Alfalfa</t>
  </si>
  <si>
    <t>Woodward to Woodward</t>
  </si>
  <si>
    <t>CRTSJCT2</t>
  </si>
  <si>
    <t>WODWRD 2</t>
  </si>
  <si>
    <t>CHERPLT2/CEDAR5</t>
  </si>
  <si>
    <t>VICI   2</t>
  </si>
  <si>
    <t>Dewey to Woodward</t>
  </si>
  <si>
    <t>Dewey to Dewey</t>
  </si>
  <si>
    <t>CANTON-2</t>
  </si>
  <si>
    <t>Dewey to Blaine</t>
  </si>
  <si>
    <t>PUTNAM 2</t>
  </si>
  <si>
    <t>Custer to Dewey</t>
  </si>
  <si>
    <t>Custer to Custer</t>
  </si>
  <si>
    <t>INDPARK2</t>
  </si>
  <si>
    <t>Custer to Washita</t>
  </si>
  <si>
    <t>WCORDELLJ2</t>
  </si>
  <si>
    <t>Washita to Washita</t>
  </si>
  <si>
    <t>CORDELL2</t>
  </si>
  <si>
    <t>Washita to Kiowa</t>
  </si>
  <si>
    <t>LONEWLF2</t>
  </si>
  <si>
    <t>Kiowa to Kiowa</t>
  </si>
  <si>
    <t>Greer to Kiowa</t>
  </si>
  <si>
    <t>GYPSUM 2</t>
  </si>
  <si>
    <t>Jackson to Jackson</t>
  </si>
  <si>
    <t>Beckham to Greer</t>
  </si>
  <si>
    <t>Beckham to Beckham</t>
  </si>
  <si>
    <t>ELKCITY2</t>
  </si>
  <si>
    <t>ELKCTY-2</t>
  </si>
  <si>
    <t>DILL   2</t>
  </si>
  <si>
    <t>Washita to Beckham</t>
  </si>
  <si>
    <t>GRANITE2</t>
  </si>
  <si>
    <t>Greer to Greer</t>
  </si>
  <si>
    <t>OMMANGM2</t>
  </si>
  <si>
    <t>Jackson to Greer</t>
  </si>
  <si>
    <t>Harmen to Jackson</t>
  </si>
  <si>
    <t>ELDORDO2</t>
  </si>
  <si>
    <t>LAKEP2WT</t>
  </si>
  <si>
    <t>Hardeman to Jackson</t>
  </si>
  <si>
    <t>MTNVIEW2</t>
  </si>
  <si>
    <t>PINERDG2</t>
  </si>
  <si>
    <t>Kiowa to Caddo</t>
  </si>
  <si>
    <t>Caddo to Caddo</t>
  </si>
  <si>
    <t>CADDO  2</t>
  </si>
  <si>
    <t>COGAR  2</t>
  </si>
  <si>
    <t>ELRENOJ2</t>
  </si>
  <si>
    <t>Caddo to Canadian</t>
  </si>
  <si>
    <t>CANA</t>
  </si>
  <si>
    <t>Canadian to Canadian</t>
  </si>
  <si>
    <t>CALUMET2</t>
  </si>
  <si>
    <t>Canadian to Blaine</t>
  </si>
  <si>
    <t>Blaine to Blaine</t>
  </si>
  <si>
    <t>FAIRVEW2</t>
  </si>
  <si>
    <t>Major to Blaine</t>
  </si>
  <si>
    <t>OMFAIRV2</t>
  </si>
  <si>
    <t>Major to Major</t>
  </si>
  <si>
    <t>CARMEN 2</t>
  </si>
  <si>
    <t>Alfalfa to Major</t>
  </si>
  <si>
    <t>CLEOCOR2</t>
  </si>
  <si>
    <t>RNGWOOD2</t>
  </si>
  <si>
    <t>NASH   2</t>
  </si>
  <si>
    <t>Major thru Alfalfa thru Garfield to Grant</t>
  </si>
  <si>
    <t>Grant to Grant</t>
  </si>
  <si>
    <t>ALTUS_ 2</t>
  </si>
  <si>
    <t>NAVAJO 2</t>
  </si>
  <si>
    <t>Jackson thru Tillman to Kiowa</t>
  </si>
  <si>
    <t>Kiowa to Tillman</t>
  </si>
  <si>
    <t>Tillman to Tillman</t>
  </si>
  <si>
    <t>GUYER  2</t>
  </si>
  <si>
    <t>Wichita to Tillman</t>
  </si>
  <si>
    <t>Wichita to Wichita</t>
  </si>
  <si>
    <t>Wilbarger to Wichita</t>
  </si>
  <si>
    <t>LOCKETT2</t>
  </si>
  <si>
    <t>Wilbarger to Wilbarger</t>
  </si>
  <si>
    <t>Jackson to Wilbarger</t>
  </si>
  <si>
    <t>Cotton to Tillman</t>
  </si>
  <si>
    <t>GERONIMO</t>
  </si>
  <si>
    <t>Cotton to Cotton</t>
  </si>
  <si>
    <t>WALTRS-2</t>
  </si>
  <si>
    <t>WALTERS2</t>
  </si>
  <si>
    <t>COMANCH2</t>
  </si>
  <si>
    <t>Stephens to Cotton</t>
  </si>
  <si>
    <t>SUGDEN 2</t>
  </si>
  <si>
    <t>Stephens to Jefferson</t>
  </si>
  <si>
    <t>DUNCAN 2</t>
  </si>
  <si>
    <t>Stephens to Stephens</t>
  </si>
  <si>
    <t>STEPHNS2</t>
  </si>
  <si>
    <t>Grady to Stephens</t>
  </si>
  <si>
    <t>Grady to Grady</t>
  </si>
  <si>
    <t>Comanche to Grady</t>
  </si>
  <si>
    <t>Comanche to Comanche</t>
  </si>
  <si>
    <t>CYRIL  2</t>
  </si>
  <si>
    <t>Comanche to Caddo</t>
  </si>
  <si>
    <t>MUSTANG2</t>
  </si>
  <si>
    <t>SARAROAD2</t>
  </si>
  <si>
    <t>Canadian to Cleveland</t>
  </si>
  <si>
    <t>SPECTRM2 2</t>
  </si>
  <si>
    <t>BRAY</t>
  </si>
  <si>
    <t>Stephens to Grady</t>
  </si>
  <si>
    <t>BRADLEY2</t>
  </si>
  <si>
    <t>Grady to Garvin</t>
  </si>
  <si>
    <t>WALVILL2</t>
  </si>
  <si>
    <t>Garvin to Garvin</t>
  </si>
  <si>
    <t>BRADY  2</t>
  </si>
  <si>
    <t>EOLA   2</t>
  </si>
  <si>
    <t>Stephens to Garvin</t>
  </si>
  <si>
    <t>LEXNGTN2</t>
  </si>
  <si>
    <t>Cleveland thru McClain to Garvin</t>
  </si>
  <si>
    <t>VELMA  2</t>
  </si>
  <si>
    <t>IODINE 4</t>
  </si>
  <si>
    <t>KNOBHIL4</t>
  </si>
  <si>
    <t>ROSE_VALLEY</t>
  </si>
  <si>
    <t>Woods to Woodward</t>
  </si>
  <si>
    <t>SALT_PLAINS</t>
  </si>
  <si>
    <t>C_CITY_138</t>
  </si>
  <si>
    <t>BYRON_138</t>
  </si>
  <si>
    <t>SANDY_CN_138</t>
  </si>
  <si>
    <t>Alfalfa to Grant</t>
  </si>
  <si>
    <t>RENFROW4</t>
  </si>
  <si>
    <t>BEARCAT</t>
  </si>
  <si>
    <t>NINMILE 4</t>
  </si>
  <si>
    <t>Woodward to Dewey</t>
  </si>
  <si>
    <t>MORWOOD4</t>
  </si>
  <si>
    <t>BRANTLEY4</t>
  </si>
  <si>
    <t>Roger Mills to Custer</t>
  </si>
  <si>
    <t>DURHAM 4</t>
  </si>
  <si>
    <t>Roger Mills to Roger Mills</t>
  </si>
  <si>
    <t>SWEETWR4</t>
  </si>
  <si>
    <t>BULOJ4</t>
  </si>
  <si>
    <t>ELLIS  4</t>
  </si>
  <si>
    <t>GRACMNT4</t>
  </si>
  <si>
    <t>ELKCTY-4</t>
  </si>
  <si>
    <t>Beckham thru Washita to Custer</t>
  </si>
  <si>
    <t>CLINTJC4</t>
  </si>
  <si>
    <t>CLINTON4</t>
  </si>
  <si>
    <t>WEATHFD4</t>
  </si>
  <si>
    <t>DEERCR</t>
  </si>
  <si>
    <t>HYDRO  4</t>
  </si>
  <si>
    <t>Custer thru Washita to Caddo</t>
  </si>
  <si>
    <t>SICKLES4</t>
  </si>
  <si>
    <t>ONEY   4</t>
  </si>
  <si>
    <t>Caddo to Comanche</t>
  </si>
  <si>
    <t>PARADSE4</t>
  </si>
  <si>
    <t>MDCPRK4</t>
  </si>
  <si>
    <t>CACHE4</t>
  </si>
  <si>
    <t>Comanche to Kiowa</t>
  </si>
  <si>
    <t>INDHOMA4</t>
  </si>
  <si>
    <t>GRNDFLD4</t>
  </si>
  <si>
    <t>Comanche to Cotton</t>
  </si>
  <si>
    <t>POCASET4</t>
  </si>
  <si>
    <t>Caddo to Grady</t>
  </si>
  <si>
    <t>TUTTLE 4</t>
  </si>
  <si>
    <t>BRIDGECR</t>
  </si>
  <si>
    <t>Grady to McClain</t>
  </si>
  <si>
    <t>BAILEY4</t>
  </si>
  <si>
    <t>Cleveland to McClain</t>
  </si>
  <si>
    <t>SEQUOYAHJ4</t>
  </si>
  <si>
    <t>CORNVIL4</t>
  </si>
  <si>
    <t>McClain to Garvin</t>
  </si>
  <si>
    <t>PIC4</t>
  </si>
  <si>
    <t>CEDRDAL4</t>
  </si>
  <si>
    <t>Woodward to Major</t>
  </si>
  <si>
    <t>Kingfisher to Blaine</t>
  </si>
  <si>
    <t>HENESEY4</t>
  </si>
  <si>
    <t>Kingfisher to Kingfisher</t>
  </si>
  <si>
    <t>DOVER  4</t>
  </si>
  <si>
    <t>Kingfisher to Logan</t>
  </si>
  <si>
    <t>CRESENT4</t>
  </si>
  <si>
    <t>Logan to Logan</t>
  </si>
  <si>
    <t>CASHION4</t>
  </si>
  <si>
    <t>REEDING2</t>
  </si>
  <si>
    <t>Logan to Kingfisher</t>
  </si>
  <si>
    <t>EKNGFSH3</t>
  </si>
  <si>
    <t>NKNGFSH</t>
  </si>
  <si>
    <t>EMPIRE 4</t>
  </si>
  <si>
    <t>Stephens to Comanche</t>
  </si>
  <si>
    <t>GEORGIA4</t>
  </si>
  <si>
    <t>COLE</t>
  </si>
  <si>
    <t>CRINER</t>
  </si>
  <si>
    <t>McClain to McClain</t>
  </si>
  <si>
    <t>BLANCHD4</t>
  </si>
  <si>
    <t>GOLDSBY4</t>
  </si>
  <si>
    <t>NOBLE4</t>
  </si>
  <si>
    <t>Cleveland to Cleveland</t>
  </si>
  <si>
    <t>LIDDELL4</t>
  </si>
  <si>
    <t>WMOORE 4</t>
  </si>
  <si>
    <t>Cleveland to Pottawatomie</t>
  </si>
  <si>
    <t>HIGHLND4</t>
  </si>
  <si>
    <t>Pottawatomie to Pottawatomie</t>
  </si>
  <si>
    <t>CHISNEY4</t>
  </si>
  <si>
    <t>Pottawatomie to Seminole</t>
  </si>
  <si>
    <t>UNDCLAY4</t>
  </si>
  <si>
    <t>Seminole to Seminole</t>
  </si>
  <si>
    <t>CROMWEL4</t>
  </si>
  <si>
    <t>TRNCNDACV4</t>
  </si>
  <si>
    <t>PARAGON4</t>
  </si>
  <si>
    <t>Seminole to Okfuskee</t>
  </si>
  <si>
    <t>WETUMKA4</t>
  </si>
  <si>
    <t>Okfuskee to Okfuskee</t>
  </si>
  <si>
    <t>DUSTIN 4</t>
  </si>
  <si>
    <t>Hughes to Okfuskee</t>
  </si>
  <si>
    <t>HANNA  4</t>
  </si>
  <si>
    <t>Hughes to Mcintosh</t>
  </si>
  <si>
    <t>MCALSTR4</t>
  </si>
  <si>
    <t>Mcintosh to Pittsburg</t>
  </si>
  <si>
    <t>CANADAN4</t>
  </si>
  <si>
    <t>Pittsburg to Pittsburg</t>
  </si>
  <si>
    <t>TENASKAWP4</t>
  </si>
  <si>
    <t>CARBON 4</t>
  </si>
  <si>
    <t>LONEOAK4</t>
  </si>
  <si>
    <t>HARTSHN4</t>
  </si>
  <si>
    <t>SAVANNA4</t>
  </si>
  <si>
    <t>PITTSBG4</t>
  </si>
  <si>
    <t>ASHLAND4</t>
  </si>
  <si>
    <t>Coal to Pittsburg</t>
  </si>
  <si>
    <t>COLGATE4</t>
  </si>
  <si>
    <t>Coal to Coal</t>
  </si>
  <si>
    <t>TUPELO 4</t>
  </si>
  <si>
    <t>LASALLE4</t>
  </si>
  <si>
    <t>Pontotoc to Coal</t>
  </si>
  <si>
    <t>Pontotoc to Pontotoc</t>
  </si>
  <si>
    <t>OILCNTR4</t>
  </si>
  <si>
    <t>STRATFD4</t>
  </si>
  <si>
    <t>Pontotoc to Garvin</t>
  </si>
  <si>
    <t>CIVIT  4</t>
  </si>
  <si>
    <t>Garvin to Stephens</t>
  </si>
  <si>
    <t>ARCO   4</t>
  </si>
  <si>
    <t>PINTO  4</t>
  </si>
  <si>
    <t>HEALDTN4</t>
  </si>
  <si>
    <t>Jefferson to Stephens</t>
  </si>
  <si>
    <t>RINGLNG4</t>
  </si>
  <si>
    <t>Jefferson to Jefferson</t>
  </si>
  <si>
    <t>SWILSON4</t>
  </si>
  <si>
    <t>Jefferson thru Carter to Love</t>
  </si>
  <si>
    <t>Love to Love</t>
  </si>
  <si>
    <t>ENVILLE</t>
  </si>
  <si>
    <t>LEBANON4</t>
  </si>
  <si>
    <t>Love to Marshall</t>
  </si>
  <si>
    <t>Marshall to Marshall</t>
  </si>
  <si>
    <t>CANEYCK4</t>
  </si>
  <si>
    <t>S BROWN4</t>
  </si>
  <si>
    <t>Bryan thru Marshall to Johnston</t>
  </si>
  <si>
    <t>KIERSEY4</t>
  </si>
  <si>
    <t>Bryan to Bryan</t>
  </si>
  <si>
    <t>COLBERT4</t>
  </si>
  <si>
    <t>SEAWAY4</t>
  </si>
  <si>
    <t>SCOLEMN4</t>
  </si>
  <si>
    <t>DURANT 4</t>
  </si>
  <si>
    <t>BENNSUB4</t>
  </si>
  <si>
    <t>UNGER  4</t>
  </si>
  <si>
    <t>Bryan to Choctaw</t>
  </si>
  <si>
    <t>WSTBANK4</t>
  </si>
  <si>
    <t>Choctaw to Choctaw</t>
  </si>
  <si>
    <t>FROGVIL4</t>
  </si>
  <si>
    <t>VALIANT4</t>
  </si>
  <si>
    <t>McCurtain to Choctaw</t>
  </si>
  <si>
    <t>VALLANT4</t>
  </si>
  <si>
    <t>Choctaw to McCurtain</t>
  </si>
  <si>
    <t>GARVIN4</t>
  </si>
  <si>
    <t>McCurtain to McCurtain</t>
  </si>
  <si>
    <t>HOLYCRK4</t>
  </si>
  <si>
    <t>BROKNBW4</t>
  </si>
  <si>
    <t>HOCHTWN4</t>
  </si>
  <si>
    <t>BRKN BW4</t>
  </si>
  <si>
    <t>CRAIGJT4</t>
  </si>
  <si>
    <t>MTRIVER4</t>
  </si>
  <si>
    <t>SAWYER4</t>
  </si>
  <si>
    <t>RATTAN 4</t>
  </si>
  <si>
    <t>Choctaw to Pushmataha</t>
  </si>
  <si>
    <t>Pushmataha to Pushmataha</t>
  </si>
  <si>
    <t>LANE   4</t>
  </si>
  <si>
    <t>Pushmataha to Atoka</t>
  </si>
  <si>
    <t>Atoka to Atoka</t>
  </si>
  <si>
    <t>ATOKA--4</t>
  </si>
  <si>
    <t>Coal to Atoka</t>
  </si>
  <si>
    <t>LAMAR4</t>
  </si>
  <si>
    <t>WNORMAN4</t>
  </si>
  <si>
    <t>McClain to Cleveland</t>
  </si>
  <si>
    <t>ACME 4</t>
  </si>
  <si>
    <t>LIL AXE2</t>
  </si>
  <si>
    <t>SNYDER-4</t>
  </si>
  <si>
    <t>JENSEN 4</t>
  </si>
  <si>
    <t>CANADN-4</t>
  </si>
  <si>
    <t>MAYSVLT4</t>
  </si>
  <si>
    <t>MAYSVILLE4</t>
  </si>
  <si>
    <t>MDFRDTP4</t>
  </si>
  <si>
    <t>MDFRDJCT</t>
  </si>
  <si>
    <t>PONDCREEK</t>
  </si>
  <si>
    <t>TBPF</t>
  </si>
  <si>
    <t>FPL SWITCH - MOORELAND 138KV CKT 1 (WFEC)</t>
  </si>
  <si>
    <t>CLOSED OUT</t>
  </si>
  <si>
    <t>ELMORE - WALLVILLE 69KV CKT 1</t>
  </si>
  <si>
    <t>ANADARKO - CYRIL 69KV CKT 1</t>
  </si>
  <si>
    <t>HAMON BUTLER - MOREWOOD 69KV CKT 1</t>
  </si>
  <si>
    <t>ERICK - SWEETWATER 138KV CKT 1</t>
  </si>
  <si>
    <t>DURHAM - SWEETWATER 138KV CKT 1</t>
  </si>
  <si>
    <t>BRANTLEY - DURHAM 138KV CKT 1</t>
  </si>
  <si>
    <t>BRANTLEY - MORWOOD 138KV CKT 1</t>
  </si>
  <si>
    <t>MOREWOOD SW - MORWOOD 138KV CKT 1</t>
  </si>
  <si>
    <t>BRADLEY - RUSH SPRINGS 69KV CKT 1</t>
  </si>
  <si>
    <t>HAMMETT - MEEKER 138KV CKT 1</t>
  </si>
  <si>
    <t>RE-EVALUATION</t>
  </si>
  <si>
    <t>WOODWARD - WOODWARD 69KV CKT 1</t>
  </si>
  <si>
    <t>DELAY - MITIGATION</t>
  </si>
  <si>
    <t>CIMARRON - DOVER SW 69KV CKT 1</t>
  </si>
  <si>
    <t>DOVER 138/69KV TRANSFORMER CKT 1</t>
  </si>
  <si>
    <t>ACME - WEST NORMAN 69KV CKT 1</t>
  </si>
  <si>
    <t>COMPLETE</t>
  </si>
  <si>
    <t>FT SUPPLY 138/69KV TRANSFORMER CKT 2</t>
  </si>
  <si>
    <t>Little Axe 69 kV - Noble 69 kV</t>
  </si>
  <si>
    <t>ATOKA WEST - TUPELO 138KV CKT 1</t>
  </si>
  <si>
    <t>ATOKA EAST - LANE 138KV CKT 1</t>
  </si>
  <si>
    <t>SNYDER - SNYDER 138KV CKT 1 (WFEC)</t>
  </si>
  <si>
    <t>CYRIL - MEDICINE PARK JCT 69KV CKT 1</t>
  </si>
  <si>
    <t>ANADARKO - GEORGIA 138KV CKT 1</t>
  </si>
  <si>
    <t>ELMORE - PAOLI 69KV CKT 1</t>
  </si>
  <si>
    <t>GOLDSBY - OU SW 138KV CKT 1</t>
  </si>
  <si>
    <t>CANADIAN SW - GOLDSBY 138KV CKT 1</t>
  </si>
  <si>
    <t>OU SW 138/69KV TRANSFORMER CKT 1</t>
  </si>
  <si>
    <t>PAOLI 138/69KV TRANSFORMER CKT 1 (WFEC)</t>
  </si>
  <si>
    <t>ACME - FRANKLIN SW 138KV CKT 1</t>
  </si>
  <si>
    <t>ACME - WEST NORMAN 138KV CKT 1</t>
  </si>
  <si>
    <t>OU SW - WEST NORMAN 138KV CKT 1</t>
  </si>
  <si>
    <t>ALVA - CHEROKEE SW 69KV CKT 1</t>
  </si>
  <si>
    <t>FLETCHER - MEDICINE PARK JCT 69KV CKT 1</t>
  </si>
  <si>
    <t>ANADARKO 138/69KV TRANSFORMER CKT 2</t>
  </si>
  <si>
    <t>FRANKLIN SW 138KV CKT 1</t>
  </si>
  <si>
    <t>BROWN - RUSSETT 138KV CKT 1</t>
  </si>
  <si>
    <t>FLETCHER - MARLOW JCT 69KV CKT 1</t>
  </si>
  <si>
    <t>LINDSAY SW - WALLVILLE 69KV CKT 1</t>
  </si>
  <si>
    <t>PHAROAH - WELEETKA 138KV CKT 1</t>
  </si>
  <si>
    <t>ALTUS JCT TAP - RUSSELL 138KV CKT 1</t>
  </si>
  <si>
    <t>GRANDFIELD - INDIAHOMA 138KV CKT 1</t>
  </si>
  <si>
    <t>CACHE - INDIAHOMA 138KV CKT 1</t>
  </si>
  <si>
    <t>GRANDFIELD 138/69KV TRANSFORMER CKT 1</t>
  </si>
  <si>
    <t>COMANCHE 138/69KV TRANSFORMER CKT 1</t>
  </si>
  <si>
    <t>BUFFALO - FT SUPPLY 69KV CKT 1</t>
  </si>
  <si>
    <t>BURLINGTON - CHEROKEE SW 69KV CKT 1</t>
  </si>
  <si>
    <t>IODINE - MOORELAND 138KV CKT 1</t>
  </si>
  <si>
    <t>MOORELAND - MOREWOOD SW 138KV CKT 1</t>
  </si>
  <si>
    <t>GRANDFIELD - HOLLISTER 69KV CKT 1</t>
  </si>
  <si>
    <t>DOVER - DOVER SW 138KV CKT 1</t>
  </si>
  <si>
    <t>DOVER - TWIN LAKES 138KV CKT 1</t>
  </si>
  <si>
    <t>CASHION - TWIN LAKES 138KV CKT 1</t>
  </si>
  <si>
    <t>CRESENT - TWIN LAKES 138KV CKT 1</t>
  </si>
  <si>
    <t>CARTER JCT - LAKE CREEK 69KV CKT 1</t>
  </si>
  <si>
    <t>LINDSAY - LINDSAY SW 69KV CKT 1</t>
  </si>
  <si>
    <t>HWBW</t>
  </si>
  <si>
    <t>Reeding - Twin Lakes SW 138 kV Ckt 1</t>
  </si>
  <si>
    <t>EL RENO - EL RENO SW 69KV CKT 1</t>
  </si>
  <si>
    <t>BRADLEY - LINDSAY SW 69KV CKT 1</t>
  </si>
  <si>
    <t>BP</t>
  </si>
  <si>
    <t>Anadarko (Gracemont) Tap 138 kV</t>
  </si>
  <si>
    <t>Mustang - Sunshine Canyon 69 kV Ckt 1 Reconductor</t>
  </si>
  <si>
    <t>SNYDER - TIPTON JCT 69KV CKT 1</t>
  </si>
  <si>
    <t>Anadarko - Blanchard 138 kV Ckt 1</t>
  </si>
  <si>
    <t>BLANCHARD - OU SW 138 KV CKT 1</t>
  </si>
  <si>
    <t>Nash - Wakita 69 kV Ckt 1</t>
  </si>
  <si>
    <t>Cole - OU Switchyard 138 kV Ckt 1</t>
  </si>
  <si>
    <t>ALTUS SW - NAVAJO 69KV CKT 1</t>
  </si>
  <si>
    <t>BLUCAN5 4   138.00 - PARADISE 138KV CKT 1</t>
  </si>
  <si>
    <t>ALVA - FREEDOM 69KV CKT 1</t>
  </si>
  <si>
    <t>Cole - Criner 138 kV Ckt 1</t>
  </si>
  <si>
    <t>RUSH SPRINGS 69KV</t>
  </si>
  <si>
    <t>SNYDER 69KV</t>
  </si>
  <si>
    <t>MARIETTA 138KV</t>
  </si>
  <si>
    <t>SWEETWATER 138KV</t>
  </si>
  <si>
    <t>ESQUANDALE 69KV</t>
  </si>
  <si>
    <t>COMANCHE 138KV</t>
  </si>
  <si>
    <t>TWIN LAKES 138KV</t>
  </si>
  <si>
    <t>CARTER JCT 69KV</t>
  </si>
  <si>
    <t>EAGLE CHIEF 69KV</t>
  </si>
  <si>
    <t>ELECTRA SW 69KV</t>
  </si>
  <si>
    <t>CANTON - TALOGA 69KV CKT 1</t>
  </si>
  <si>
    <t>TALOGA (TALOGA) 138/69/13.8KV TRANSFORMER CKT 1</t>
  </si>
  <si>
    <t>Criner - Payne Switching Station 138 kV</t>
  </si>
  <si>
    <t xml:space="preserve">Payne Switching Station 138 kV </t>
  </si>
  <si>
    <t>Noel Switch - Wakita 138 kV Ckt 1</t>
  </si>
  <si>
    <t>Sandridge Tap - Wakita 138 kV Ckt 1</t>
  </si>
  <si>
    <t>Wakita 138/69 kV Transformer Ckt 1</t>
  </si>
  <si>
    <t>White Horse 69 kV Capacitor</t>
  </si>
  <si>
    <t>Fairview 69 kV Capacitor</t>
  </si>
  <si>
    <t>Hazelton 69 kV Capacitor</t>
  </si>
  <si>
    <t>Buffalo Bear - Buffalo 69 kV Ckt 1</t>
  </si>
  <si>
    <t>Buffalo Bear - Ft. Supply 69 kV Ckt 1 #2</t>
  </si>
  <si>
    <t>Sandridge Tap - Renfrow 138 kV Ckt 1 (WFEC)</t>
  </si>
  <si>
    <t>Medford Tap - Pond Creek 138 kV (WFEC)</t>
  </si>
  <si>
    <t>Renfrow-Sandridge Capacitor 138 kV</t>
  </si>
  <si>
    <t>ON SCHEDULE &lt; 4</t>
  </si>
  <si>
    <t>Hazelton Capacitor 69 kV #2</t>
  </si>
  <si>
    <t>Elk City - Red Hills 138 kV Ckt 1 Reconductor</t>
  </si>
  <si>
    <t>Sandy Corner 138 kV Cap Bank</t>
  </si>
  <si>
    <t>Freedom 69 kV Cap Bank</t>
  </si>
  <si>
    <t>Eagle Chief 69 kV Cap Bank</t>
  </si>
  <si>
    <t>Carmen 138 kV Ckt 1 Terminal Upgrades</t>
  </si>
  <si>
    <t>Carmen 138/69 kV Ckt 1 Transformer</t>
  </si>
  <si>
    <t xml:space="preserve">Cherokee Junction Tap 138/69 kV Ckt 1 Transformer </t>
  </si>
  <si>
    <t>Carmen - Cherokee Junction 69 kV Ckt 1 Rebuild</t>
  </si>
  <si>
    <t>Cherokee Junction Tap 138 kV Substation</t>
  </si>
  <si>
    <t>Knobhill - Noel 138 kV Ckt 1 Terminal Upgrades</t>
  </si>
  <si>
    <t>Winchester 69 kV Cap Bank</t>
  </si>
  <si>
    <t>Thackerville 69 kV Cap Bank</t>
  </si>
  <si>
    <t>Line 6</t>
  </si>
  <si>
    <t>Year Ending December 31, 2016</t>
  </si>
  <si>
    <t>Line 11</t>
  </si>
  <si>
    <t>ASSET BALANCE 12/31/16</t>
  </si>
  <si>
    <t>NTC-Commitment Window</t>
  </si>
  <si>
    <t>Lincoln-Meeker 138kV Ckt 1 New Line (WFEC)</t>
  </si>
  <si>
    <t>007826</t>
  </si>
  <si>
    <t>TMN-El Reno-Sara Road Rebuild</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</si>
</sst>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_(* #,##0.000_);_(* \(#,##0.000\);_(* &quot;-&quot;??_);_(@_)"/>
    <numFmt numFmtId="168" formatCode="[$-409]mmmm\-yy;@"/>
    <numFmt numFmtId="169" formatCode="0.0%"/>
    <numFmt numFmtId="170" formatCode="_(&quot;$&quot;* #,##0_);_(&quot;$&quot;* \(#,##0\);_(&quot;$&quot;* &quot;0&quot;;_(@_)"/>
    <numFmt numFmtId="171" formatCode="_(&quot;$&quot;* #,##0.0_);_(&quot;$&quot;* \(#,##0.0\);_(&quot;$&quot;* &quot;-&quot;??_);_(@_)"/>
    <numFmt numFmtId="172" formatCode="&quot;$&quot;#,##0"/>
    <numFmt numFmtId="173" formatCode="0.0"/>
    <numFmt numFmtId="174" formatCode="#,##0.0_);\(#,##0.0\)"/>
    <numFmt numFmtId="175" formatCode="&quot;$&quot;#,##0.00"/>
    <numFmt numFmtId="176" formatCode="mm/dd/yyyy"/>
    <numFmt numFmtId="177" formatCode="0.00000%"/>
    <numFmt numFmtId="178" formatCode="0_);\(0\)"/>
    <numFmt numFmtId="179" formatCode="#,##0.0000_);\(#,##0.0000\)"/>
    <numFmt numFmtId="180" formatCode="[$-409]d\-mmm\-yy;@"/>
    <numFmt numFmtId="181" formatCode="_(* #,##0.0_);_(* \(#,##0.0\);_(* &quot;-&quot;??_);_(@_)"/>
    <numFmt numFmtId="182" formatCode="0.0000"/>
    <numFmt numFmtId="183" formatCode="mmm\-yyyy"/>
  </numFmts>
  <fonts count="46">
    <font>
      <sz val="11"/>
      <color theme="1"/>
      <name val="Arial"/>
      <family val="2"/>
    </font>
    <font>
      <sz val="10"/>
      <color theme="1"/>
      <name val="Arial"/>
      <family val="2"/>
    </font>
    <font>
      <sz val="10"/>
      <color theme="1"/>
      <name val="Arial"/>
      <family val="2"/>
    </font>
    <font>
      <sz val="11"/>
      <color theme="1"/>
      <name val="Arial"/>
      <family val="2"/>
    </font>
    <font>
      <b/>
      <sz val="11"/>
      <name val="Arial"/>
      <family val="2"/>
    </font>
    <font>
      <sz val="11"/>
      <name val="Arial"/>
      <family val="2"/>
    </font>
    <font>
      <b/>
      <sz val="16"/>
      <name val="Arial"/>
      <family val="2"/>
    </font>
    <font>
      <sz val="12"/>
      <name val="Arial MT"/>
    </font>
    <font>
      <b/>
      <u/>
      <sz val="12"/>
      <name val="Arial MT"/>
    </font>
    <font>
      <sz val="12"/>
      <name val="Arial"/>
      <family val="2"/>
    </font>
    <font>
      <b/>
      <sz val="12"/>
      <name val="Arial"/>
      <family val="2"/>
    </font>
    <font>
      <b/>
      <sz val="12"/>
      <color theme="1"/>
      <name val="Arial"/>
      <family val="2"/>
    </font>
    <font>
      <sz val="10"/>
      <name val="Arial"/>
      <family val="2"/>
    </font>
    <font>
      <u/>
      <sz val="11"/>
      <name val="Arial"/>
      <family val="2"/>
    </font>
    <font>
      <b/>
      <u/>
      <sz val="11"/>
      <name val="Arial"/>
      <family val="2"/>
    </font>
    <font>
      <i/>
      <sz val="11"/>
      <name val="Arial"/>
      <family val="2"/>
    </font>
    <font>
      <sz val="11"/>
      <color theme="1"/>
      <name val="Calibri"/>
      <family val="2"/>
      <scheme val="minor"/>
    </font>
    <font>
      <b/>
      <sz val="10"/>
      <name val="Arial"/>
      <family val="2"/>
    </font>
    <font>
      <sz val="16"/>
      <name val="Arial"/>
      <family val="2"/>
    </font>
    <font>
      <b/>
      <sz val="14"/>
      <name val="Arial"/>
      <family val="2"/>
    </font>
    <font>
      <sz val="13"/>
      <name val="Times New Roman"/>
      <family val="1"/>
    </font>
    <font>
      <b/>
      <sz val="10"/>
      <name val="MS Sans Serif"/>
      <family val="2"/>
    </font>
    <font>
      <b/>
      <sz val="10"/>
      <name val="MS Sans Serif"/>
    </font>
    <font>
      <sz val="10"/>
      <name val="MS Sans Serif"/>
      <family val="2"/>
    </font>
    <font>
      <b/>
      <i/>
      <sz val="11"/>
      <name val="Arial"/>
      <family val="2"/>
    </font>
    <font>
      <b/>
      <sz val="15"/>
      <color theme="3"/>
      <name val="Calibri"/>
      <family val="2"/>
      <scheme val="minor"/>
    </font>
    <font>
      <sz val="9"/>
      <name val="Arial"/>
      <family val="2"/>
    </font>
    <font>
      <b/>
      <sz val="9"/>
      <name val="Arial"/>
      <family val="2"/>
    </font>
    <font>
      <b/>
      <sz val="10"/>
      <name val="Cambria"/>
      <family val="1"/>
    </font>
    <font>
      <sz val="10"/>
      <name val="Cambria"/>
      <family val="1"/>
    </font>
    <font>
      <sz val="11"/>
      <name val="Times New Roman"/>
      <family val="1"/>
    </font>
    <font>
      <sz val="11"/>
      <name val="Calibri"/>
      <family val="2"/>
      <scheme val="minor"/>
    </font>
    <font>
      <b/>
      <sz val="15"/>
      <name val="Calibri"/>
      <family val="2"/>
      <scheme val="minor"/>
    </font>
    <font>
      <sz val="14"/>
      <name val="Arial"/>
      <family val="2"/>
    </font>
    <font>
      <sz val="14"/>
      <name val="Calibri"/>
      <family val="2"/>
      <scheme val="minor"/>
    </font>
    <font>
      <u/>
      <sz val="11"/>
      <color theme="1"/>
      <name val="Arial"/>
      <family val="2"/>
    </font>
    <font>
      <b/>
      <sz val="11"/>
      <color theme="1"/>
      <name val="Arial"/>
      <family val="2"/>
    </font>
    <font>
      <sz val="12"/>
      <name val="Times New Roman"/>
      <family val="1"/>
    </font>
    <font>
      <sz val="9"/>
      <color theme="1"/>
      <name val="Arial"/>
      <family val="2"/>
    </font>
    <font>
      <sz val="11"/>
      <color rgb="FF0070C0"/>
      <name val="Arial"/>
      <family val="2"/>
    </font>
    <font>
      <u/>
      <sz val="10"/>
      <name val="Arial"/>
      <family val="2"/>
    </font>
    <font>
      <sz val="11"/>
      <color theme="0"/>
      <name val="Arial"/>
      <family val="2"/>
    </font>
    <font>
      <sz val="10"/>
      <color theme="1"/>
      <name val="Times New Roman"/>
      <family val="2"/>
    </font>
    <font>
      <b/>
      <sz val="16"/>
      <color theme="1"/>
      <name val="Arial"/>
      <family val="2"/>
    </font>
    <font>
      <b/>
      <sz val="10"/>
      <color theme="1"/>
      <name val="Arial"/>
      <family val="2"/>
    </font>
    <font>
      <sz val="16"/>
      <color theme="1"/>
      <name val="Arial"/>
      <family val="2"/>
    </font>
  </fonts>
  <fills count="6">
    <fill>
      <patternFill patternType="none"/>
    </fill>
    <fill>
      <patternFill patternType="gray125"/>
    </fill>
    <fill>
      <patternFill patternType="mediumGray">
        <fgColor indexed="22"/>
      </patternFill>
    </fill>
    <fill>
      <patternFill patternType="solid">
        <fgColor theme="9" tint="0.39994506668294322"/>
        <bgColor indexed="64"/>
      </patternFill>
    </fill>
    <fill>
      <patternFill patternType="solid">
        <fgColor theme="9" tint="0.59999389629810485"/>
        <bgColor indexed="64"/>
      </patternFill>
    </fill>
    <fill>
      <patternFill patternType="solid">
        <fgColor theme="9" tint="0.39997558519241921"/>
        <bgColor indexed="64"/>
      </patternFill>
    </fill>
  </fills>
  <borders count="27">
    <border>
      <left/>
      <right/>
      <top/>
      <bottom/>
      <diagonal/>
    </border>
    <border>
      <left/>
      <right/>
      <top/>
      <bottom style="thick">
        <color theme="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theme="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s>
  <cellStyleXfs count="40">
    <xf numFmtId="0" fontId="0" fillId="0" borderId="0"/>
    <xf numFmtId="43" fontId="2" fillId="0" borderId="0" applyFont="0" applyFill="0" applyBorder="0" applyAlignment="0" applyProtection="0"/>
    <xf numFmtId="41" fontId="2" fillId="0" borderId="0" applyFill="0" applyBorder="0" applyProtection="0">
      <alignment horizontal="right"/>
    </xf>
    <xf numFmtId="44" fontId="2" fillId="0" borderId="0" applyFont="0" applyFill="0" applyBorder="0" applyAlignment="0" applyProtection="0"/>
    <xf numFmtId="9" fontId="2" fillId="0" borderId="0" applyFont="0" applyFill="0" applyBorder="0" applyAlignment="0" applyProtection="0"/>
    <xf numFmtId="0" fontId="25" fillId="0" borderId="1" applyNumberFormat="0" applyFill="0" applyAlignment="0" applyProtection="0"/>
    <xf numFmtId="0" fontId="11" fillId="0" borderId="2" applyNumberFormat="0" applyFill="0" applyAlignment="0" applyProtection="0"/>
    <xf numFmtId="3" fontId="3" fillId="3" borderId="0" applyProtection="0">
      <alignment horizontal="right"/>
    </xf>
    <xf numFmtId="168" fontId="7" fillId="0" borderId="0" applyProtection="0"/>
    <xf numFmtId="1" fontId="7" fillId="0" borderId="0" applyFill="0" applyBorder="0" applyProtection="0"/>
    <xf numFmtId="39" fontId="12" fillId="0" borderId="0"/>
    <xf numFmtId="166" fontId="3" fillId="3" borderId="0" applyProtection="0">
      <alignment horizontal="right"/>
    </xf>
    <xf numFmtId="43" fontId="12" fillId="0" borderId="0" applyFont="0" applyFill="0" applyBorder="0" applyAlignment="0" applyProtection="0"/>
    <xf numFmtId="0" fontId="16" fillId="0" borderId="0"/>
    <xf numFmtId="43" fontId="16" fillId="0" borderId="0" applyFont="0" applyFill="0" applyBorder="0" applyAlignment="0" applyProtection="0"/>
    <xf numFmtId="166" fontId="16" fillId="0" borderId="0" applyFont="0" applyBorder="0" applyAlignment="0" applyProtection="0"/>
    <xf numFmtId="175" fontId="7" fillId="0" borderId="0" applyProtection="0"/>
    <xf numFmtId="0" fontId="12" fillId="0" borderId="0"/>
    <xf numFmtId="44" fontId="12" fillId="0" borderId="0" applyFont="0" applyFill="0" applyBorder="0" applyAlignment="0" applyProtection="0"/>
    <xf numFmtId="0" fontId="21" fillId="0" borderId="6">
      <alignment horizontal="center"/>
    </xf>
    <xf numFmtId="0" fontId="23" fillId="0" borderId="0" applyNumberFormat="0" applyFont="0" applyFill="0" applyBorder="0" applyAlignment="0" applyProtection="0">
      <alignment horizontal="left"/>
    </xf>
    <xf numFmtId="0" fontId="23" fillId="2" borderId="0" applyNumberFormat="0" applyFont="0" applyBorder="0" applyAlignment="0" applyProtection="0"/>
    <xf numFmtId="0" fontId="23" fillId="0" borderId="0"/>
    <xf numFmtId="0" fontId="16" fillId="0" borderId="0"/>
    <xf numFmtId="0" fontId="12" fillId="0" borderId="0"/>
    <xf numFmtId="3" fontId="2" fillId="0" borderId="0" applyBorder="0" applyProtection="0">
      <alignment horizontal="left"/>
    </xf>
    <xf numFmtId="0" fontId="3" fillId="0" borderId="0"/>
    <xf numFmtId="42" fontId="3" fillId="3" borderId="0" applyProtection="0">
      <alignment horizontal="right"/>
    </xf>
    <xf numFmtId="3" fontId="2" fillId="0" borderId="0" applyBorder="0" applyProtection="0">
      <alignment horizontal="left"/>
    </xf>
    <xf numFmtId="44" fontId="2" fillId="0" borderId="0" applyFont="0" applyFill="0" applyBorder="0" applyAlignment="0" applyProtection="0"/>
    <xf numFmtId="43" fontId="2" fillId="0" borderId="0" applyFont="0" applyFill="0" applyBorder="0" applyAlignment="0" applyProtection="0"/>
    <xf numFmtId="3" fontId="1" fillId="0" borderId="0" applyBorder="0" applyProtection="0">
      <alignment horizontal="left"/>
    </xf>
    <xf numFmtId="9" fontId="1" fillId="0" borderId="0" applyFont="0" applyFill="0" applyBorder="0" applyAlignment="0" applyProtection="0"/>
    <xf numFmtId="44" fontId="1" fillId="0" borderId="0" applyFont="0" applyFill="0" applyBorder="0" applyAlignment="0" applyProtection="0"/>
    <xf numFmtId="9" fontId="3" fillId="3" borderId="0" applyProtection="0">
      <alignment horizontal="right"/>
    </xf>
    <xf numFmtId="0" fontId="16" fillId="0" borderId="0"/>
    <xf numFmtId="42" fontId="3" fillId="0" borderId="0" applyFont="0" applyFill="0" applyBorder="0" applyAlignment="0" applyProtection="0"/>
    <xf numFmtId="0" fontId="12" fillId="0" borderId="0"/>
    <xf numFmtId="0" fontId="42" fillId="0" borderId="0"/>
    <xf numFmtId="43" fontId="1" fillId="0" borderId="0" applyFont="0" applyFill="0" applyBorder="0" applyAlignment="0" applyProtection="0"/>
  </cellStyleXfs>
  <cellXfs count="644">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left"/>
    </xf>
    <xf numFmtId="0" fontId="5" fillId="0" borderId="0" xfId="0" applyFont="1" applyFill="1" applyAlignment="1">
      <alignment horizontal="center"/>
    </xf>
    <xf numFmtId="0" fontId="5" fillId="0" borderId="0" xfId="0" quotePrefix="1" applyFont="1" applyFill="1" applyAlignment="1">
      <alignment horizontal="left"/>
    </xf>
    <xf numFmtId="164" fontId="5" fillId="0" borderId="0" xfId="1" applyNumberFormat="1" applyFont="1" applyFill="1"/>
    <xf numFmtId="43" fontId="5" fillId="0" borderId="0" xfId="1" applyFont="1" applyFill="1" applyAlignment="1">
      <alignment horizontal="right"/>
    </xf>
    <xf numFmtId="37" fontId="5" fillId="0" borderId="0" xfId="9" applyNumberFormat="1" applyFont="1" applyFill="1" applyAlignment="1"/>
    <xf numFmtId="165" fontId="5" fillId="0" borderId="0" xfId="3" applyNumberFormat="1" applyFont="1" applyFill="1"/>
    <xf numFmtId="0" fontId="5" fillId="0" borderId="0" xfId="0" applyFont="1" applyFill="1" applyAlignment="1">
      <alignment horizontal="left" indent="1"/>
    </xf>
    <xf numFmtId="42" fontId="5" fillId="0" borderId="0" xfId="0" applyNumberFormat="1" applyFont="1" applyFill="1" applyAlignment="1">
      <alignment horizontal="left"/>
    </xf>
    <xf numFmtId="165" fontId="5" fillId="0" borderId="0" xfId="3" applyNumberFormat="1" applyFont="1" applyFill="1" applyBorder="1"/>
    <xf numFmtId="1" fontId="5" fillId="0" borderId="0" xfId="3" applyNumberFormat="1" applyFont="1" applyFill="1" applyBorder="1"/>
    <xf numFmtId="165" fontId="5" fillId="0" borderId="0" xfId="3" applyNumberFormat="1" applyFont="1" applyFill="1" applyAlignment="1">
      <alignment horizontal="left"/>
    </xf>
    <xf numFmtId="164" fontId="5" fillId="0" borderId="0" xfId="1" applyNumberFormat="1" applyFont="1" applyFill="1" applyAlignment="1">
      <alignment horizontal="right"/>
    </xf>
    <xf numFmtId="37" fontId="12" fillId="0" borderId="0" xfId="9" applyNumberFormat="1" applyFont="1" applyFill="1" applyAlignment="1"/>
    <xf numFmtId="0" fontId="4" fillId="0" borderId="0" xfId="0" applyFont="1" applyFill="1" applyAlignment="1">
      <alignment horizontal="center"/>
    </xf>
    <xf numFmtId="0" fontId="5" fillId="0" borderId="0" xfId="1" applyNumberFormat="1" applyFont="1" applyFill="1" applyAlignment="1">
      <alignment horizontal="right" vertical="center"/>
    </xf>
    <xf numFmtId="0" fontId="4" fillId="0" borderId="0" xfId="0" applyFont="1" applyFill="1" applyAlignment="1">
      <alignment horizontal="left" indent="1"/>
    </xf>
    <xf numFmtId="0" fontId="5" fillId="0" borderId="0" xfId="3" applyNumberFormat="1" applyFont="1" applyFill="1" applyBorder="1" applyAlignment="1">
      <alignment horizontal="left" vertical="top"/>
    </xf>
    <xf numFmtId="0" fontId="5" fillId="0" borderId="0" xfId="3" applyNumberFormat="1" applyFont="1" applyFill="1" applyBorder="1" applyAlignment="1">
      <alignment horizontal="left" vertical="top" indent="1"/>
    </xf>
    <xf numFmtId="37" fontId="4" fillId="0" borderId="0" xfId="9" applyNumberFormat="1" applyFont="1" applyFill="1" applyAlignment="1"/>
    <xf numFmtId="0" fontId="5" fillId="0" borderId="0" xfId="0" applyFont="1" applyFill="1" applyBorder="1"/>
    <xf numFmtId="2" fontId="5" fillId="0" borderId="0" xfId="0" applyNumberFormat="1" applyFont="1" applyFill="1" applyBorder="1"/>
    <xf numFmtId="4" fontId="5" fillId="0" borderId="0" xfId="3" applyNumberFormat="1" applyFont="1" applyFill="1" applyBorder="1"/>
    <xf numFmtId="4" fontId="5" fillId="0" borderId="0" xfId="3" applyNumberFormat="1" applyFont="1" applyFill="1"/>
    <xf numFmtId="173" fontId="5" fillId="0" borderId="0" xfId="0" applyNumberFormat="1" applyFont="1" applyFill="1" applyBorder="1"/>
    <xf numFmtId="1" fontId="5" fillId="0" borderId="0" xfId="0" applyNumberFormat="1" applyFont="1" applyFill="1" applyBorder="1"/>
    <xf numFmtId="2" fontId="5" fillId="0" borderId="0" xfId="0" applyNumberFormat="1" applyFont="1" applyFill="1"/>
    <xf numFmtId="0" fontId="20" fillId="0" borderId="0" xfId="17" applyFont="1" applyFill="1" applyAlignment="1"/>
    <xf numFmtId="0" fontId="4" fillId="0" borderId="0" xfId="17" applyFont="1" applyFill="1" applyBorder="1" applyAlignment="1">
      <alignment horizontal="center" vertical="center"/>
    </xf>
    <xf numFmtId="0" fontId="5" fillId="0" borderId="0" xfId="17" applyFont="1" applyFill="1" applyBorder="1" applyAlignment="1">
      <alignment vertical="top"/>
    </xf>
    <xf numFmtId="0" fontId="5" fillId="0" borderId="0" xfId="17" applyFont="1" applyFill="1" applyBorder="1"/>
    <xf numFmtId="44" fontId="5" fillId="0" borderId="0" xfId="3" applyFont="1" applyFill="1"/>
    <xf numFmtId="44" fontId="5" fillId="0" borderId="0" xfId="3" applyFont="1" applyFill="1" applyBorder="1"/>
    <xf numFmtId="0" fontId="5" fillId="0" borderId="0" xfId="17" applyFont="1" applyFill="1" applyBorder="1" applyAlignment="1">
      <alignment vertical="center"/>
    </xf>
    <xf numFmtId="165" fontId="5" fillId="0" borderId="0" xfId="17" applyNumberFormat="1" applyFont="1" applyFill="1" applyBorder="1"/>
    <xf numFmtId="0" fontId="5" fillId="0" borderId="0" xfId="0" applyNumberFormat="1" applyFont="1" applyFill="1" applyBorder="1" applyAlignment="1" applyProtection="1">
      <alignment vertical="top"/>
    </xf>
    <xf numFmtId="176"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center" vertical="top"/>
    </xf>
    <xf numFmtId="37" fontId="5" fillId="0" borderId="0" xfId="22" applyNumberFormat="1" applyFont="1" applyFill="1"/>
    <xf numFmtId="165" fontId="4" fillId="0" borderId="0" xfId="3" applyNumberFormat="1" applyFont="1" applyFill="1" applyBorder="1"/>
    <xf numFmtId="37" fontId="5" fillId="0" borderId="0" xfId="22" applyNumberFormat="1" applyFont="1" applyFill="1" applyAlignment="1">
      <alignment horizontal="right"/>
    </xf>
    <xf numFmtId="37" fontId="5" fillId="0" borderId="0" xfId="0" applyNumberFormat="1" applyFont="1" applyFill="1"/>
    <xf numFmtId="37" fontId="12" fillId="0" borderId="0" xfId="22" applyNumberFormat="1" applyFont="1" applyFill="1"/>
    <xf numFmtId="165" fontId="5" fillId="0" borderId="0" xfId="3" applyNumberFormat="1" applyFont="1" applyFill="1" applyBorder="1" applyAlignment="1" applyProtection="1">
      <alignment vertical="top"/>
    </xf>
    <xf numFmtId="38" fontId="5" fillId="0" borderId="0" xfId="23" applyNumberFormat="1" applyFont="1" applyFill="1" applyAlignment="1" applyProtection="1">
      <alignment horizontal="right"/>
    </xf>
    <xf numFmtId="38" fontId="5" fillId="0" borderId="0" xfId="23" applyNumberFormat="1" applyFont="1" applyFill="1" applyAlignment="1" applyProtection="1">
      <alignment horizontal="left"/>
    </xf>
    <xf numFmtId="0" fontId="5" fillId="0" borderId="0" xfId="20" quotePrefix="1" applyFont="1" applyFill="1" applyAlignment="1"/>
    <xf numFmtId="0" fontId="5" fillId="0" borderId="0" xfId="20" applyFont="1" applyFill="1" applyAlignment="1"/>
    <xf numFmtId="37" fontId="5" fillId="0" borderId="0" xfId="9" applyNumberFormat="1" applyFont="1" applyFill="1" applyAlignment="1">
      <alignment horizontal="center"/>
    </xf>
    <xf numFmtId="37" fontId="5" fillId="0" borderId="0" xfId="9" applyNumberFormat="1" applyFont="1" applyFill="1"/>
    <xf numFmtId="37" fontId="5" fillId="0" borderId="0" xfId="9" applyNumberFormat="1" applyFont="1" applyFill="1" applyBorder="1"/>
    <xf numFmtId="37" fontId="12" fillId="0" borderId="0" xfId="9" applyNumberFormat="1" applyFont="1" applyFill="1"/>
    <xf numFmtId="43" fontId="26" fillId="0" borderId="0" xfId="12" applyFont="1" applyFill="1"/>
    <xf numFmtId="43" fontId="26" fillId="0" borderId="0" xfId="12" applyFont="1" applyFill="1" applyBorder="1"/>
    <xf numFmtId="43" fontId="27" fillId="0" borderId="0" xfId="12" applyFont="1" applyFill="1" applyBorder="1"/>
    <xf numFmtId="43" fontId="4" fillId="0" borderId="0" xfId="12" applyFont="1" applyFill="1" applyBorder="1" applyAlignment="1">
      <alignment horizontal="center" vertical="center" wrapText="1"/>
    </xf>
    <xf numFmtId="164" fontId="26" fillId="0" borderId="0" xfId="12" applyNumberFormat="1" applyFont="1" applyFill="1"/>
    <xf numFmtId="164" fontId="26" fillId="0" borderId="0" xfId="12" applyNumberFormat="1" applyFont="1" applyFill="1" applyBorder="1"/>
    <xf numFmtId="164" fontId="27" fillId="0" borderId="0" xfId="12" applyNumberFormat="1" applyFont="1" applyFill="1" applyBorder="1"/>
    <xf numFmtId="43" fontId="5" fillId="0" borderId="0" xfId="12" applyFont="1" applyFill="1"/>
    <xf numFmtId="43" fontId="5" fillId="0" borderId="0" xfId="12" applyFont="1" applyFill="1" applyBorder="1"/>
    <xf numFmtId="1" fontId="5" fillId="0" borderId="0" xfId="9" applyFont="1" applyFill="1" applyBorder="1"/>
    <xf numFmtId="165" fontId="5" fillId="0" borderId="17" xfId="3" applyNumberFormat="1" applyFont="1" applyFill="1" applyBorder="1"/>
    <xf numFmtId="0" fontId="28" fillId="0" borderId="22"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165" fontId="5" fillId="0" borderId="0" xfId="29" applyNumberFormat="1" applyFont="1" applyFill="1" applyBorder="1" applyAlignment="1">
      <alignment horizontal="right"/>
    </xf>
    <xf numFmtId="0" fontId="5" fillId="0" borderId="0" xfId="28" applyNumberFormat="1" applyFont="1" applyFill="1" applyBorder="1" applyAlignment="1" applyProtection="1"/>
    <xf numFmtId="0" fontId="5" fillId="0" borderId="0" xfId="28" applyNumberFormat="1" applyFont="1" applyFill="1" applyBorder="1" applyAlignment="1" applyProtection="1">
      <alignment vertical="top"/>
    </xf>
    <xf numFmtId="42" fontId="5" fillId="0" borderId="0" xfId="28" applyNumberFormat="1" applyFont="1" applyFill="1" applyBorder="1" applyAlignment="1" applyProtection="1">
      <alignment vertical="top"/>
    </xf>
    <xf numFmtId="42" fontId="5" fillId="0" borderId="0" xfId="29" applyNumberFormat="1" applyFont="1" applyFill="1" applyBorder="1" applyAlignment="1" applyProtection="1">
      <alignment vertical="top"/>
    </xf>
    <xf numFmtId="3" fontId="5" fillId="0" borderId="0" xfId="28" applyFont="1" applyFill="1" applyBorder="1">
      <alignment horizontal="left"/>
    </xf>
    <xf numFmtId="3" fontId="5" fillId="0" borderId="0" xfId="28" applyFont="1" applyFill="1" applyBorder="1" applyAlignment="1"/>
    <xf numFmtId="167" fontId="5" fillId="0" borderId="0" xfId="30" applyNumberFormat="1" applyFont="1" applyFill="1" applyBorder="1" applyAlignment="1" applyProtection="1">
      <alignment horizontal="right" vertical="top"/>
    </xf>
    <xf numFmtId="0" fontId="5" fillId="0" borderId="0" xfId="28" applyNumberFormat="1" applyFont="1" applyFill="1" applyBorder="1" applyAlignment="1" applyProtection="1">
      <alignment horizontal="left" vertical="top"/>
    </xf>
    <xf numFmtId="165" fontId="5" fillId="0" borderId="0" xfId="29" applyNumberFormat="1" applyFont="1" applyFill="1" applyBorder="1" applyAlignment="1" applyProtection="1">
      <alignment vertical="top"/>
    </xf>
    <xf numFmtId="4" fontId="5" fillId="0" borderId="0" xfId="28" applyNumberFormat="1" applyFont="1" applyFill="1" applyBorder="1" applyAlignment="1" applyProtection="1">
      <alignment vertical="top"/>
    </xf>
    <xf numFmtId="165" fontId="13" fillId="0" borderId="0" xfId="3" applyNumberFormat="1" applyFont="1" applyFill="1" applyBorder="1" applyAlignment="1">
      <alignment horizontal="center" vertical="center"/>
    </xf>
    <xf numFmtId="10"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horizontal="center"/>
    </xf>
    <xf numFmtId="0" fontId="13"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NumberFormat="1" applyFont="1" applyFill="1" applyBorder="1" applyAlignment="1">
      <alignment horizontal="left"/>
    </xf>
    <xf numFmtId="165" fontId="5" fillId="0" borderId="0" xfId="3" applyNumberFormat="1" applyFont="1" applyFill="1" applyBorder="1" applyAlignment="1">
      <alignment horizontal="left"/>
    </xf>
    <xf numFmtId="0" fontId="5" fillId="0" borderId="0" xfId="0" applyFont="1" applyFill="1" applyBorder="1" applyAlignment="1">
      <alignment horizontal="left"/>
    </xf>
    <xf numFmtId="174" fontId="5" fillId="0" borderId="0" xfId="3" applyNumberFormat="1" applyFont="1" applyFill="1" applyBorder="1" applyAlignment="1">
      <alignment horizontal="right"/>
    </xf>
    <xf numFmtId="0" fontId="5" fillId="0" borderId="0" xfId="0" applyNumberFormat="1" applyFont="1" applyFill="1" applyBorder="1" applyAlignment="1">
      <alignment horizontal="left" vertical="top"/>
    </xf>
    <xf numFmtId="38" fontId="5" fillId="0" borderId="0" xfId="23" applyNumberFormat="1" applyFont="1" applyFill="1" applyBorder="1" applyAlignment="1" applyProtection="1">
      <alignment horizontal="right"/>
    </xf>
    <xf numFmtId="38" fontId="5" fillId="0" borderId="0" xfId="23" applyNumberFormat="1" applyFont="1" applyFill="1" applyBorder="1" applyAlignment="1" applyProtection="1">
      <alignment horizontal="left"/>
    </xf>
    <xf numFmtId="0" fontId="5" fillId="0" borderId="0" xfId="20" quotePrefix="1" applyFont="1" applyFill="1" applyBorder="1" applyAlignment="1"/>
    <xf numFmtId="0" fontId="5" fillId="0" borderId="0" xfId="20" applyFont="1" applyFill="1" applyBorder="1" applyAlignment="1"/>
    <xf numFmtId="37" fontId="5" fillId="0" borderId="0" xfId="9" applyNumberFormat="1" applyFont="1" applyFill="1" applyBorder="1" applyAlignment="1">
      <alignment horizontal="center"/>
    </xf>
    <xf numFmtId="37" fontId="4" fillId="0" borderId="0" xfId="9" applyNumberFormat="1" applyFont="1" applyFill="1" applyBorder="1"/>
    <xf numFmtId="37" fontId="4" fillId="0" borderId="4" xfId="9" applyNumberFormat="1" applyFont="1" applyFill="1" applyBorder="1" applyAlignment="1">
      <alignment horizontal="center" vertical="center" wrapText="1"/>
    </xf>
    <xf numFmtId="42" fontId="5" fillId="0" borderId="4" xfId="28" applyNumberFormat="1" applyFont="1" applyFill="1" applyBorder="1" applyAlignment="1" applyProtection="1">
      <alignment vertical="top"/>
    </xf>
    <xf numFmtId="40" fontId="4" fillId="0" borderId="6" xfId="23" applyNumberFormat="1" applyFont="1" applyFill="1" applyBorder="1" applyAlignment="1" applyProtection="1">
      <alignment horizontal="center" wrapText="1"/>
    </xf>
    <xf numFmtId="0" fontId="4" fillId="0" borderId="6" xfId="19" applyFont="1" applyFill="1" applyBorder="1" applyAlignment="1">
      <alignment horizontal="center" wrapText="1"/>
    </xf>
    <xf numFmtId="177" fontId="22" fillId="0" borderId="4" xfId="4" applyNumberFormat="1" applyFont="1" applyFill="1" applyBorder="1" applyAlignment="1">
      <alignment horizontal="center" wrapText="1"/>
    </xf>
    <xf numFmtId="38" fontId="5" fillId="0" borderId="0" xfId="23" applyNumberFormat="1" applyFont="1" applyFill="1" applyAlignment="1" applyProtection="1">
      <alignment horizontal="right" wrapText="1"/>
    </xf>
    <xf numFmtId="0" fontId="4" fillId="0" borderId="4" xfId="3" applyNumberFormat="1" applyFont="1" applyFill="1" applyBorder="1" applyAlignment="1">
      <alignment horizontal="center" vertical="center"/>
    </xf>
    <xf numFmtId="165" fontId="4" fillId="0" borderId="4" xfId="3" applyNumberFormat="1" applyFont="1" applyFill="1" applyBorder="1" applyAlignment="1">
      <alignment horizontal="center" vertical="center"/>
    </xf>
    <xf numFmtId="43" fontId="4" fillId="0" borderId="0" xfId="12" applyFont="1" applyFill="1" applyBorder="1"/>
    <xf numFmtId="164" fontId="4" fillId="0" borderId="0" xfId="12" applyNumberFormat="1" applyFont="1" applyFill="1" applyBorder="1"/>
    <xf numFmtId="37" fontId="5" fillId="0" borderId="0" xfId="22" applyNumberFormat="1" applyFont="1" applyFill="1" applyBorder="1"/>
    <xf numFmtId="37" fontId="5" fillId="0" borderId="0" xfId="12" applyNumberFormat="1" applyFont="1" applyFill="1" applyBorder="1"/>
    <xf numFmtId="37" fontId="12" fillId="0" borderId="0" xfId="22" applyNumberFormat="1" applyFont="1" applyFill="1" applyBorder="1"/>
    <xf numFmtId="0" fontId="5" fillId="0" borderId="0" xfId="0" applyNumberFormat="1" applyFont="1" applyFill="1" applyAlignment="1">
      <alignment horizontal="left"/>
    </xf>
    <xf numFmtId="37" fontId="14" fillId="0" borderId="0" xfId="0" quotePrefix="1" applyNumberFormat="1" applyFont="1" applyFill="1" applyAlignment="1">
      <alignment horizontal="left"/>
    </xf>
    <xf numFmtId="37" fontId="5" fillId="0" borderId="0" xfId="22" applyNumberFormat="1" applyFont="1" applyFill="1" applyBorder="1" applyAlignment="1">
      <alignment horizontal="right"/>
    </xf>
    <xf numFmtId="37" fontId="4" fillId="0" borderId="0" xfId="0" applyNumberFormat="1" applyFont="1" applyFill="1" applyBorder="1"/>
    <xf numFmtId="37" fontId="5" fillId="0" borderId="0" xfId="0" applyNumberFormat="1" applyFont="1" applyFill="1" applyBorder="1"/>
    <xf numFmtId="37" fontId="4" fillId="0" borderId="0" xfId="0" applyNumberFormat="1" applyFont="1" applyFill="1"/>
    <xf numFmtId="37" fontId="14" fillId="0" borderId="0" xfId="0" applyNumberFormat="1" applyFont="1" applyFill="1"/>
    <xf numFmtId="37" fontId="4" fillId="0" borderId="0" xfId="22" applyNumberFormat="1" applyFont="1" applyFill="1" applyBorder="1"/>
    <xf numFmtId="165" fontId="26" fillId="0" borderId="0" xfId="33" applyNumberFormat="1" applyFont="1" applyFill="1" applyBorder="1"/>
    <xf numFmtId="0" fontId="28" fillId="0" borderId="3" xfId="0" applyFont="1" applyFill="1" applyBorder="1" applyAlignment="1">
      <alignment horizontal="center" vertical="center" wrapText="1"/>
    </xf>
    <xf numFmtId="0" fontId="5" fillId="0" borderId="0" xfId="17" applyFont="1" applyFill="1"/>
    <xf numFmtId="0" fontId="5" fillId="0" borderId="0" xfId="17" applyFont="1" applyFill="1" applyBorder="1" applyAlignment="1">
      <alignment vertical="top" wrapText="1"/>
    </xf>
    <xf numFmtId="0" fontId="5" fillId="0" borderId="0" xfId="17" applyFont="1" applyFill="1" applyBorder="1" applyAlignment="1">
      <alignment horizontal="center" vertical="top" wrapText="1"/>
    </xf>
    <xf numFmtId="0" fontId="4" fillId="0" borderId="0" xfId="17" applyFont="1" applyFill="1" applyBorder="1" applyAlignment="1">
      <alignment horizontal="center"/>
    </xf>
    <xf numFmtId="0" fontId="5" fillId="0" borderId="0" xfId="17" applyFont="1" applyFill="1" applyBorder="1" applyAlignment="1">
      <alignment horizontal="center" vertical="center" wrapText="1"/>
    </xf>
    <xf numFmtId="37" fontId="4" fillId="0" borderId="0" xfId="0" quotePrefix="1" applyNumberFormat="1" applyFont="1" applyFill="1" applyBorder="1" applyAlignment="1">
      <alignment horizontal="center"/>
    </xf>
    <xf numFmtId="37" fontId="4" fillId="0" borderId="0" xfId="0" applyNumberFormat="1" applyFont="1" applyFill="1" applyBorder="1" applyAlignment="1">
      <alignment horizontal="center"/>
    </xf>
    <xf numFmtId="3" fontId="5" fillId="0" borderId="0" xfId="28" applyFont="1" applyFill="1">
      <alignment horizontal="left"/>
    </xf>
    <xf numFmtId="3" fontId="30" fillId="0" borderId="0" xfId="28" applyFont="1" applyFill="1">
      <alignment horizontal="left"/>
    </xf>
    <xf numFmtId="3" fontId="5" fillId="0" borderId="0" xfId="28" applyFont="1" applyFill="1" applyBorder="1" applyAlignment="1">
      <alignment vertical="top"/>
    </xf>
    <xf numFmtId="3" fontId="4" fillId="0" borderId="0" xfId="28" applyFont="1" applyFill="1" applyBorder="1" applyAlignment="1">
      <alignment horizontal="center" vertical="top"/>
    </xf>
    <xf numFmtId="3" fontId="4" fillId="0" borderId="4" xfId="28" applyFont="1" applyFill="1" applyBorder="1" applyAlignment="1">
      <alignment horizontal="center" vertical="center" wrapText="1"/>
    </xf>
    <xf numFmtId="3" fontId="4" fillId="0" borderId="4" xfId="28" applyFont="1" applyFill="1" applyBorder="1" applyAlignment="1">
      <alignment horizontal="center" vertical="center"/>
    </xf>
    <xf numFmtId="3" fontId="4" fillId="0" borderId="0" xfId="28" applyFont="1" applyFill="1" applyBorder="1" applyAlignment="1">
      <alignment horizontal="center" vertical="center" wrapText="1"/>
    </xf>
    <xf numFmtId="3" fontId="4" fillId="0" borderId="0" xfId="28" applyFont="1" applyFill="1" applyBorder="1" applyAlignment="1">
      <alignment horizontal="center" vertical="center"/>
    </xf>
    <xf numFmtId="3" fontId="5" fillId="0" borderId="0" xfId="28" applyFont="1" applyFill="1" applyAlignment="1">
      <alignment horizontal="center"/>
    </xf>
    <xf numFmtId="49" fontId="5" fillId="0" borderId="0" xfId="28" applyNumberFormat="1" applyFont="1" applyFill="1" applyBorder="1" applyAlignment="1"/>
    <xf numFmtId="42" fontId="5" fillId="0" borderId="0" xfId="28" applyNumberFormat="1" applyFont="1" applyFill="1" applyBorder="1">
      <alignment horizontal="left"/>
    </xf>
    <xf numFmtId="173" fontId="5" fillId="0" borderId="0" xfId="28" applyNumberFormat="1" applyFont="1" applyFill="1" applyBorder="1">
      <alignment horizontal="left"/>
    </xf>
    <xf numFmtId="4" fontId="5" fillId="0" borderId="0" xfId="28" applyNumberFormat="1" applyFont="1" applyFill="1" applyBorder="1">
      <alignment horizontal="left"/>
    </xf>
    <xf numFmtId="2" fontId="5" fillId="0" borderId="0" xfId="28" applyNumberFormat="1" applyFont="1" applyFill="1" applyBorder="1">
      <alignment horizontal="left"/>
    </xf>
    <xf numFmtId="165" fontId="5" fillId="0" borderId="0" xfId="29" applyNumberFormat="1" applyFont="1" applyFill="1"/>
    <xf numFmtId="1" fontId="5" fillId="0" borderId="0" xfId="9" applyNumberFormat="1" applyFont="1" applyFill="1"/>
    <xf numFmtId="37" fontId="5" fillId="0" borderId="0" xfId="9" applyNumberFormat="1" applyFont="1" applyFill="1" applyBorder="1" applyAlignment="1"/>
    <xf numFmtId="37" fontId="4" fillId="0" borderId="0" xfId="9" applyNumberFormat="1" applyFont="1" applyFill="1" applyAlignment="1">
      <alignment horizontal="center"/>
    </xf>
    <xf numFmtId="1" fontId="4" fillId="0" borderId="0" xfId="9" applyNumberFormat="1" applyFont="1" applyFill="1" applyAlignment="1">
      <alignment horizontal="center"/>
    </xf>
    <xf numFmtId="37" fontId="4" fillId="0" borderId="0" xfId="9" applyNumberFormat="1" applyFont="1" applyFill="1" applyBorder="1" applyAlignment="1">
      <alignment horizontal="center"/>
    </xf>
    <xf numFmtId="37" fontId="4" fillId="0" borderId="4" xfId="9" applyNumberFormat="1" applyFont="1" applyFill="1" applyBorder="1" applyAlignment="1">
      <alignment vertical="center" wrapText="1"/>
    </xf>
    <xf numFmtId="165" fontId="7" fillId="0" borderId="0" xfId="3" applyNumberFormat="1" applyFont="1" applyFill="1"/>
    <xf numFmtId="1" fontId="5" fillId="0" borderId="0" xfId="9" applyNumberFormat="1" applyFont="1" applyFill="1" applyBorder="1" applyAlignment="1">
      <alignment horizontal="center"/>
    </xf>
    <xf numFmtId="165" fontId="27" fillId="0" borderId="0" xfId="33" applyNumberFormat="1" applyFont="1" applyFill="1" applyBorder="1"/>
    <xf numFmtId="37" fontId="5" fillId="0" borderId="0" xfId="9" applyNumberFormat="1" applyFont="1" applyFill="1" applyAlignment="1">
      <alignment horizontal="right"/>
    </xf>
    <xf numFmtId="37" fontId="4" fillId="0" borderId="0" xfId="9" applyNumberFormat="1" applyFont="1" applyFill="1" applyBorder="1" applyAlignment="1"/>
    <xf numFmtId="178" fontId="4" fillId="0" borderId="0" xfId="24" applyNumberFormat="1" applyFont="1" applyFill="1" applyAlignment="1"/>
    <xf numFmtId="178" fontId="4" fillId="0" borderId="0" xfId="24" applyNumberFormat="1" applyFont="1" applyFill="1" applyBorder="1" applyAlignment="1"/>
    <xf numFmtId="37" fontId="14" fillId="0" borderId="0" xfId="9" applyNumberFormat="1" applyFont="1" applyFill="1" applyAlignment="1"/>
    <xf numFmtId="37" fontId="14" fillId="0" borderId="0" xfId="9" applyNumberFormat="1" applyFont="1" applyFill="1" applyBorder="1" applyAlignment="1"/>
    <xf numFmtId="179" fontId="5" fillId="0" borderId="0" xfId="9" applyNumberFormat="1" applyFont="1" applyFill="1" applyBorder="1"/>
    <xf numFmtId="0" fontId="17" fillId="0" borderId="0" xfId="17" applyFont="1" applyFill="1" applyAlignment="1">
      <alignment horizontal="right"/>
    </xf>
    <xf numFmtId="0" fontId="6" fillId="0" borderId="0" xfId="17" applyFont="1" applyFill="1" applyAlignment="1">
      <alignment horizontal="centerContinuous"/>
    </xf>
    <xf numFmtId="0" fontId="18" fillId="0" borderId="0" xfId="17" applyFont="1" applyFill="1" applyAlignment="1">
      <alignment horizontal="centerContinuous"/>
    </xf>
    <xf numFmtId="0" fontId="19" fillId="0" borderId="0" xfId="17" applyFont="1" applyFill="1" applyAlignment="1">
      <alignment horizontal="centerContinuous"/>
    </xf>
    <xf numFmtId="0" fontId="6" fillId="0" borderId="0" xfId="17" applyFont="1" applyFill="1" applyAlignment="1">
      <alignment horizontal="center"/>
    </xf>
    <xf numFmtId="0" fontId="4" fillId="0" borderId="0" xfId="17" applyFont="1" applyFill="1" applyAlignment="1">
      <alignment horizontal="center"/>
    </xf>
    <xf numFmtId="0" fontId="4" fillId="0" borderId="0" xfId="17" applyFont="1" applyFill="1" applyAlignment="1"/>
    <xf numFmtId="0" fontId="14" fillId="0" borderId="0" xfId="17" applyFont="1" applyFill="1"/>
    <xf numFmtId="0" fontId="5" fillId="0" borderId="3" xfId="17" applyFont="1" applyFill="1" applyBorder="1" applyAlignment="1">
      <alignment vertical="center" wrapText="1"/>
    </xf>
    <xf numFmtId="0" fontId="5" fillId="0" borderId="0" xfId="17" applyFont="1" applyFill="1" applyBorder="1" applyAlignment="1">
      <alignment vertical="center" wrapText="1"/>
    </xf>
    <xf numFmtId="0" fontId="5" fillId="0" borderId="18" xfId="17" applyFont="1" applyFill="1" applyBorder="1" applyAlignment="1">
      <alignment vertical="center" wrapText="1"/>
    </xf>
    <xf numFmtId="0" fontId="5" fillId="0" borderId="17" xfId="17" applyFont="1" applyFill="1" applyBorder="1" applyAlignment="1">
      <alignment wrapText="1"/>
    </xf>
    <xf numFmtId="0" fontId="5" fillId="0" borderId="3" xfId="17" quotePrefix="1" applyFont="1" applyFill="1" applyBorder="1" applyAlignment="1">
      <alignment horizontal="center"/>
    </xf>
    <xf numFmtId="3" fontId="14" fillId="0" borderId="0" xfId="9" applyNumberFormat="1" applyFont="1" applyFill="1" applyAlignment="1"/>
    <xf numFmtId="37" fontId="12" fillId="0" borderId="0" xfId="9" applyNumberFormat="1" applyFont="1" applyFill="1" applyBorder="1" applyAlignment="1"/>
    <xf numFmtId="0" fontId="8" fillId="0" borderId="0" xfId="8" applyNumberFormat="1" applyFont="1" applyFill="1" applyBorder="1" applyAlignment="1" applyProtection="1">
      <alignment horizontal="left"/>
    </xf>
    <xf numFmtId="0" fontId="9" fillId="0" borderId="0" xfId="0" applyNumberFormat="1" applyFont="1" applyFill="1" applyAlignment="1" applyProtection="1">
      <alignment wrapText="1"/>
    </xf>
    <xf numFmtId="0" fontId="10" fillId="0" borderId="0" xfId="0" applyNumberFormat="1" applyFont="1" applyFill="1" applyBorder="1" applyProtection="1"/>
    <xf numFmtId="0" fontId="5" fillId="0" borderId="0" xfId="0" applyFont="1" applyFill="1" applyAlignment="1">
      <alignment horizontal="right"/>
    </xf>
    <xf numFmtId="0" fontId="5" fillId="0" borderId="0" xfId="0" quotePrefix="1" applyFont="1" applyFill="1" applyAlignment="1">
      <alignment horizontal="right"/>
    </xf>
    <xf numFmtId="3" fontId="4" fillId="0" borderId="0" xfId="7" applyFont="1" applyFill="1" applyBorder="1" applyAlignment="1">
      <alignment horizontal="left"/>
    </xf>
    <xf numFmtId="0" fontId="4" fillId="0" borderId="0" xfId="0" applyFont="1" applyFill="1" applyAlignment="1">
      <alignment horizontal="left"/>
    </xf>
    <xf numFmtId="0" fontId="4" fillId="0" borderId="4" xfId="0" applyFont="1" applyFill="1" applyBorder="1"/>
    <xf numFmtId="1" fontId="5" fillId="0" borderId="0" xfId="0" applyNumberFormat="1" applyFont="1" applyFill="1"/>
    <xf numFmtId="1" fontId="7" fillId="0" borderId="0" xfId="9" applyNumberFormat="1" applyFont="1" applyFill="1"/>
    <xf numFmtId="37" fontId="7" fillId="0" borderId="0" xfId="9" applyNumberFormat="1" applyFont="1" applyFill="1"/>
    <xf numFmtId="0" fontId="5" fillId="0" borderId="0" xfId="26" applyFont="1" applyFill="1"/>
    <xf numFmtId="0" fontId="5" fillId="0" borderId="0" xfId="26" applyFont="1" applyFill="1" applyAlignment="1">
      <alignment horizontal="right"/>
    </xf>
    <xf numFmtId="0" fontId="5" fillId="0" borderId="0" xfId="26" applyFont="1" applyFill="1" applyAlignment="1">
      <alignment horizontal="center"/>
    </xf>
    <xf numFmtId="37" fontId="7" fillId="0" borderId="0" xfId="9" applyNumberFormat="1" applyFont="1" applyFill="1" applyAlignment="1">
      <alignment horizontal="right"/>
    </xf>
    <xf numFmtId="37" fontId="7" fillId="0" borderId="0" xfId="9" applyNumberFormat="1" applyFont="1" applyFill="1" applyBorder="1"/>
    <xf numFmtId="37" fontId="7" fillId="0" borderId="0" xfId="9" applyNumberFormat="1" applyFont="1" applyFill="1" applyBorder="1" applyAlignment="1">
      <alignment vertical="center" wrapText="1"/>
    </xf>
    <xf numFmtId="37" fontId="7" fillId="0" borderId="0" xfId="9" applyNumberFormat="1" applyFont="1" applyFill="1" applyAlignment="1">
      <alignment vertical="center" wrapText="1"/>
    </xf>
    <xf numFmtId="1" fontId="7" fillId="0" borderId="0" xfId="9" applyNumberFormat="1" applyFont="1" applyFill="1" applyAlignment="1"/>
    <xf numFmtId="0" fontId="4" fillId="0" borderId="4" xfId="0" applyFont="1" applyFill="1" applyBorder="1" applyAlignment="1">
      <alignment horizontal="center"/>
    </xf>
    <xf numFmtId="3" fontId="4" fillId="0" borderId="4" xfId="25" applyFont="1" applyFill="1" applyBorder="1" applyAlignment="1">
      <alignment horizontal="center" vertical="center" wrapText="1"/>
    </xf>
    <xf numFmtId="3" fontId="5" fillId="0" borderId="0" xfId="25" applyFont="1" applyFill="1" applyBorder="1" applyAlignment="1">
      <alignment horizontal="center" vertical="center" wrapText="1"/>
    </xf>
    <xf numFmtId="3" fontId="4" fillId="0" borderId="4" xfId="31" applyFont="1" applyFill="1" applyBorder="1" applyAlignment="1">
      <alignment horizontal="center" vertical="center" wrapText="1"/>
    </xf>
    <xf numFmtId="3" fontId="4" fillId="0" borderId="0" xfId="31" applyFont="1" applyFill="1" applyBorder="1" applyAlignment="1">
      <alignment horizontal="center" vertical="center" wrapText="1"/>
    </xf>
    <xf numFmtId="1" fontId="4" fillId="0" borderId="0" xfId="24" applyNumberFormat="1" applyFont="1" applyFill="1" applyAlignment="1" applyProtection="1">
      <protection locked="0"/>
    </xf>
    <xf numFmtId="1" fontId="4" fillId="0" borderId="0" xfId="24" applyNumberFormat="1" applyFont="1" applyFill="1" applyBorder="1" applyAlignment="1" applyProtection="1">
      <protection locked="0"/>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5" fontId="4" fillId="0" borderId="5" xfId="3" applyNumberFormat="1" applyFont="1" applyFill="1" applyBorder="1"/>
    <xf numFmtId="0" fontId="31" fillId="0" borderId="0" xfId="23" applyFont="1" applyFill="1"/>
    <xf numFmtId="0" fontId="31" fillId="0" borderId="0" xfId="23" applyFont="1" applyFill="1" applyBorder="1"/>
    <xf numFmtId="0" fontId="32" fillId="0" borderId="0" xfId="5" applyFont="1" applyFill="1" applyBorder="1"/>
    <xf numFmtId="0" fontId="31" fillId="0" borderId="6" xfId="23" applyFont="1" applyFill="1" applyBorder="1"/>
    <xf numFmtId="0" fontId="5" fillId="0" borderId="6" xfId="0" applyFont="1" applyFill="1" applyBorder="1"/>
    <xf numFmtId="0" fontId="5" fillId="0" borderId="0" xfId="23" applyFont="1" applyFill="1"/>
    <xf numFmtId="165" fontId="5" fillId="0" borderId="0" xfId="3" applyNumberFormat="1" applyFont="1" applyFill="1" applyAlignment="1">
      <alignment horizontal="right"/>
    </xf>
    <xf numFmtId="0" fontId="5" fillId="0" borderId="0" xfId="23" applyFont="1" applyFill="1" applyAlignment="1">
      <alignment horizontal="right" wrapText="1"/>
    </xf>
    <xf numFmtId="0" fontId="5" fillId="0" borderId="0" xfId="23" applyFont="1" applyFill="1" applyBorder="1"/>
    <xf numFmtId="38" fontId="5" fillId="0" borderId="0" xfId="23" applyNumberFormat="1" applyFont="1" applyFill="1" applyAlignment="1">
      <alignment horizontal="right"/>
    </xf>
    <xf numFmtId="165" fontId="15" fillId="0" borderId="0" xfId="3" applyNumberFormat="1" applyFont="1" applyFill="1" applyBorder="1"/>
    <xf numFmtId="166" fontId="4" fillId="0" borderId="0" xfId="4" applyNumberFormat="1" applyFont="1" applyFill="1" applyBorder="1" applyAlignment="1">
      <alignment horizontal="right"/>
    </xf>
    <xf numFmtId="38" fontId="4" fillId="0" borderId="0" xfId="23" applyNumberFormat="1" applyFont="1" applyFill="1" applyBorder="1" applyAlignment="1">
      <alignment horizontal="right"/>
    </xf>
    <xf numFmtId="0" fontId="4" fillId="0" borderId="0" xfId="5" applyNumberFormat="1" applyFont="1" applyFill="1" applyBorder="1" applyAlignment="1" applyProtection="1"/>
    <xf numFmtId="176" fontId="4" fillId="0" borderId="0" xfId="5" applyNumberFormat="1" applyFont="1" applyFill="1" applyBorder="1" applyAlignment="1" applyProtection="1">
      <alignment horizontal="left" vertical="top"/>
    </xf>
    <xf numFmtId="19" fontId="4" fillId="0" borderId="0" xfId="5" applyNumberFormat="1" applyFont="1" applyFill="1" applyBorder="1" applyAlignment="1" applyProtection="1">
      <alignment horizontal="left" vertical="top"/>
    </xf>
    <xf numFmtId="0" fontId="5" fillId="0" borderId="0" xfId="0" applyNumberFormat="1" applyFont="1" applyFill="1" applyBorder="1" applyAlignment="1" applyProtection="1"/>
    <xf numFmtId="164" fontId="5" fillId="0" borderId="0" xfId="1" applyNumberFormat="1" applyFont="1" applyFill="1" applyBorder="1"/>
    <xf numFmtId="37" fontId="4" fillId="0" borderId="4" xfId="0" applyNumberFormat="1" applyFont="1" applyFill="1" applyBorder="1" applyAlignment="1">
      <alignment horizontal="center"/>
    </xf>
    <xf numFmtId="37" fontId="4" fillId="0" borderId="4" xfId="0" quotePrefix="1" applyNumberFormat="1" applyFont="1" applyFill="1" applyBorder="1" applyAlignment="1">
      <alignment horizontal="center"/>
    </xf>
    <xf numFmtId="37" fontId="4" fillId="0" borderId="4" xfId="22" applyNumberFormat="1" applyFont="1" applyFill="1" applyBorder="1" applyAlignment="1">
      <alignment horizontal="center" wrapText="1"/>
    </xf>
    <xf numFmtId="0" fontId="4" fillId="0" borderId="0" xfId="0" applyFont="1" applyFill="1" applyBorder="1"/>
    <xf numFmtId="0" fontId="5" fillId="0" borderId="0" xfId="0" applyFont="1" applyFill="1" applyBorder="1" applyAlignment="1">
      <alignment vertical="top"/>
    </xf>
    <xf numFmtId="0" fontId="21" fillId="0" borderId="4" xfId="19" applyFont="1" applyFill="1" applyBorder="1" applyAlignment="1">
      <alignment horizontal="center" wrapText="1"/>
    </xf>
    <xf numFmtId="0" fontId="5" fillId="0" borderId="4" xfId="0" applyFont="1" applyFill="1" applyBorder="1"/>
    <xf numFmtId="43" fontId="5" fillId="0" borderId="0" xfId="1" applyFont="1" applyFill="1" applyBorder="1"/>
    <xf numFmtId="0" fontId="5" fillId="0" borderId="0" xfId="21" applyFont="1" applyFill="1"/>
    <xf numFmtId="43" fontId="5" fillId="0" borderId="0" xfId="1" applyFont="1" applyFill="1"/>
    <xf numFmtId="0" fontId="12" fillId="0" borderId="0" xfId="17" applyFont="1" applyFill="1"/>
    <xf numFmtId="44" fontId="5" fillId="0" borderId="3" xfId="3" applyFont="1" applyFill="1" applyBorder="1"/>
    <xf numFmtId="165" fontId="5" fillId="0" borderId="0" xfId="18" applyNumberFormat="1" applyFont="1" applyFill="1" applyBorder="1"/>
    <xf numFmtId="44" fontId="5" fillId="0" borderId="20" xfId="3" applyFont="1" applyFill="1" applyBorder="1"/>
    <xf numFmtId="10" fontId="31" fillId="0" borderId="0" xfId="4" applyNumberFormat="1" applyFont="1" applyFill="1" applyBorder="1" applyAlignment="1">
      <alignment horizontal="right"/>
    </xf>
    <xf numFmtId="164" fontId="4" fillId="0" borderId="0" xfId="14" applyNumberFormat="1" applyFont="1" applyFill="1" applyBorder="1" applyAlignment="1">
      <alignment horizontal="center" wrapText="1"/>
    </xf>
    <xf numFmtId="164" fontId="12" fillId="0" borderId="0" xfId="14" applyNumberFormat="1" applyFont="1" applyFill="1" applyBorder="1" applyAlignment="1">
      <alignment horizontal="center"/>
    </xf>
    <xf numFmtId="166" fontId="5" fillId="0" borderId="0" xfId="4" applyNumberFormat="1" applyFont="1" applyFill="1"/>
    <xf numFmtId="164" fontId="5" fillId="0" borderId="0" xfId="14" applyNumberFormat="1" applyFont="1" applyFill="1" applyBorder="1"/>
    <xf numFmtId="3" fontId="5" fillId="0" borderId="3" xfId="0" applyNumberFormat="1" applyFont="1" applyFill="1" applyBorder="1"/>
    <xf numFmtId="9" fontId="5" fillId="0" borderId="3" xfId="4" applyFont="1" applyFill="1" applyBorder="1"/>
    <xf numFmtId="172" fontId="5" fillId="0" borderId="3" xfId="0" applyNumberFormat="1" applyFont="1" applyFill="1" applyBorder="1"/>
    <xf numFmtId="172" fontId="5" fillId="0" borderId="22" xfId="0" applyNumberFormat="1" applyFont="1" applyFill="1" applyBorder="1"/>
    <xf numFmtId="175" fontId="5" fillId="0" borderId="22" xfId="0" applyNumberFormat="1" applyFont="1" applyFill="1" applyBorder="1" applyAlignment="1"/>
    <xf numFmtId="172" fontId="5" fillId="0" borderId="22" xfId="0" applyNumberFormat="1" applyFont="1" applyFill="1" applyBorder="1" applyAlignment="1"/>
    <xf numFmtId="0" fontId="5" fillId="0" borderId="3" xfId="0" applyFont="1" applyFill="1" applyBorder="1"/>
    <xf numFmtId="0" fontId="5" fillId="0" borderId="14" xfId="0" applyFont="1" applyFill="1" applyBorder="1"/>
    <xf numFmtId="3" fontId="5" fillId="0" borderId="14" xfId="0" applyNumberFormat="1" applyFont="1" applyFill="1" applyBorder="1"/>
    <xf numFmtId="172" fontId="5" fillId="0" borderId="14" xfId="0" applyNumberFormat="1" applyFont="1" applyFill="1" applyBorder="1"/>
    <xf numFmtId="172" fontId="5" fillId="0" borderId="0" xfId="0" applyNumberFormat="1" applyFont="1" applyFill="1"/>
    <xf numFmtId="164" fontId="4" fillId="0" borderId="4" xfId="12" applyNumberFormat="1" applyFont="1" applyFill="1" applyBorder="1" applyAlignment="1">
      <alignment horizontal="center" vertical="center"/>
    </xf>
    <xf numFmtId="1" fontId="4" fillId="0" borderId="4" xfId="9" applyFont="1" applyFill="1" applyBorder="1" applyAlignment="1">
      <alignment horizontal="center" vertical="center"/>
    </xf>
    <xf numFmtId="164" fontId="5" fillId="0" borderId="0" xfId="12" applyNumberFormat="1" applyFont="1" applyFill="1" applyBorder="1" applyAlignment="1">
      <alignment horizontal="center"/>
    </xf>
    <xf numFmtId="14" fontId="5" fillId="0" borderId="0" xfId="9" applyNumberFormat="1" applyFont="1" applyFill="1" applyBorder="1" applyAlignment="1">
      <alignment horizontal="left"/>
    </xf>
    <xf numFmtId="1" fontId="4" fillId="0" borderId="3" xfId="9" applyFont="1" applyFill="1" applyBorder="1" applyAlignment="1">
      <alignment horizontal="center" wrapText="1"/>
    </xf>
    <xf numFmtId="1" fontId="4" fillId="0" borderId="3" xfId="9" applyFont="1" applyFill="1" applyBorder="1" applyAlignment="1">
      <alignment horizontal="center"/>
    </xf>
    <xf numFmtId="164" fontId="5" fillId="0" borderId="12" xfId="12" applyNumberFormat="1" applyFont="1" applyFill="1" applyBorder="1" applyAlignment="1">
      <alignment horizontal="center"/>
    </xf>
    <xf numFmtId="1" fontId="5" fillId="0" borderId="3" xfId="9" applyFont="1" applyFill="1" applyBorder="1"/>
    <xf numFmtId="1" fontId="5" fillId="0" borderId="3" xfId="9" applyFont="1" applyFill="1" applyBorder="1" applyAlignment="1">
      <alignment horizontal="center"/>
    </xf>
    <xf numFmtId="164" fontId="4" fillId="0" borderId="12" xfId="12" applyNumberFormat="1" applyFont="1" applyFill="1" applyBorder="1" applyAlignment="1">
      <alignment horizontal="center"/>
    </xf>
    <xf numFmtId="1" fontId="4" fillId="0" borderId="3" xfId="9" applyFont="1" applyFill="1" applyBorder="1" applyAlignment="1">
      <alignment horizontal="left" indent="1"/>
    </xf>
    <xf numFmtId="165" fontId="4" fillId="0" borderId="3" xfId="3" applyNumberFormat="1" applyFont="1" applyFill="1" applyBorder="1" applyAlignment="1">
      <alignment horizontal="left"/>
    </xf>
    <xf numFmtId="41" fontId="4" fillId="0" borderId="3" xfId="9" applyNumberFormat="1" applyFont="1" applyFill="1" applyBorder="1" applyAlignment="1">
      <alignment horizontal="left"/>
    </xf>
    <xf numFmtId="164" fontId="4" fillId="0" borderId="13" xfId="12" applyNumberFormat="1" applyFont="1" applyFill="1" applyBorder="1" applyAlignment="1">
      <alignment horizontal="center"/>
    </xf>
    <xf numFmtId="1" fontId="4" fillId="0" borderId="14" xfId="9" applyFont="1" applyFill="1" applyBorder="1" applyAlignment="1">
      <alignment horizontal="left" indent="1"/>
    </xf>
    <xf numFmtId="165" fontId="4" fillId="0" borderId="14" xfId="3" applyNumberFormat="1" applyFont="1" applyFill="1" applyBorder="1" applyAlignment="1">
      <alignment horizontal="left"/>
    </xf>
    <xf numFmtId="0" fontId="4" fillId="0" borderId="0" xfId="0" applyFont="1" applyFill="1" applyBorder="1" applyAlignment="1"/>
    <xf numFmtId="0" fontId="4" fillId="0" borderId="4" xfId="0" applyFont="1" applyFill="1" applyBorder="1" applyAlignment="1">
      <alignment horizontal="center" vertical="center"/>
    </xf>
    <xf numFmtId="4" fontId="5" fillId="0" borderId="0" xfId="0" applyNumberFormat="1" applyFont="1" applyFill="1"/>
    <xf numFmtId="165" fontId="5" fillId="0" borderId="0" xfId="3" applyNumberFormat="1" applyFont="1" applyFill="1" applyBorder="1" applyAlignment="1"/>
    <xf numFmtId="0" fontId="5" fillId="0" borderId="0" xfId="0" quotePrefix="1" applyFont="1" applyFill="1"/>
    <xf numFmtId="0" fontId="5" fillId="0" borderId="0" xfId="0" applyFont="1" applyFill="1" applyBorder="1" applyAlignment="1">
      <alignment horizontal="right"/>
    </xf>
    <xf numFmtId="173" fontId="4" fillId="0" borderId="0" xfId="0" applyNumberFormat="1" applyFont="1" applyFill="1" applyBorder="1"/>
    <xf numFmtId="0" fontId="5" fillId="0" borderId="0" xfId="0" applyNumberFormat="1" applyFont="1" applyFill="1" applyBorder="1"/>
    <xf numFmtId="165" fontId="5" fillId="0" borderId="0" xfId="0" applyNumberFormat="1" applyFont="1" applyFill="1" applyBorder="1"/>
    <xf numFmtId="165" fontId="13" fillId="0" borderId="0" xfId="3" applyNumberFormat="1" applyFont="1" applyFill="1" applyBorder="1" applyAlignment="1">
      <alignment horizontal="left"/>
    </xf>
    <xf numFmtId="165" fontId="13" fillId="0" borderId="0" xfId="3" applyNumberFormat="1" applyFont="1" applyFill="1" applyBorder="1" applyAlignment="1">
      <alignment horizontal="center"/>
    </xf>
    <xf numFmtId="165" fontId="13" fillId="0" borderId="0" xfId="3" applyNumberFormat="1" applyFont="1" applyFill="1" applyBorder="1" applyAlignment="1"/>
    <xf numFmtId="44" fontId="5" fillId="0" borderId="0" xfId="3" applyNumberFormat="1" applyFont="1" applyFill="1" applyBorder="1"/>
    <xf numFmtId="0" fontId="4" fillId="0" borderId="0" xfId="0" applyNumberFormat="1" applyFont="1" applyFill="1" applyBorder="1"/>
    <xf numFmtId="165" fontId="5" fillId="0" borderId="0" xfId="3" applyNumberFormat="1" applyFont="1" applyFill="1" applyBorder="1" applyAlignment="1">
      <alignment vertical="top"/>
    </xf>
    <xf numFmtId="0" fontId="14" fillId="0" borderId="0" xfId="0" applyNumberFormat="1" applyFont="1" applyFill="1" applyBorder="1"/>
    <xf numFmtId="165" fontId="14" fillId="0" borderId="0" xfId="3" applyNumberFormat="1" applyFont="1" applyFill="1" applyBorder="1" applyAlignment="1">
      <alignment horizontal="right" vertical="top"/>
    </xf>
    <xf numFmtId="165" fontId="14" fillId="0" borderId="0" xfId="3" applyNumberFormat="1" applyFont="1" applyFill="1" applyBorder="1" applyAlignment="1">
      <alignment horizontal="right"/>
    </xf>
    <xf numFmtId="0" fontId="14" fillId="0" borderId="0" xfId="0" applyFont="1" applyFill="1"/>
    <xf numFmtId="165" fontId="5" fillId="0" borderId="0" xfId="3" applyNumberFormat="1" applyFont="1" applyFill="1" applyBorder="1" applyAlignment="1">
      <alignment horizontal="left" vertical="top"/>
    </xf>
    <xf numFmtId="0" fontId="5" fillId="0" borderId="0" xfId="3" applyNumberFormat="1" applyFont="1" applyFill="1"/>
    <xf numFmtId="0" fontId="5" fillId="0" borderId="0" xfId="0" applyNumberFormat="1" applyFont="1" applyFill="1" applyAlignment="1">
      <alignment horizontal="left" vertical="top"/>
    </xf>
    <xf numFmtId="0" fontId="5" fillId="0" borderId="0" xfId="3" applyNumberFormat="1" applyFont="1" applyFill="1" applyBorder="1"/>
    <xf numFmtId="0" fontId="5" fillId="0" borderId="0" xfId="3" applyNumberFormat="1" applyFont="1" applyFill="1" applyBorder="1" applyAlignment="1">
      <alignment horizontal="left"/>
    </xf>
    <xf numFmtId="4" fontId="5" fillId="0" borderId="0" xfId="0" applyNumberFormat="1" applyFont="1" applyFill="1" applyAlignment="1">
      <alignment horizontal="center"/>
    </xf>
    <xf numFmtId="44" fontId="5" fillId="0" borderId="0" xfId="3" applyFont="1" applyFill="1" applyAlignment="1">
      <alignment horizontal="center"/>
    </xf>
    <xf numFmtId="4" fontId="5" fillId="0" borderId="0" xfId="0" applyNumberFormat="1" applyFont="1" applyFill="1" applyBorder="1"/>
    <xf numFmtId="173" fontId="5" fillId="0" borderId="0" xfId="0" applyNumberFormat="1" applyFont="1" applyFill="1"/>
    <xf numFmtId="0" fontId="5"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166" fontId="5" fillId="0" borderId="0" xfId="4" applyNumberFormat="1" applyFont="1" applyFill="1" applyAlignment="1">
      <alignment horizontal="center"/>
    </xf>
    <xf numFmtId="165" fontId="5" fillId="0" borderId="0" xfId="1" applyNumberFormat="1" applyFont="1" applyFill="1"/>
    <xf numFmtId="165" fontId="5" fillId="0" borderId="0" xfId="1" applyNumberFormat="1" applyFont="1" applyFill="1" applyBorder="1"/>
    <xf numFmtId="0" fontId="5" fillId="0" borderId="0" xfId="0" applyFont="1" applyFill="1" applyBorder="1" applyAlignment="1">
      <alignment horizontal="left" indent="1"/>
    </xf>
    <xf numFmtId="0" fontId="4" fillId="0" borderId="0" xfId="0" applyFont="1" applyFill="1" applyBorder="1" applyAlignment="1">
      <alignment horizontal="left" indent="1"/>
    </xf>
    <xf numFmtId="0" fontId="5" fillId="0" borderId="0" xfId="0" applyNumberFormat="1" applyFont="1" applyFill="1" applyAlignment="1">
      <alignment horizontal="right" vertical="center"/>
    </xf>
    <xf numFmtId="0" fontId="5" fillId="0" borderId="0" xfId="0" applyFont="1" applyFill="1" applyAlignment="1"/>
    <xf numFmtId="0" fontId="5" fillId="0" borderId="0" xfId="0" applyFont="1" applyFill="1" applyAlignment="1">
      <alignment wrapText="1"/>
    </xf>
    <xf numFmtId="165" fontId="5" fillId="0" borderId="0" xfId="1" applyNumberFormat="1" applyFont="1" applyFill="1" applyAlignment="1">
      <alignment horizontal="left"/>
    </xf>
    <xf numFmtId="165" fontId="5" fillId="0" borderId="0" xfId="0" applyNumberFormat="1" applyFont="1" applyFill="1"/>
    <xf numFmtId="169" fontId="4" fillId="0" borderId="0" xfId="4" applyNumberFormat="1" applyFont="1" applyFill="1"/>
    <xf numFmtId="0" fontId="5" fillId="0" borderId="0" xfId="0" applyNumberFormat="1" applyFont="1" applyFill="1" applyAlignment="1">
      <alignment horizontal="left" wrapText="1"/>
    </xf>
    <xf numFmtId="10" fontId="5" fillId="0" borderId="0" xfId="4" applyNumberFormat="1" applyFont="1" applyFill="1"/>
    <xf numFmtId="10" fontId="4" fillId="0" borderId="0" xfId="4" applyNumberFormat="1" applyFont="1" applyFill="1"/>
    <xf numFmtId="0" fontId="5" fillId="0" borderId="0" xfId="0" applyNumberFormat="1" applyFont="1" applyFill="1" applyBorder="1" applyAlignment="1">
      <alignment horizontal="right" vertical="center"/>
    </xf>
    <xf numFmtId="0" fontId="4" fillId="0" borderId="0" xfId="0" applyFont="1" applyFill="1" applyBorder="1" applyAlignment="1">
      <alignment horizontal="right"/>
    </xf>
    <xf numFmtId="166" fontId="5" fillId="0" borderId="0" xfId="4" applyNumberFormat="1" applyFont="1" applyFill="1" applyBorder="1" applyAlignment="1">
      <alignment horizontal="right"/>
    </xf>
    <xf numFmtId="0" fontId="4" fillId="0" borderId="0" xfId="0" applyFont="1" applyFill="1" applyBorder="1" applyAlignment="1">
      <alignment horizontal="center" vertical="center"/>
    </xf>
    <xf numFmtId="164" fontId="5" fillId="0" borderId="0" xfId="1" applyNumberFormat="1" applyFont="1" applyFill="1" applyAlignment="1">
      <alignment horizontal="center" vertical="center"/>
    </xf>
    <xf numFmtId="3" fontId="5" fillId="0" borderId="0" xfId="1" applyNumberFormat="1" applyFont="1" applyFill="1" applyBorder="1"/>
    <xf numFmtId="3" fontId="5" fillId="0" borderId="0" xfId="0" applyNumberFormat="1" applyFont="1" applyFill="1" applyBorder="1" applyAlignment="1">
      <alignment horizontal="center"/>
    </xf>
    <xf numFmtId="3" fontId="4" fillId="0" borderId="0" xfId="1" applyNumberFormat="1" applyFont="1" applyFill="1" applyBorder="1"/>
    <xf numFmtId="10" fontId="5" fillId="0" borderId="0" xfId="0" applyNumberFormat="1" applyFont="1" applyFill="1"/>
    <xf numFmtId="0" fontId="5" fillId="0" borderId="0" xfId="0" applyFont="1" applyFill="1" applyAlignment="1">
      <alignment horizontal="center" wrapText="1"/>
    </xf>
    <xf numFmtId="42" fontId="5" fillId="0" borderId="0" xfId="0" applyNumberFormat="1" applyFont="1" applyFill="1"/>
    <xf numFmtId="10" fontId="5" fillId="0" borderId="0" xfId="3" applyNumberFormat="1" applyFont="1" applyFill="1"/>
    <xf numFmtId="169" fontId="5" fillId="0" borderId="0" xfId="4" quotePrefix="1" applyNumberFormat="1" applyFont="1" applyFill="1" applyAlignment="1">
      <alignment horizontal="center"/>
    </xf>
    <xf numFmtId="10" fontId="5" fillId="0" borderId="0" xfId="0" applyNumberFormat="1" applyFont="1" applyFill="1" applyBorder="1"/>
    <xf numFmtId="9" fontId="5" fillId="0" borderId="0" xfId="0" applyNumberFormat="1" applyFont="1" applyFill="1"/>
    <xf numFmtId="42" fontId="5" fillId="0" borderId="0" xfId="0" applyNumberFormat="1" applyFont="1" applyFill="1" applyBorder="1"/>
    <xf numFmtId="0" fontId="13" fillId="0" borderId="0" xfId="0" applyFont="1" applyFill="1" applyBorder="1" applyAlignment="1"/>
    <xf numFmtId="0" fontId="13" fillId="0" borderId="0" xfId="0" applyFont="1" applyFill="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 fontId="5" fillId="0" borderId="0" xfId="0" applyNumberFormat="1" applyFont="1" applyFill="1" applyBorder="1" applyAlignment="1"/>
    <xf numFmtId="165" fontId="5" fillId="0" borderId="0" xfId="3" applyNumberFormat="1" applyFont="1" applyFill="1" applyBorder="1" applyAlignment="1">
      <alignment horizontal="left" vertical="center" wrapText="1"/>
    </xf>
    <xf numFmtId="171" fontId="5" fillId="0" borderId="0" xfId="3" applyNumberFormat="1" applyFont="1" applyFill="1" applyBorder="1" applyAlignment="1">
      <alignment horizontal="left" vertical="center" wrapText="1"/>
    </xf>
    <xf numFmtId="165" fontId="5" fillId="0" borderId="0" xfId="0" applyNumberFormat="1" applyFont="1" applyFill="1" applyBorder="1" applyAlignment="1">
      <alignment horizontal="center"/>
    </xf>
    <xf numFmtId="165" fontId="5" fillId="0" borderId="0" xfId="0" applyNumberFormat="1" applyFont="1" applyFill="1" applyAlignment="1">
      <alignment horizontal="center"/>
    </xf>
    <xf numFmtId="169" fontId="5" fillId="0" borderId="0" xfId="4" applyNumberFormat="1" applyFont="1" applyFill="1"/>
    <xf numFmtId="165" fontId="5" fillId="0" borderId="0" xfId="3" applyNumberFormat="1" applyFont="1" applyFill="1" applyBorder="1" applyAlignment="1">
      <alignment horizontal="center" vertical="center" wrapText="1"/>
    </xf>
    <xf numFmtId="3" fontId="5" fillId="0" borderId="0" xfId="0" applyNumberFormat="1" applyFont="1" applyFill="1" applyAlignment="1">
      <alignment horizontal="right"/>
    </xf>
    <xf numFmtId="0" fontId="5" fillId="0" borderId="0" xfId="0" applyFont="1" applyFill="1" applyAlignment="1">
      <alignment horizontal="center" vertical="center"/>
    </xf>
    <xf numFmtId="165" fontId="5" fillId="0" borderId="0" xfId="3" applyNumberFormat="1" applyFont="1" applyFill="1" applyBorder="1" applyAlignment="1">
      <alignment horizontal="left" vertical="top" wrapText="1"/>
    </xf>
    <xf numFmtId="0" fontId="13" fillId="0" borderId="0" xfId="0" applyFont="1" applyFill="1"/>
    <xf numFmtId="165" fontId="5" fillId="0" borderId="5" xfId="3" applyNumberFormat="1" applyFont="1" applyFill="1" applyBorder="1"/>
    <xf numFmtId="42" fontId="5" fillId="0" borderId="0" xfId="3" applyNumberFormat="1" applyFont="1" applyFill="1"/>
    <xf numFmtId="164" fontId="5" fillId="0" borderId="0" xfId="0" applyNumberFormat="1" applyFont="1" applyFill="1" applyAlignment="1">
      <alignment horizontal="center"/>
    </xf>
    <xf numFmtId="164" fontId="5" fillId="0" borderId="0" xfId="0" applyNumberFormat="1" applyFont="1" applyFill="1" applyAlignment="1">
      <alignment horizontal="right"/>
    </xf>
    <xf numFmtId="42" fontId="5" fillId="0" borderId="0" xfId="3" applyNumberFormat="1" applyFont="1" applyFill="1" applyBorder="1" applyAlignment="1">
      <alignment horizontal="left" vertical="top"/>
    </xf>
    <xf numFmtId="42" fontId="5" fillId="0" borderId="0" xfId="3" applyNumberFormat="1" applyFont="1" applyFill="1" applyBorder="1" applyAlignment="1">
      <alignment horizontal="left"/>
    </xf>
    <xf numFmtId="42" fontId="5" fillId="0" borderId="0" xfId="0" applyNumberFormat="1" applyFont="1" applyFill="1" applyBorder="1" applyAlignment="1">
      <alignment horizontal="left"/>
    </xf>
    <xf numFmtId="0" fontId="13" fillId="0" borderId="0" xfId="0" applyFont="1" applyFill="1" applyBorder="1" applyAlignment="1">
      <alignment horizontal="left"/>
    </xf>
    <xf numFmtId="170" fontId="5" fillId="0" borderId="0" xfId="3" applyNumberFormat="1" applyFont="1" applyFill="1"/>
    <xf numFmtId="2" fontId="5" fillId="0" borderId="0" xfId="0" applyNumberFormat="1" applyFont="1" applyFill="1" applyAlignment="1">
      <alignment horizontal="left" indent="1"/>
    </xf>
    <xf numFmtId="41" fontId="5" fillId="0" borderId="0" xfId="2" applyFont="1" applyFill="1">
      <alignment horizontal="right"/>
    </xf>
    <xf numFmtId="164" fontId="5" fillId="0" borderId="0" xfId="1" applyNumberFormat="1" applyFont="1" applyFill="1" applyAlignment="1">
      <alignment horizontal="left"/>
    </xf>
    <xf numFmtId="166" fontId="5" fillId="0" borderId="0" xfId="4" applyNumberFormat="1" applyFont="1" applyFill="1" applyAlignment="1">
      <alignment horizontal="left"/>
    </xf>
    <xf numFmtId="165" fontId="5" fillId="0" borderId="3" xfId="3" applyNumberFormat="1" applyFont="1" applyFill="1" applyBorder="1"/>
    <xf numFmtId="3" fontId="19" fillId="0" borderId="0" xfId="7" applyFont="1" applyFill="1" applyBorder="1" applyAlignment="1">
      <alignment horizontal="left"/>
    </xf>
    <xf numFmtId="0" fontId="33" fillId="0" borderId="0" xfId="0" applyFont="1" applyFill="1"/>
    <xf numFmtId="0" fontId="19" fillId="0" borderId="0" xfId="0" applyFont="1" applyFill="1"/>
    <xf numFmtId="3" fontId="19" fillId="0" borderId="0" xfId="0" applyNumberFormat="1" applyFont="1" applyFill="1"/>
    <xf numFmtId="0" fontId="34" fillId="0" borderId="0" xfId="23" applyFont="1" applyFill="1"/>
    <xf numFmtId="165" fontId="4" fillId="0" borderId="22" xfId="3" applyNumberFormat="1" applyFont="1" applyFill="1" applyBorder="1" applyAlignment="1">
      <alignment horizontal="left"/>
    </xf>
    <xf numFmtId="41" fontId="4" fillId="0" borderId="22" xfId="9" applyNumberFormat="1" applyFont="1" applyFill="1" applyBorder="1" applyAlignment="1">
      <alignment horizontal="left"/>
    </xf>
    <xf numFmtId="165" fontId="4" fillId="0" borderId="24" xfId="3" applyNumberFormat="1" applyFont="1" applyFill="1" applyBorder="1" applyAlignment="1">
      <alignment horizontal="left"/>
    </xf>
    <xf numFmtId="0" fontId="14" fillId="0" borderId="3" xfId="0" applyFont="1" applyFill="1" applyBorder="1" applyAlignment="1">
      <alignment horizontal="center"/>
    </xf>
    <xf numFmtId="0" fontId="5" fillId="0" borderId="3" xfId="17" quotePrefix="1" applyFont="1" applyFill="1" applyBorder="1" applyAlignment="1">
      <alignment horizontal="center" vertical="center" wrapText="1"/>
    </xf>
    <xf numFmtId="43" fontId="4" fillId="0" borderId="4" xfId="12" applyFont="1" applyFill="1" applyBorder="1" applyAlignment="1">
      <alignment horizontal="center" vertical="center" wrapText="1"/>
    </xf>
    <xf numFmtId="1" fontId="14" fillId="0" borderId="3" xfId="9" applyFont="1" applyFill="1" applyBorder="1" applyAlignment="1">
      <alignment horizontal="center"/>
    </xf>
    <xf numFmtId="1" fontId="14" fillId="0" borderId="22" xfId="9" applyFont="1" applyFill="1" applyBorder="1" applyAlignment="1">
      <alignment horizontal="center"/>
    </xf>
    <xf numFmtId="42" fontId="3" fillId="3" borderId="0" xfId="27">
      <alignment horizontal="right"/>
    </xf>
    <xf numFmtId="42" fontId="5" fillId="0" borderId="3" xfId="27" applyFont="1" applyFill="1" applyBorder="1">
      <alignment horizontal="right"/>
    </xf>
    <xf numFmtId="3" fontId="0" fillId="0" borderId="0" xfId="28" applyFont="1" applyFill="1" applyAlignment="1"/>
    <xf numFmtId="0" fontId="3" fillId="0" borderId="0" xfId="35" applyFont="1" applyFill="1"/>
    <xf numFmtId="165" fontId="5" fillId="0" borderId="3" xfId="33" applyNumberFormat="1" applyFont="1" applyFill="1" applyBorder="1"/>
    <xf numFmtId="0" fontId="0" fillId="0" borderId="0" xfId="35" applyFont="1" applyFill="1"/>
    <xf numFmtId="0" fontId="16" fillId="0" borderId="0" xfId="35" applyFill="1"/>
    <xf numFmtId="3" fontId="4" fillId="0" borderId="0" xfId="0" applyNumberFormat="1" applyFont="1" applyFill="1"/>
    <xf numFmtId="43" fontId="4" fillId="0" borderId="0" xfId="12" applyFont="1" applyFill="1"/>
    <xf numFmtId="1" fontId="5" fillId="0" borderId="0" xfId="9" applyNumberFormat="1" applyFont="1" applyFill="1" applyAlignment="1"/>
    <xf numFmtId="0" fontId="36" fillId="0" borderId="0" xfId="0" applyFont="1" applyAlignment="1">
      <alignment horizontal="center"/>
    </xf>
    <xf numFmtId="0" fontId="36" fillId="0" borderId="4" xfId="0" applyFont="1" applyBorder="1" applyAlignment="1">
      <alignment horizontal="center" wrapText="1"/>
    </xf>
    <xf numFmtId="0" fontId="0" fillId="0" borderId="0" xfId="0" applyAlignment="1">
      <alignment horizontal="center"/>
    </xf>
    <xf numFmtId="166" fontId="0" fillId="0" borderId="0" xfId="15" applyNumberFormat="1" applyFont="1"/>
    <xf numFmtId="0" fontId="0" fillId="0" borderId="4" xfId="0" applyBorder="1"/>
    <xf numFmtId="3" fontId="5" fillId="0" borderId="7" xfId="0" applyNumberFormat="1" applyFont="1" applyFill="1" applyBorder="1"/>
    <xf numFmtId="172" fontId="5" fillId="0" borderId="7" xfId="0" applyNumberFormat="1" applyFont="1" applyFill="1" applyBorder="1"/>
    <xf numFmtId="166" fontId="3" fillId="0" borderId="0" xfId="15" applyFont="1" applyFill="1" applyAlignment="1">
      <alignment horizontal="right"/>
    </xf>
    <xf numFmtId="42" fontId="3" fillId="0" borderId="0" xfId="36" applyFill="1" applyAlignment="1">
      <alignment horizontal="right"/>
    </xf>
    <xf numFmtId="165" fontId="3" fillId="0" borderId="0" xfId="3" applyNumberFormat="1" applyFont="1" applyFill="1" applyAlignment="1">
      <alignment horizontal="right"/>
    </xf>
    <xf numFmtId="44" fontId="5" fillId="0" borderId="0" xfId="3" applyNumberFormat="1" applyFont="1" applyFill="1"/>
    <xf numFmtId="14" fontId="5" fillId="0" borderId="0" xfId="0" applyNumberFormat="1" applyFont="1" applyFill="1"/>
    <xf numFmtId="0" fontId="36" fillId="0" borderId="3" xfId="0" applyFont="1" applyBorder="1" applyAlignment="1">
      <alignment horizontal="center"/>
    </xf>
    <xf numFmtId="0" fontId="36" fillId="0" borderId="3" xfId="0" applyFont="1" applyBorder="1" applyAlignment="1">
      <alignment horizontal="center" wrapText="1"/>
    </xf>
    <xf numFmtId="0" fontId="0" fillId="0" borderId="3" xfId="0" applyBorder="1" applyAlignment="1">
      <alignment horizontal="center"/>
    </xf>
    <xf numFmtId="0" fontId="0" fillId="0" borderId="3" xfId="0" applyBorder="1"/>
    <xf numFmtId="0" fontId="36" fillId="0" borderId="4" xfId="0" applyFont="1" applyBorder="1" applyAlignment="1">
      <alignment horizontal="center"/>
    </xf>
    <xf numFmtId="44" fontId="5" fillId="0" borderId="0" xfId="0" applyNumberFormat="1" applyFont="1" applyFill="1"/>
    <xf numFmtId="0" fontId="33" fillId="0" borderId="0" xfId="0" quotePrefix="1" applyFont="1" applyFill="1" applyAlignment="1">
      <alignment horizontal="right"/>
    </xf>
    <xf numFmtId="181" fontId="5" fillId="0" borderId="0" xfId="1" applyNumberFormat="1" applyFont="1" applyFill="1" applyAlignment="1">
      <alignment horizontal="right"/>
    </xf>
    <xf numFmtId="173" fontId="5" fillId="0" borderId="3" xfId="9" applyNumberFormat="1" applyFont="1" applyFill="1" applyBorder="1" applyAlignment="1">
      <alignment horizontal="center"/>
    </xf>
    <xf numFmtId="42" fontId="0" fillId="0" borderId="0" xfId="0" applyNumberFormat="1" applyAlignment="1"/>
    <xf numFmtId="37" fontId="4" fillId="0" borderId="0" xfId="9" applyNumberFormat="1" applyFont="1" applyFill="1" applyAlignment="1">
      <alignment horizontal="center" vertical="center" wrapText="1"/>
    </xf>
    <xf numFmtId="182" fontId="5" fillId="0" borderId="0" xfId="0" applyNumberFormat="1" applyFont="1" applyFill="1"/>
    <xf numFmtId="1" fontId="5" fillId="0" borderId="0" xfId="0" applyNumberFormat="1" applyFont="1" applyFill="1" applyBorder="1" applyAlignment="1">
      <alignment horizontal="left" indent="2"/>
    </xf>
    <xf numFmtId="0" fontId="5" fillId="0" borderId="0" xfId="0" applyFont="1" applyFill="1" applyAlignment="1">
      <alignment horizontal="left" indent="3"/>
    </xf>
    <xf numFmtId="43" fontId="5" fillId="0" borderId="0" xfId="0" applyNumberFormat="1" applyFont="1" applyFill="1"/>
    <xf numFmtId="0" fontId="35" fillId="0" borderId="0" xfId="0" applyFont="1" applyAlignment="1">
      <alignment horizontal="center" wrapText="1"/>
    </xf>
    <xf numFmtId="0" fontId="36" fillId="0" borderId="0" xfId="0" applyFont="1" applyAlignment="1">
      <alignment horizontal="left"/>
    </xf>
    <xf numFmtId="49" fontId="0" fillId="0" borderId="0" xfId="0" applyNumberFormat="1" applyAlignment="1">
      <alignment horizontal="center"/>
    </xf>
    <xf numFmtId="17" fontId="0" fillId="0" borderId="0" xfId="0" quotePrefix="1" applyNumberFormat="1" applyAlignment="1">
      <alignment horizontal="center"/>
    </xf>
    <xf numFmtId="17" fontId="0" fillId="0" borderId="0" xfId="0" applyNumberFormat="1" applyAlignment="1">
      <alignment horizontal="center"/>
    </xf>
    <xf numFmtId="0" fontId="12" fillId="0" borderId="0" xfId="37" applyFont="1" applyFill="1"/>
    <xf numFmtId="0" fontId="12" fillId="0" borderId="0" xfId="37" applyFont="1" applyFill="1" applyAlignment="1">
      <alignment horizontal="left"/>
    </xf>
    <xf numFmtId="0" fontId="5" fillId="0" borderId="0" xfId="37" applyFont="1" applyFill="1" applyBorder="1" applyAlignment="1">
      <alignment vertical="top"/>
    </xf>
    <xf numFmtId="0" fontId="5" fillId="0" borderId="0" xfId="37" applyFont="1" applyFill="1" applyBorder="1"/>
    <xf numFmtId="10" fontId="39" fillId="0" borderId="0" xfId="0" applyNumberFormat="1" applyFont="1"/>
    <xf numFmtId="0" fontId="5" fillId="0" borderId="0" xfId="37" applyFont="1" applyFill="1"/>
    <xf numFmtId="0" fontId="40" fillId="0" borderId="0" xfId="17" applyFont="1" applyFill="1" applyAlignment="1">
      <alignment horizontal="center"/>
    </xf>
    <xf numFmtId="0" fontId="5" fillId="0" borderId="0" xfId="0" applyFont="1" applyFill="1" applyAlignment="1">
      <alignment horizontal="left" vertical="center"/>
    </xf>
    <xf numFmtId="165" fontId="5" fillId="0" borderId="20" xfId="3" applyNumberFormat="1" applyFont="1" applyFill="1" applyBorder="1"/>
    <xf numFmtId="165" fontId="5" fillId="0" borderId="20" xfId="0" applyNumberFormat="1" applyFont="1" applyFill="1" applyBorder="1"/>
    <xf numFmtId="166" fontId="3" fillId="0" borderId="0" xfId="11" applyFill="1">
      <alignment horizontal="right"/>
    </xf>
    <xf numFmtId="181" fontId="0" fillId="0" borderId="3" xfId="1" applyNumberFormat="1" applyFont="1" applyBorder="1"/>
    <xf numFmtId="181" fontId="0" fillId="0" borderId="0" xfId="1" applyNumberFormat="1" applyFont="1"/>
    <xf numFmtId="165" fontId="41" fillId="0" borderId="0" xfId="3" applyNumberFormat="1" applyFont="1" applyFill="1" applyBorder="1"/>
    <xf numFmtId="172" fontId="5" fillId="0" borderId="3" xfId="3" applyNumberFormat="1" applyFont="1" applyFill="1" applyBorder="1"/>
    <xf numFmtId="166" fontId="5" fillId="0" borderId="0" xfId="32" applyNumberFormat="1" applyFont="1" applyFill="1"/>
    <xf numFmtId="165" fontId="5" fillId="0" borderId="0" xfId="33" applyNumberFormat="1" applyFont="1" applyFill="1"/>
    <xf numFmtId="0" fontId="37" fillId="0" borderId="0" xfId="0" applyFont="1" applyFill="1"/>
    <xf numFmtId="0" fontId="1" fillId="0" borderId="0" xfId="38" applyFont="1"/>
    <xf numFmtId="0" fontId="1" fillId="0" borderId="0" xfId="38" applyFont="1" applyAlignment="1">
      <alignment horizontal="right"/>
    </xf>
    <xf numFmtId="0" fontId="1" fillId="0" borderId="0" xfId="38" applyFont="1" applyFill="1"/>
    <xf numFmtId="0" fontId="1" fillId="0" borderId="0" xfId="38" applyFont="1" applyFill="1" applyAlignment="1"/>
    <xf numFmtId="0" fontId="44" fillId="0" borderId="0" xfId="38" applyFont="1" applyAlignment="1">
      <alignment horizontal="center"/>
    </xf>
    <xf numFmtId="0" fontId="44" fillId="0" borderId="4" xfId="38" applyFont="1" applyBorder="1" applyAlignment="1">
      <alignment horizontal="center" wrapText="1"/>
    </xf>
    <xf numFmtId="0" fontId="44" fillId="0" borderId="4" xfId="38" applyFont="1" applyBorder="1" applyAlignment="1">
      <alignment horizontal="center"/>
    </xf>
    <xf numFmtId="0" fontId="44" fillId="0" borderId="4" xfId="38" applyFont="1" applyFill="1" applyBorder="1" applyAlignment="1">
      <alignment horizontal="center"/>
    </xf>
    <xf numFmtId="0" fontId="1" fillId="0" borderId="0" xfId="38" applyFont="1" applyBorder="1"/>
    <xf numFmtId="0" fontId="3" fillId="0" borderId="0" xfId="38" applyFont="1" applyBorder="1" applyAlignment="1">
      <alignment horizontal="center"/>
    </xf>
    <xf numFmtId="0" fontId="36" fillId="0" borderId="0" xfId="38" applyFont="1" applyBorder="1"/>
    <xf numFmtId="0" fontId="3" fillId="0" borderId="0" xfId="38" applyFont="1" applyBorder="1"/>
    <xf numFmtId="0" fontId="3" fillId="0" borderId="0" xfId="38" applyFont="1" applyFill="1" applyBorder="1" applyAlignment="1">
      <alignment horizontal="center"/>
    </xf>
    <xf numFmtId="0" fontId="3" fillId="0" borderId="0" xfId="38" applyFont="1" applyFill="1" applyBorder="1"/>
    <xf numFmtId="0" fontId="36" fillId="0" borderId="0" xfId="38" applyFont="1" applyFill="1" applyBorder="1"/>
    <xf numFmtId="0" fontId="3" fillId="0" borderId="0" xfId="38" applyFont="1" applyAlignment="1">
      <alignment horizontal="center"/>
    </xf>
    <xf numFmtId="0" fontId="3" fillId="0" borderId="0" xfId="38" applyFont="1"/>
    <xf numFmtId="0" fontId="35" fillId="0" borderId="0" xfId="38" applyFont="1" applyAlignment="1">
      <alignment horizontal="left"/>
    </xf>
    <xf numFmtId="0" fontId="0" fillId="0" borderId="0" xfId="26" applyFont="1"/>
    <xf numFmtId="0" fontId="0" fillId="0" borderId="0" xfId="38" applyFont="1"/>
    <xf numFmtId="0" fontId="0" fillId="0" borderId="0" xfId="0" applyFont="1" applyAlignment="1">
      <alignment vertical="center"/>
    </xf>
    <xf numFmtId="0" fontId="0" fillId="0" borderId="0" xfId="38" applyFont="1" applyAlignment="1">
      <alignment horizontal="right"/>
    </xf>
    <xf numFmtId="9" fontId="3" fillId="0" borderId="0" xfId="4" applyFont="1" applyFill="1" applyBorder="1" applyAlignment="1">
      <alignment horizontal="center"/>
    </xf>
    <xf numFmtId="9" fontId="3" fillId="0" borderId="0" xfId="4" applyFont="1" applyFill="1" applyBorder="1"/>
    <xf numFmtId="175" fontId="3" fillId="0" borderId="0" xfId="3" applyNumberFormat="1" applyFont="1" applyFill="1" applyBorder="1" applyAlignment="1">
      <alignment horizontal="center" vertical="center"/>
    </xf>
    <xf numFmtId="175" fontId="3" fillId="0" borderId="0" xfId="3" applyNumberFormat="1" applyFont="1" applyBorder="1" applyAlignment="1">
      <alignment horizontal="center" vertical="center"/>
    </xf>
    <xf numFmtId="175" fontId="1" fillId="0" borderId="0" xfId="39" applyNumberFormat="1" applyFont="1" applyFill="1" applyBorder="1"/>
    <xf numFmtId="175" fontId="1" fillId="0" borderId="3" xfId="39" applyNumberFormat="1" applyFont="1" applyFill="1" applyBorder="1"/>
    <xf numFmtId="175" fontId="1" fillId="0" borderId="0" xfId="38" applyNumberFormat="1" applyFont="1" applyFill="1" applyBorder="1"/>
    <xf numFmtId="37" fontId="7" fillId="0" borderId="0" xfId="9" quotePrefix="1" applyNumberFormat="1" applyFont="1" applyFill="1"/>
    <xf numFmtId="169" fontId="5" fillId="0" borderId="0" xfId="0" applyNumberFormat="1" applyFont="1" applyFill="1"/>
    <xf numFmtId="169" fontId="5" fillId="0" borderId="0" xfId="0" applyNumberFormat="1" applyFont="1" applyFill="1" applyBorder="1" applyAlignment="1">
      <alignment horizontal="center" vertical="center" wrapText="1"/>
    </xf>
    <xf numFmtId="169" fontId="5" fillId="0" borderId="0" xfId="3" applyNumberFormat="1" applyFont="1" applyFill="1"/>
    <xf numFmtId="169" fontId="5" fillId="0" borderId="0" xfId="4" applyNumberFormat="1" applyFont="1" applyFill="1" applyBorder="1"/>
    <xf numFmtId="169" fontId="5" fillId="0" borderId="0" xfId="4" applyNumberFormat="1" applyFont="1" applyFill="1" applyAlignment="1">
      <alignment horizontal="center"/>
    </xf>
    <xf numFmtId="169" fontId="5" fillId="0" borderId="0" xfId="11" applyNumberFormat="1" applyFont="1" applyFill="1" applyBorder="1" applyAlignment="1">
      <alignment horizontal="right"/>
    </xf>
    <xf numFmtId="169" fontId="5" fillId="0" borderId="0" xfId="4" applyNumberFormat="1" applyFont="1" applyFill="1" applyBorder="1" applyAlignment="1">
      <alignment horizontal="center"/>
    </xf>
    <xf numFmtId="169" fontId="4" fillId="0" borderId="0" xfId="4" applyNumberFormat="1" applyFont="1" applyFill="1" applyBorder="1"/>
    <xf numFmtId="164" fontId="5" fillId="0" borderId="0" xfId="0" applyNumberFormat="1" applyFont="1" applyFill="1"/>
    <xf numFmtId="165" fontId="0" fillId="0" borderId="0" xfId="3" applyNumberFormat="1" applyFont="1" applyFill="1" applyAlignment="1">
      <alignment horizontal="center" wrapText="1"/>
    </xf>
    <xf numFmtId="165" fontId="0" fillId="0" borderId="0" xfId="0" applyNumberFormat="1" applyFill="1"/>
    <xf numFmtId="165" fontId="0" fillId="0" borderId="0" xfId="0" applyNumberFormat="1" applyFill="1" applyBorder="1"/>
    <xf numFmtId="165" fontId="0" fillId="0" borderId="0" xfId="3" applyNumberFormat="1" applyFont="1" applyFill="1"/>
    <xf numFmtId="0" fontId="0" fillId="0" borderId="0" xfId="0" applyFill="1" applyAlignment="1">
      <alignment horizontal="center"/>
    </xf>
    <xf numFmtId="0" fontId="38" fillId="0" borderId="0" xfId="0" applyFont="1" applyFill="1" applyAlignment="1">
      <alignment horizontal="center"/>
    </xf>
    <xf numFmtId="10" fontId="0" fillId="0" borderId="0" xfId="0" applyNumberFormat="1" applyFill="1"/>
    <xf numFmtId="165" fontId="0" fillId="0" borderId="0" xfId="0" applyNumberFormat="1" applyFont="1" applyFill="1" applyAlignment="1">
      <alignment horizontal="center"/>
    </xf>
    <xf numFmtId="0" fontId="0" fillId="0" borderId="0" xfId="0" applyFill="1"/>
    <xf numFmtId="0" fontId="0" fillId="0" borderId="0" xfId="0" applyFont="1" applyFill="1" applyAlignment="1">
      <alignment horizontal="center"/>
    </xf>
    <xf numFmtId="169" fontId="5" fillId="0" borderId="0" xfId="3" applyNumberFormat="1" applyFont="1" applyFill="1" applyBorder="1" applyAlignment="1">
      <alignment horizontal="left" vertical="top"/>
    </xf>
    <xf numFmtId="169" fontId="5" fillId="0" borderId="0" xfId="3" applyNumberFormat="1" applyFont="1" applyFill="1" applyBorder="1" applyAlignment="1">
      <alignment horizontal="right"/>
    </xf>
    <xf numFmtId="169" fontId="5" fillId="0" borderId="0" xfId="0" applyNumberFormat="1" applyFont="1" applyFill="1" applyAlignment="1">
      <alignment horizontal="left"/>
    </xf>
    <xf numFmtId="169" fontId="5" fillId="0" borderId="0" xfId="3" applyNumberFormat="1" applyFont="1" applyFill="1" applyBorder="1" applyAlignment="1">
      <alignment horizontal="center" vertical="center" wrapText="1"/>
    </xf>
    <xf numFmtId="169" fontId="5" fillId="0" borderId="0" xfId="0" applyNumberFormat="1" applyFont="1" applyFill="1" applyAlignment="1">
      <alignment horizontal="center"/>
    </xf>
    <xf numFmtId="0" fontId="5" fillId="0" borderId="0" xfId="0" applyNumberFormat="1" applyFont="1" applyFill="1" applyAlignment="1"/>
    <xf numFmtId="37" fontId="5" fillId="0" borderId="0" xfId="0" applyNumberFormat="1" applyFont="1" applyFill="1" applyAlignment="1">
      <alignment horizontal="left"/>
    </xf>
    <xf numFmtId="1" fontId="5" fillId="4" borderId="0" xfId="0" applyNumberFormat="1" applyFont="1" applyFill="1"/>
    <xf numFmtId="0" fontId="5" fillId="4" borderId="0" xfId="0" applyFont="1" applyFill="1"/>
    <xf numFmtId="164" fontId="5" fillId="0" borderId="0" xfId="39" applyNumberFormat="1" applyFont="1" applyFill="1" applyAlignment="1">
      <alignment horizontal="right"/>
    </xf>
    <xf numFmtId="42" fontId="5" fillId="0" borderId="0" xfId="33" applyNumberFormat="1" applyFont="1" applyFill="1" applyBorder="1" applyAlignment="1">
      <alignment horizontal="left" vertical="top"/>
    </xf>
    <xf numFmtId="169" fontId="5" fillId="0" borderId="0" xfId="32" applyNumberFormat="1" applyFont="1" applyFill="1"/>
    <xf numFmtId="164" fontId="5" fillId="0" borderId="0" xfId="39" applyNumberFormat="1" applyFont="1" applyFill="1"/>
    <xf numFmtId="43" fontId="5" fillId="0" borderId="0" xfId="39" applyFont="1" applyFill="1" applyAlignment="1">
      <alignment horizontal="right"/>
    </xf>
    <xf numFmtId="0" fontId="5" fillId="0" borderId="4" xfId="0" applyFont="1" applyFill="1" applyBorder="1" applyAlignment="1">
      <alignment horizontal="center" vertical="center" wrapText="1"/>
    </xf>
    <xf numFmtId="165" fontId="4" fillId="0" borderId="0" xfId="6" applyNumberFormat="1" applyFont="1" applyFill="1" applyBorder="1"/>
    <xf numFmtId="0" fontId="5" fillId="0" borderId="0" xfId="0" applyFont="1" applyFill="1" applyBorder="1" applyAlignment="1">
      <alignment wrapText="1"/>
    </xf>
    <xf numFmtId="0" fontId="5" fillId="0" borderId="0" xfId="0" applyNumberFormat="1" applyFont="1" applyFill="1" applyAlignment="1" applyProtection="1">
      <alignment wrapText="1"/>
    </xf>
    <xf numFmtId="37" fontId="5" fillId="0" borderId="0" xfId="9" applyNumberFormat="1" applyFont="1" applyFill="1" applyBorder="1" applyAlignment="1">
      <alignment wrapText="1"/>
    </xf>
    <xf numFmtId="0" fontId="1" fillId="0" borderId="0" xfId="38" applyFont="1" applyFill="1" applyAlignment="1">
      <alignment horizontal="right"/>
    </xf>
    <xf numFmtId="3" fontId="43" fillId="0" borderId="0" xfId="38" applyNumberFormat="1" applyFont="1" applyFill="1" applyAlignment="1"/>
    <xf numFmtId="0" fontId="44" fillId="0" borderId="0" xfId="38" applyFont="1" applyFill="1" applyAlignment="1"/>
    <xf numFmtId="0" fontId="45" fillId="0" borderId="0" xfId="38" applyFont="1" applyFill="1" applyAlignment="1"/>
    <xf numFmtId="0" fontId="36" fillId="0" borderId="0" xfId="38" applyFont="1" applyFill="1" applyAlignment="1"/>
    <xf numFmtId="3" fontId="36" fillId="0" borderId="0" xfId="38" applyNumberFormat="1" applyFont="1" applyFill="1" applyAlignment="1"/>
    <xf numFmtId="0" fontId="5" fillId="0" borderId="0" xfId="0" applyFont="1" applyFill="1" applyAlignment="1">
      <alignment vertical="center"/>
    </xf>
    <xf numFmtId="3" fontId="3" fillId="4" borderId="0" xfId="7" applyFill="1">
      <alignment horizontal="right"/>
    </xf>
    <xf numFmtId="9" fontId="3" fillId="4" borderId="0" xfId="34" applyFill="1">
      <alignment horizontal="right"/>
    </xf>
    <xf numFmtId="10" fontId="3" fillId="0" borderId="0" xfId="34" applyNumberFormat="1" applyFill="1">
      <alignment horizontal="right"/>
    </xf>
    <xf numFmtId="42" fontId="3" fillId="4" borderId="0" xfId="27" applyFill="1">
      <alignment horizontal="right"/>
    </xf>
    <xf numFmtId="42" fontId="3" fillId="4" borderId="3" xfId="27" applyFill="1" applyBorder="1">
      <alignment horizontal="right"/>
    </xf>
    <xf numFmtId="49" fontId="0" fillId="4" borderId="0" xfId="0" applyNumberFormat="1" applyFill="1" applyAlignment="1">
      <alignment horizontal="center"/>
    </xf>
    <xf numFmtId="49" fontId="0" fillId="4" borderId="0" xfId="0" quotePrefix="1" applyNumberFormat="1" applyFill="1" applyAlignment="1">
      <alignment horizontal="center"/>
    </xf>
    <xf numFmtId="0" fontId="0" fillId="4" borderId="0" xfId="0" applyFill="1" applyAlignment="1">
      <alignment horizontal="center"/>
    </xf>
    <xf numFmtId="183" fontId="0" fillId="4" borderId="0" xfId="0" applyNumberFormat="1" applyFill="1" applyAlignment="1">
      <alignment horizontal="center"/>
    </xf>
    <xf numFmtId="165" fontId="0" fillId="4" borderId="0" xfId="0" applyNumberFormat="1" applyFill="1"/>
    <xf numFmtId="10" fontId="39" fillId="4" borderId="0" xfId="0" applyNumberFormat="1" applyFont="1" applyFill="1"/>
    <xf numFmtId="42" fontId="3" fillId="4" borderId="0" xfId="27" applyFill="1" applyProtection="1">
      <alignment horizontal="right"/>
    </xf>
    <xf numFmtId="37" fontId="5" fillId="4" borderId="0" xfId="9" applyNumberFormat="1" applyFont="1" applyFill="1" applyBorder="1"/>
    <xf numFmtId="42" fontId="3" fillId="4" borderId="0" xfId="27" applyFont="1" applyFill="1">
      <alignment horizontal="right"/>
    </xf>
    <xf numFmtId="42" fontId="5" fillId="4" borderId="0" xfId="27" applyFont="1" applyFill="1" applyAlignment="1"/>
    <xf numFmtId="42" fontId="3" fillId="4" borderId="0" xfId="27" applyFill="1" applyProtection="1">
      <alignment horizontal="right"/>
      <protection locked="0"/>
    </xf>
    <xf numFmtId="0" fontId="3" fillId="4" borderId="0" xfId="38" applyFont="1" applyFill="1" applyBorder="1"/>
    <xf numFmtId="175" fontId="3" fillId="4" borderId="0" xfId="3" applyNumberFormat="1" applyFont="1" applyFill="1" applyBorder="1" applyAlignment="1">
      <alignment horizontal="center" vertical="center"/>
    </xf>
    <xf numFmtId="9" fontId="3" fillId="4" borderId="0" xfId="4" applyFont="1" applyFill="1" applyBorder="1" applyAlignment="1">
      <alignment horizontal="center"/>
    </xf>
    <xf numFmtId="3" fontId="5" fillId="4" borderId="0" xfId="7" applyFont="1" applyFill="1" applyBorder="1">
      <alignment horizontal="right"/>
    </xf>
    <xf numFmtId="1" fontId="5" fillId="0" borderId="0" xfId="12" applyNumberFormat="1" applyFont="1" applyFill="1" applyAlignment="1">
      <alignment horizontal="center" vertical="center"/>
    </xf>
    <xf numFmtId="1" fontId="5" fillId="0" borderId="0" xfId="12" applyNumberFormat="1" applyFont="1" applyFill="1" applyAlignment="1">
      <alignment horizontal="center"/>
    </xf>
    <xf numFmtId="1" fontId="26" fillId="0" borderId="0" xfId="12" applyNumberFormat="1" applyFont="1" applyFill="1" applyAlignment="1">
      <alignment horizontal="center"/>
    </xf>
    <xf numFmtId="43" fontId="5" fillId="0" borderId="0" xfId="12" applyFont="1" applyFill="1" applyAlignment="1">
      <alignment horizontal="left" vertical="top"/>
    </xf>
    <xf numFmtId="167" fontId="5" fillId="0" borderId="0" xfId="30" applyNumberFormat="1" applyFont="1" applyFill="1" applyBorder="1" applyAlignment="1" applyProtection="1">
      <alignment horizontal="left" vertical="top"/>
    </xf>
    <xf numFmtId="3" fontId="5" fillId="0" borderId="0" xfId="31" applyFont="1" applyFill="1" applyBorder="1" applyAlignment="1">
      <alignment horizontal="center"/>
    </xf>
    <xf numFmtId="0" fontId="29" fillId="4" borderId="11" xfId="0" applyFont="1" applyFill="1" applyBorder="1" applyAlignment="1">
      <alignment horizontal="center" wrapText="1"/>
    </xf>
    <xf numFmtId="0" fontId="29" fillId="4" borderId="3" xfId="0" applyFont="1" applyFill="1" applyBorder="1" applyAlignment="1">
      <alignment horizontal="center" wrapText="1"/>
    </xf>
    <xf numFmtId="0" fontId="29" fillId="4" borderId="3" xfId="0" applyNumberFormat="1" applyFont="1" applyFill="1" applyBorder="1" applyAlignment="1">
      <alignment horizontal="center"/>
    </xf>
    <xf numFmtId="9" fontId="29" fillId="4" borderId="3" xfId="0" applyNumberFormat="1" applyFont="1" applyFill="1" applyBorder="1" applyAlignment="1">
      <alignment horizontal="center"/>
    </xf>
    <xf numFmtId="172" fontId="5" fillId="4" borderId="3" xfId="0" applyNumberFormat="1" applyFont="1" applyFill="1" applyBorder="1"/>
    <xf numFmtId="0" fontId="29" fillId="4" borderId="3" xfId="0" applyFont="1" applyFill="1" applyBorder="1" applyAlignment="1">
      <alignment wrapText="1"/>
    </xf>
    <xf numFmtId="14" fontId="29" fillId="4" borderId="3" xfId="0" applyNumberFormat="1" applyFont="1" applyFill="1" applyBorder="1" applyAlignment="1">
      <alignment horizontal="center" wrapText="1"/>
    </xf>
    <xf numFmtId="0" fontId="28" fillId="4" borderId="3" xfId="0" applyFont="1" applyFill="1" applyBorder="1" applyAlignment="1">
      <alignment horizontal="center" wrapText="1"/>
    </xf>
    <xf numFmtId="0" fontId="29" fillId="4" borderId="12" xfId="0" applyFont="1" applyFill="1" applyBorder="1" applyAlignment="1">
      <alignment horizontal="center" wrapText="1"/>
    </xf>
    <xf numFmtId="9" fontId="29" fillId="4" borderId="22" xfId="0" applyNumberFormat="1" applyFont="1" applyFill="1" applyBorder="1" applyAlignment="1">
      <alignment horizontal="center"/>
    </xf>
    <xf numFmtId="0" fontId="5" fillId="4" borderId="11" xfId="0" applyFont="1" applyFill="1" applyBorder="1" applyAlignment="1">
      <alignment horizontal="center" wrapText="1"/>
    </xf>
    <xf numFmtId="0" fontId="5" fillId="4" borderId="3" xfId="0" applyFont="1" applyFill="1" applyBorder="1" applyAlignment="1">
      <alignment horizontal="center" wrapText="1"/>
    </xf>
    <xf numFmtId="9" fontId="5" fillId="4" borderId="3" xfId="0" applyNumberFormat="1" applyFont="1" applyFill="1" applyBorder="1" applyAlignment="1">
      <alignment horizontal="center" wrapText="1"/>
    </xf>
    <xf numFmtId="14" fontId="5" fillId="4" borderId="3" xfId="0" applyNumberFormat="1" applyFont="1" applyFill="1" applyBorder="1" applyAlignment="1">
      <alignment wrapText="1"/>
    </xf>
    <xf numFmtId="172" fontId="5" fillId="4" borderId="3" xfId="0" applyNumberFormat="1" applyFont="1" applyFill="1" applyBorder="1" applyAlignment="1">
      <alignment wrapText="1"/>
    </xf>
    <xf numFmtId="0" fontId="29" fillId="4" borderId="12" xfId="0" applyFont="1" applyFill="1" applyBorder="1" applyAlignment="1">
      <alignment horizontal="center" vertical="center" wrapText="1"/>
    </xf>
    <xf numFmtId="180" fontId="5" fillId="4" borderId="3" xfId="0" applyNumberFormat="1" applyFont="1" applyFill="1" applyBorder="1" applyAlignment="1">
      <alignment wrapText="1"/>
    </xf>
    <xf numFmtId="3" fontId="5" fillId="4" borderId="12" xfId="0" applyNumberFormat="1" applyFont="1" applyFill="1" applyBorder="1"/>
    <xf numFmtId="0" fontId="5" fillId="4" borderId="12" xfId="0" applyFont="1" applyFill="1" applyBorder="1"/>
    <xf numFmtId="0" fontId="5" fillId="4" borderId="19" xfId="0" applyFont="1" applyFill="1" applyBorder="1" applyAlignment="1">
      <alignment horizontal="center" wrapText="1"/>
    </xf>
    <xf numFmtId="0" fontId="5" fillId="4" borderId="7" xfId="0" applyFont="1" applyFill="1" applyBorder="1" applyAlignment="1">
      <alignment horizontal="center" wrapText="1"/>
    </xf>
    <xf numFmtId="9" fontId="5" fillId="4" borderId="7" xfId="0" applyNumberFormat="1" applyFont="1" applyFill="1" applyBorder="1" applyAlignment="1">
      <alignment horizontal="center" wrapText="1"/>
    </xf>
    <xf numFmtId="172" fontId="5" fillId="4" borderId="7" xfId="0" applyNumberFormat="1" applyFont="1" applyFill="1" applyBorder="1"/>
    <xf numFmtId="14" fontId="5" fillId="4" borderId="7" xfId="0" applyNumberFormat="1" applyFont="1" applyFill="1" applyBorder="1" applyAlignment="1">
      <alignment wrapText="1"/>
    </xf>
    <xf numFmtId="172" fontId="5" fillId="4" borderId="7" xfId="0" applyNumberFormat="1" applyFont="1" applyFill="1" applyBorder="1" applyAlignment="1">
      <alignment wrapText="1"/>
    </xf>
    <xf numFmtId="0" fontId="29" fillId="4" borderId="26" xfId="0" applyFont="1" applyFill="1" applyBorder="1" applyAlignment="1">
      <alignment horizontal="center" vertical="center" wrapText="1"/>
    </xf>
    <xf numFmtId="0" fontId="5" fillId="4" borderId="23" xfId="0" applyFont="1" applyFill="1" applyBorder="1" applyAlignment="1">
      <alignment horizontal="center" wrapText="1"/>
    </xf>
    <xf numFmtId="0" fontId="5" fillId="4" borderId="14" xfId="0" applyFont="1" applyFill="1" applyBorder="1" applyAlignment="1">
      <alignment horizontal="center" wrapText="1"/>
    </xf>
    <xf numFmtId="9" fontId="5" fillId="4" borderId="14" xfId="0" applyNumberFormat="1" applyFont="1" applyFill="1" applyBorder="1" applyAlignment="1">
      <alignment horizontal="center" wrapText="1"/>
    </xf>
    <xf numFmtId="14" fontId="5" fillId="4" borderId="14" xfId="0" applyNumberFormat="1" applyFont="1" applyFill="1" applyBorder="1" applyAlignment="1">
      <alignment wrapText="1"/>
    </xf>
    <xf numFmtId="180" fontId="5" fillId="4" borderId="14" xfId="0" applyNumberFormat="1" applyFont="1" applyFill="1" applyBorder="1" applyAlignment="1">
      <alignment wrapText="1"/>
    </xf>
    <xf numFmtId="0" fontId="5" fillId="4" borderId="13" xfId="0" applyFont="1" applyFill="1" applyBorder="1"/>
    <xf numFmtId="0" fontId="4" fillId="0" borderId="4" xfId="0" applyFont="1" applyFill="1" applyBorder="1" applyAlignment="1">
      <alignment horizontal="center" wrapText="1"/>
    </xf>
    <xf numFmtId="0" fontId="0" fillId="4" borderId="3" xfId="0" applyFill="1" applyBorder="1"/>
    <xf numFmtId="0" fontId="0" fillId="4" borderId="3" xfId="0" applyFill="1" applyBorder="1" applyAlignment="1">
      <alignment wrapText="1"/>
    </xf>
    <xf numFmtId="9" fontId="0" fillId="4" borderId="0" xfId="0" applyNumberFormat="1" applyFill="1"/>
    <xf numFmtId="181" fontId="0" fillId="4" borderId="3" xfId="1" applyNumberFormat="1" applyFont="1" applyFill="1" applyBorder="1"/>
    <xf numFmtId="181" fontId="0" fillId="4" borderId="0" xfId="1" applyNumberFormat="1" applyFont="1" applyFill="1"/>
    <xf numFmtId="0" fontId="0" fillId="0" borderId="0" xfId="0" applyFont="1"/>
    <xf numFmtId="165" fontId="5" fillId="4" borderId="11" xfId="3" applyNumberFormat="1" applyFont="1" applyFill="1" applyBorder="1" applyAlignment="1">
      <alignment vertical="top"/>
    </xf>
    <xf numFmtId="165" fontId="5" fillId="4" borderId="3" xfId="3" applyNumberFormat="1" applyFont="1" applyFill="1" applyBorder="1"/>
    <xf numFmtId="0" fontId="5" fillId="4" borderId="11" xfId="17" applyFont="1" applyFill="1" applyBorder="1" applyAlignment="1">
      <alignment vertical="top"/>
    </xf>
    <xf numFmtId="0" fontId="5" fillId="4" borderId="11" xfId="17" applyFont="1" applyFill="1" applyBorder="1" applyAlignment="1">
      <alignment vertical="center"/>
    </xf>
    <xf numFmtId="165" fontId="5" fillId="4" borderId="3" xfId="18" applyNumberFormat="1" applyFont="1" applyFill="1" applyBorder="1"/>
    <xf numFmtId="9" fontId="3" fillId="0" borderId="0" xfId="34" applyFont="1" applyFill="1">
      <alignment horizontal="right"/>
    </xf>
    <xf numFmtId="43" fontId="5" fillId="4" borderId="3" xfId="12" applyFont="1" applyFill="1" applyBorder="1"/>
    <xf numFmtId="3" fontId="0" fillId="4" borderId="0" xfId="7" applyFont="1" applyFill="1">
      <alignment horizontal="right"/>
    </xf>
    <xf numFmtId="3" fontId="3" fillId="4" borderId="0" xfId="7" applyFont="1" applyFill="1">
      <alignment horizontal="right"/>
    </xf>
    <xf numFmtId="43" fontId="5" fillId="4" borderId="3" xfId="12" quotePrefix="1" applyFont="1" applyFill="1" applyBorder="1"/>
    <xf numFmtId="164" fontId="5" fillId="4" borderId="3" xfId="12" applyNumberFormat="1" applyFont="1" applyFill="1" applyBorder="1"/>
    <xf numFmtId="14" fontId="5" fillId="4" borderId="3" xfId="12" applyNumberFormat="1" applyFont="1" applyFill="1" applyBorder="1"/>
    <xf numFmtId="43" fontId="5" fillId="4" borderId="0" xfId="12" applyFont="1" applyFill="1"/>
    <xf numFmtId="43" fontId="5" fillId="4" borderId="0" xfId="12" applyFont="1" applyFill="1" applyBorder="1"/>
    <xf numFmtId="1" fontId="5" fillId="4" borderId="0" xfId="9" quotePrefix="1" applyNumberFormat="1" applyFont="1" applyFill="1" applyAlignment="1">
      <alignment horizontal="center"/>
    </xf>
    <xf numFmtId="1" fontId="5" fillId="4" borderId="0" xfId="9" applyNumberFormat="1" applyFont="1" applyFill="1" applyAlignment="1">
      <alignment horizontal="center"/>
    </xf>
    <xf numFmtId="37" fontId="5" fillId="4" borderId="0" xfId="9" applyNumberFormat="1" applyFont="1" applyFill="1"/>
    <xf numFmtId="2" fontId="5" fillId="4" borderId="0" xfId="28" applyNumberFormat="1" applyFont="1" applyFill="1" applyBorder="1" applyAlignment="1">
      <alignment horizontal="center"/>
    </xf>
    <xf numFmtId="49" fontId="5" fillId="4" borderId="0" xfId="28" applyNumberFormat="1" applyFont="1" applyFill="1" applyBorder="1" applyAlignment="1"/>
    <xf numFmtId="164" fontId="5" fillId="0" borderId="0" xfId="1" applyNumberFormat="1" applyFont="1" applyFill="1" applyBorder="1" applyAlignment="1" applyProtection="1">
      <alignment vertical="top"/>
    </xf>
    <xf numFmtId="49" fontId="5" fillId="0" borderId="0" xfId="0" applyNumberFormat="1" applyFont="1" applyFill="1" applyAlignment="1">
      <alignment horizontal="left"/>
    </xf>
    <xf numFmtId="43" fontId="5" fillId="4" borderId="0" xfId="12" quotePrefix="1" applyFont="1" applyFill="1"/>
    <xf numFmtId="2" fontId="5" fillId="4" borderId="0" xfId="28" quotePrefix="1" applyNumberFormat="1" applyFont="1" applyFill="1" applyBorder="1" applyAlignment="1">
      <alignment horizontal="center"/>
    </xf>
    <xf numFmtId="165" fontId="5" fillId="5" borderId="0" xfId="3" quotePrefix="1" applyNumberFormat="1" applyFont="1" applyFill="1" applyBorder="1" applyAlignment="1">
      <alignment horizontal="right"/>
    </xf>
    <xf numFmtId="165" fontId="3" fillId="0" borderId="0" xfId="35" applyNumberFormat="1" applyFont="1" applyFill="1"/>
    <xf numFmtId="44" fontId="3" fillId="4" borderId="0" xfId="3" applyFont="1" applyFill="1" applyAlignment="1">
      <alignment horizontal="right"/>
    </xf>
    <xf numFmtId="10" fontId="5" fillId="0" borderId="0" xfId="4" quotePrefix="1" applyNumberFormat="1" applyFont="1" applyFill="1" applyAlignment="1">
      <alignment horizontal="right"/>
    </xf>
    <xf numFmtId="10" fontId="5" fillId="0" borderId="0" xfId="4" applyNumberFormat="1" applyFont="1" applyFill="1" applyAlignment="1">
      <alignment horizontal="center"/>
    </xf>
    <xf numFmtId="37" fontId="5" fillId="0" borderId="0" xfId="9" applyNumberFormat="1" applyFont="1" applyFill="1" applyAlignment="1">
      <alignment horizontal="left"/>
    </xf>
    <xf numFmtId="1" fontId="4" fillId="0" borderId="3" xfId="9" applyFont="1" applyFill="1" applyBorder="1" applyAlignment="1">
      <alignment horizontal="center"/>
    </xf>
    <xf numFmtId="1" fontId="4" fillId="0" borderId="12" xfId="9" applyFont="1" applyFill="1" applyBorder="1" applyAlignment="1">
      <alignment horizontal="left" indent="6"/>
    </xf>
    <xf numFmtId="1" fontId="4" fillId="0" borderId="3" xfId="9" applyFont="1" applyFill="1" applyBorder="1" applyAlignment="1">
      <alignment horizontal="left" indent="6"/>
    </xf>
    <xf numFmtId="1" fontId="4" fillId="0" borderId="22" xfId="9" applyFont="1" applyFill="1" applyBorder="1" applyAlignment="1">
      <alignment horizontal="left" indent="6"/>
    </xf>
    <xf numFmtId="1" fontId="4" fillId="0" borderId="14" xfId="9" applyFont="1" applyFill="1" applyBorder="1" applyAlignment="1">
      <alignment horizontal="center"/>
    </xf>
    <xf numFmtId="1" fontId="4" fillId="0" borderId="8" xfId="9" applyFont="1" applyFill="1" applyBorder="1" applyAlignment="1">
      <alignment horizontal="center"/>
    </xf>
    <xf numFmtId="1" fontId="4" fillId="0" borderId="9" xfId="9" applyFont="1" applyFill="1" applyBorder="1" applyAlignment="1">
      <alignment horizontal="center"/>
    </xf>
    <xf numFmtId="1" fontId="4" fillId="0" borderId="25" xfId="9" applyFont="1" applyFill="1" applyBorder="1" applyAlignment="1">
      <alignment horizontal="center"/>
    </xf>
    <xf numFmtId="1" fontId="4" fillId="0" borderId="10" xfId="9" applyFont="1" applyFill="1" applyBorder="1" applyAlignment="1">
      <alignment horizontal="center"/>
    </xf>
    <xf numFmtId="1" fontId="4" fillId="0" borderId="11" xfId="9" applyFont="1" applyFill="1" applyBorder="1" applyAlignment="1">
      <alignment horizontal="center"/>
    </xf>
    <xf numFmtId="42" fontId="5" fillId="0" borderId="3" xfId="27" applyFont="1" applyFill="1" applyBorder="1">
      <alignment horizontal="right"/>
    </xf>
    <xf numFmtId="0" fontId="4" fillId="0" borderId="0" xfId="17" applyFont="1" applyFill="1" applyBorder="1" applyAlignment="1">
      <alignment vertical="center"/>
    </xf>
    <xf numFmtId="0" fontId="5" fillId="0" borderId="0" xfId="17" applyFont="1" applyFill="1" applyAlignment="1"/>
    <xf numFmtId="0" fontId="5" fillId="0" borderId="16" xfId="17" quotePrefix="1" applyFont="1" applyFill="1" applyBorder="1" applyAlignment="1">
      <alignment horizontal="center" vertical="center" wrapText="1"/>
    </xf>
    <xf numFmtId="0" fontId="5" fillId="0" borderId="15" xfId="17" applyFont="1" applyFill="1" applyBorder="1" applyAlignment="1">
      <alignment horizontal="center" vertical="center" wrapText="1"/>
    </xf>
    <xf numFmtId="0" fontId="5" fillId="4" borderId="16" xfId="17" quotePrefix="1" applyFont="1" applyFill="1" applyBorder="1" applyAlignment="1">
      <alignment vertical="top" wrapText="1"/>
    </xf>
    <xf numFmtId="0" fontId="5" fillId="4" borderId="17" xfId="17" applyFont="1" applyFill="1" applyBorder="1" applyAlignment="1">
      <alignment vertical="top" wrapText="1"/>
    </xf>
    <xf numFmtId="0" fontId="5" fillId="4" borderId="21" xfId="17" applyFont="1" applyFill="1" applyBorder="1" applyAlignment="1">
      <alignment vertical="top" wrapText="1"/>
    </xf>
    <xf numFmtId="0" fontId="5" fillId="4" borderId="15" xfId="17" applyFont="1" applyFill="1" applyBorder="1" applyAlignment="1">
      <alignment vertical="top" wrapText="1"/>
    </xf>
    <xf numFmtId="0" fontId="5" fillId="4" borderId="4" xfId="17" applyFont="1" applyFill="1" applyBorder="1" applyAlignment="1">
      <alignment vertical="top" wrapText="1"/>
    </xf>
    <xf numFmtId="0" fontId="5" fillId="4" borderId="19" xfId="17" applyFont="1" applyFill="1" applyBorder="1" applyAlignment="1">
      <alignment vertical="top" wrapText="1"/>
    </xf>
    <xf numFmtId="0" fontId="5" fillId="4" borderId="18" xfId="17" applyFont="1" applyFill="1" applyBorder="1" applyAlignment="1">
      <alignment vertical="top" wrapText="1"/>
    </xf>
    <xf numFmtId="0" fontId="5" fillId="4" borderId="7" xfId="17" applyFont="1" applyFill="1" applyBorder="1" applyAlignment="1">
      <alignment vertical="top" wrapText="1"/>
    </xf>
    <xf numFmtId="0" fontId="4" fillId="0" borderId="18" xfId="17" applyFont="1" applyFill="1" applyBorder="1" applyAlignment="1">
      <alignment horizontal="center" vertical="center" wrapText="1"/>
    </xf>
    <xf numFmtId="0" fontId="4" fillId="0" borderId="7" xfId="17" applyFont="1" applyFill="1" applyBorder="1" applyAlignment="1">
      <alignment horizontal="center" vertical="center" wrapText="1"/>
    </xf>
    <xf numFmtId="0" fontId="14" fillId="0" borderId="18" xfId="17" applyFont="1" applyFill="1" applyBorder="1" applyAlignment="1">
      <alignment horizontal="center" vertical="center" wrapText="1"/>
    </xf>
    <xf numFmtId="0" fontId="14" fillId="0" borderId="7" xfId="17" applyFont="1" applyFill="1" applyBorder="1" applyAlignment="1">
      <alignment horizontal="center" vertical="center" wrapText="1"/>
    </xf>
    <xf numFmtId="0" fontId="4" fillId="0" borderId="16" xfId="17" applyFont="1" applyFill="1" applyBorder="1" applyAlignment="1">
      <alignment horizontal="center" vertical="center" wrapText="1"/>
    </xf>
    <xf numFmtId="0" fontId="5" fillId="0" borderId="17" xfId="17" applyFont="1" applyFill="1" applyBorder="1" applyAlignment="1">
      <alignment horizontal="center" vertical="center" wrapText="1"/>
    </xf>
    <xf numFmtId="0" fontId="5" fillId="0" borderId="21" xfId="17" applyFont="1" applyFill="1" applyBorder="1" applyAlignment="1">
      <alignment horizontal="center" vertical="center" wrapText="1"/>
    </xf>
    <xf numFmtId="0" fontId="5" fillId="0" borderId="4" xfId="17" applyFont="1" applyFill="1" applyBorder="1" applyAlignment="1">
      <alignment horizontal="center" vertical="center" wrapText="1"/>
    </xf>
    <xf numFmtId="0" fontId="5" fillId="0" borderId="19" xfId="17" applyFont="1" applyFill="1" applyBorder="1" applyAlignment="1">
      <alignment horizontal="center" vertical="center" wrapText="1"/>
    </xf>
    <xf numFmtId="0" fontId="5" fillId="0" borderId="7" xfId="17" applyFont="1" applyFill="1" applyBorder="1" applyAlignment="1">
      <alignment horizontal="center" vertical="center" wrapText="1"/>
    </xf>
    <xf numFmtId="0" fontId="5" fillId="0" borderId="3" xfId="17" quotePrefix="1" applyFont="1" applyFill="1" applyBorder="1" applyAlignment="1">
      <alignment horizontal="center" vertical="center" wrapText="1"/>
    </xf>
    <xf numFmtId="0" fontId="5" fillId="0" borderId="3" xfId="17" applyFont="1" applyFill="1" applyBorder="1" applyAlignment="1">
      <alignment horizontal="center" vertical="center" wrapText="1"/>
    </xf>
    <xf numFmtId="0" fontId="5" fillId="4" borderId="3" xfId="17" quotePrefix="1" applyFont="1" applyFill="1" applyBorder="1" applyAlignment="1">
      <alignment vertical="top" wrapText="1"/>
    </xf>
    <xf numFmtId="0" fontId="5" fillId="4" borderId="3" xfId="17" applyFont="1" applyFill="1" applyBorder="1" applyAlignment="1">
      <alignment vertical="top" wrapText="1"/>
    </xf>
    <xf numFmtId="0" fontId="5" fillId="4" borderId="3" xfId="37" quotePrefix="1" applyFont="1" applyFill="1" applyBorder="1" applyAlignment="1">
      <alignment vertical="top" wrapText="1"/>
    </xf>
    <xf numFmtId="0" fontId="5" fillId="4" borderId="3" xfId="37" applyFont="1" applyFill="1" applyBorder="1" applyAlignment="1">
      <alignment vertical="top" wrapText="1"/>
    </xf>
    <xf numFmtId="0" fontId="5" fillId="4" borderId="18" xfId="37" applyFont="1" applyFill="1" applyBorder="1" applyAlignment="1">
      <alignment vertical="top" wrapText="1"/>
    </xf>
    <xf numFmtId="0" fontId="5" fillId="4" borderId="7" xfId="37" applyFont="1" applyFill="1" applyBorder="1" applyAlignment="1">
      <alignment vertical="top" wrapText="1"/>
    </xf>
    <xf numFmtId="0" fontId="5" fillId="4" borderId="18" xfId="37" applyFont="1" applyFill="1" applyBorder="1" applyAlignment="1">
      <alignment horizontal="center" vertical="center" wrapText="1"/>
    </xf>
    <xf numFmtId="0" fontId="5" fillId="4" borderId="7" xfId="37" applyFont="1" applyFill="1" applyBorder="1" applyAlignment="1">
      <alignment horizontal="center" vertical="center" wrapText="1"/>
    </xf>
    <xf numFmtId="0" fontId="4" fillId="0" borderId="17" xfId="17" applyFont="1" applyFill="1" applyBorder="1" applyAlignment="1">
      <alignment horizontal="center" vertical="center" wrapText="1"/>
    </xf>
    <xf numFmtId="37" fontId="4" fillId="0" borderId="0" xfId="0" quotePrefix="1" applyNumberFormat="1" applyFont="1" applyFill="1" applyBorder="1" applyAlignment="1">
      <alignment horizontal="center"/>
    </xf>
    <xf numFmtId="37" fontId="4" fillId="0" borderId="0" xfId="0" applyNumberFormat="1" applyFont="1" applyFill="1" applyBorder="1" applyAlignment="1">
      <alignment horizontal="center"/>
    </xf>
  </cellXfs>
  <cellStyles count="40">
    <cellStyle name="Comma" xfId="1" builtinId="3"/>
    <cellStyle name="Comma [0]" xfId="2" builtinId="6"/>
    <cellStyle name="Comma 10" xfId="39"/>
    <cellStyle name="Comma 3" xfId="12"/>
    <cellStyle name="Comma 4" xfId="14"/>
    <cellStyle name="Comma 5" xfId="30"/>
    <cellStyle name="Comma2" xfId="10"/>
    <cellStyle name="Currency" xfId="3" builtinId="4"/>
    <cellStyle name="Currency [0]" xfId="36" builtinId="7"/>
    <cellStyle name="Currency 2" xfId="18"/>
    <cellStyle name="Currency 3" xfId="29"/>
    <cellStyle name="Currency 4" xfId="33"/>
    <cellStyle name="Heading 1" xfId="5" builtinId="16"/>
    <cellStyle name="Input$0" xfId="27"/>
    <cellStyle name="Input%0" xfId="34"/>
    <cellStyle name="Input%3" xfId="11"/>
    <cellStyle name="Input0" xfId="7"/>
    <cellStyle name="Normal" xfId="0" builtinId="0"/>
    <cellStyle name="Normal 10" xfId="28"/>
    <cellStyle name="Normal 11" xfId="38"/>
    <cellStyle name="Normal 2" xfId="17"/>
    <cellStyle name="Normal 2 2" xfId="37"/>
    <cellStyle name="Normal 3 2" xfId="26"/>
    <cellStyle name="Normal 6" xfId="23"/>
    <cellStyle name="Normal 7" xfId="9"/>
    <cellStyle name="Normal 7 3" xfId="16"/>
    <cellStyle name="Normal 8" xfId="25"/>
    <cellStyle name="Normal 8 2" xfId="31"/>
    <cellStyle name="Normal 9" xfId="13"/>
    <cellStyle name="Normal 9 2" xfId="35"/>
    <cellStyle name="Normal_Book2" xfId="24"/>
    <cellStyle name="Normal_FN1 Ratebase Draft SPP template (6-11-04) v2" xfId="8"/>
    <cellStyle name="Normal_Labor 2007-2008 - Working 1.0" xfId="22"/>
    <cellStyle name="Percent" xfId="4" builtinId="5"/>
    <cellStyle name="Percent 2" xfId="32"/>
    <cellStyle name="Percent 3" xfId="15"/>
    <cellStyle name="PSChar 24" xfId="20"/>
    <cellStyle name="PSHeading" xfId="19"/>
    <cellStyle name="PSSpacer 24" xfId="21"/>
    <cellStyle name="Total" xfId="6" builtinId="2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66FF"/>
      <color rgb="FF99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Projects\Analytical\COS\CO\Tri_State_ATRR_2014\08%20Formula%20Calc\Tri-State%202014%20ATRR%20Formula_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Q:\Projects\Analytical\COS\SD\East%20River\2014SPPTranEval\17%20Compliance\East%20River%20Electric%20Power%20Cooperative%20Formula%20Rate%20Template%20Compliance%20-%20Final%20v3.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Q:\Users\ssnyder\AppData\Local\Microsoft\Windows\Temporary%20Internet%20Files\Content.Outlook\G9Y7ZA80\East%20River%20Electric%20Power%20Cooperative%20Formula%20Rate%20Template%20Compliance%20-%20Final%20v3.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Q:\Users\jsimpsen\AppData\Local\Microsoft\Windows\Temporary%20Internet%20Files\Content.Outlook\ZGS7YD1E\East%20River%20Compliance%20Formula%20Rate%20Template_DRAFT_V2.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Users\jenbey\AppData\Local\Microsoft\Windows\Temporary%20Internet%20Files\Content.Outlook\BYVGXGLO\WP%20AAs.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B%20Schedules%20adj.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Users\jenwag\AppData\Local\Microsoft\Windows\Temporary%20Internet%20Files\Content.Outlook\0FH5DAOA\Staff%20Modified%20Settlement%20Template%2010-4-16-rws-JBW_ba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Projects\Analytical\COS\CO\Tri_State_ATRR_2014\20%20Trial\Staff\Trial%20Staff%20Rebuttal\Exhibit%20No.%20S-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Users\jsimpsen\AppData\Local\Microsoft\Windows\Temporary%20Internet%20Files\Content.Outlook\ZGS7YD1E\Exhibit%20No%20%20SPP-4_Populated_template_6-12-20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Projects\Analytical\COS\IA\NIPCO\Transmission\28%20Compliance\NIPCO%20ATRR%202014%20Compliance%2001.xlsm"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nalytical\COS\CO\Tri_State_ATRR_2014\08%20Formula%20Calc\Old\Tri-State%202014%20ATRR%20Formula_0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Q:\Projects\Analytical\COS\ND\Central%20Power%20SPP%20Xmssn\14%20Compliance\Central%20Power%20FRT%20COMPLIANCE%20FILING%20DRAFT%20V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Projects\Analytical\COS\CO\Tri_State_ATRR_2014\08%20Formula%20Calc\Old\Tri-State_Populated_V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Projects\Analytical\COS\IA\NIPCO\Transmission\28%20Compliance\Exhibit%20B%20-%20NIPCO%20Settlement%20FRT_v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Projects\Analytical\COS\OK\WFEC\ATRR_2015\09%20Formula%20Rate\WFEC_Populated2014_v15b_master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Projects\Analytical\COS\SD\East%20River\2014SPPTranEval\17%20Compliance\East%20River%20Settlement%20Formula%20Rate%20Templ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Projects\Analytical\COS\CO\Tri_State_ATRR_2014\20%20Trial\Settlement\Exhibit%20SPP-2%20Draft_Settlement_V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Projects\Analytical\COS\SD\East%20River\2014SPPTranEval\17%20Compliance\East%20River%20Electric%20Power%20Cooperative%20Formula%20Rate%20Template-%20COMPLIANCE%20FILING%20Aggregate.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Users\ssnyder\AppData\Local\Microsoft\Windows\Temporary%20Internet%20Files\Content.Outlook\G9Y7ZA80\East%20River%20Electric%20Power%20Cooperative%20Formula%20Rate%20Template-%20COMPLIANCE%20FILING%20Aggreg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RTO Upgrades"/>
      <sheetName val="Worksheet H Reconciliation"/>
      <sheetName val="Worksheet I Depreciation Rat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2"/>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
      <sheetName val="B-1"/>
      <sheetName val="B2"/>
      <sheetName val="B3"/>
      <sheetName val="B-6"/>
      <sheetName val="Trans Rpt"/>
      <sheetName val="BPS Rpt"/>
      <sheetName val="Elect rpt "/>
      <sheetName val="Electric 1000"/>
      <sheetName val="BPS 1000 "/>
      <sheetName val="Trans 1000"/>
      <sheetName val="Co 34 1000"/>
      <sheetName val="Co 35-1000"/>
      <sheetName val="BPS Afton"/>
      <sheetName val="BPS Algodones"/>
      <sheetName val="BPS Four Corners"/>
      <sheetName val="BPS General"/>
      <sheetName val="BPS Las Vegas"/>
      <sheetName val="BPS Lordsburg"/>
      <sheetName val="BPS Luna"/>
      <sheetName val="BPS Palo Verde Tot"/>
      <sheetName val="BPS Reeves"/>
      <sheetName val="BPS SJ"/>
      <sheetName val="CK BPS station"/>
      <sheetName val="Energy Del"/>
      <sheetName val="PNMR Services"/>
      <sheetName val="PNMR Inc"/>
      <sheetName val="Co J"/>
      <sheetName val="PNMR Dev and Mgmnt"/>
      <sheetName val="106001"/>
      <sheetName val="GL"/>
      <sheetName val="AlloctoElec Co6,7,8,J only"/>
      <sheetName val="Allocation to Co 34 and 35 "/>
      <sheetName val="ck tot alloc"/>
    </sheetNames>
    <sheetDataSet>
      <sheetData sheetId="0" refreshError="1">
        <row r="22">
          <cell r="N22">
            <v>0.44700000000000001</v>
          </cell>
        </row>
        <row r="23">
          <cell r="N23">
            <v>0.4698</v>
          </cell>
        </row>
        <row r="24">
          <cell r="N24">
            <v>0</v>
          </cell>
        </row>
        <row r="30">
          <cell r="N30">
            <v>0.46669999999999995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chedule 1 Revenue Requirement"/>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 val="Sheet1"/>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row r="19">
          <cell r="K19">
            <v>6.3556578451222867E-2</v>
          </cell>
        </row>
      </sheetData>
      <sheetData sheetId="6"/>
      <sheetData sheetId="7">
        <row r="22">
          <cell r="G22">
            <v>1.3130977765646791E-2</v>
          </cell>
        </row>
      </sheetData>
      <sheetData sheetId="8"/>
      <sheetData sheetId="9">
        <row r="15">
          <cell r="F15">
            <v>8552147</v>
          </cell>
        </row>
      </sheetData>
      <sheetData sheetId="10"/>
      <sheetData sheetId="11">
        <row r="15">
          <cell r="D15">
            <v>2.75E-2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sheetName val="Worksheet B"/>
      <sheetName val="Worksheet C"/>
      <sheetName val="Worksheet D"/>
      <sheetName val="Worksheet E"/>
      <sheetName val="Worksheet F"/>
      <sheetName val="Worksheet G"/>
      <sheetName val="Worksheet H"/>
      <sheetName val="Worksheet I"/>
      <sheetName val="Worksheet J"/>
      <sheetName val="Worksheet K"/>
      <sheetName val="Worksheet L"/>
      <sheetName val="Worksheet M"/>
      <sheetName val="Worksheet N"/>
      <sheetName val="Worksheet O"/>
      <sheetName val="Worksheet P"/>
      <sheetName val="Worksheet Q"/>
      <sheetName val="Worksheet R"/>
      <sheetName val="Worksheet S"/>
      <sheetName val="Worksheet T"/>
      <sheetName val="Worksheet U"/>
      <sheetName val="Worksheet V"/>
    </sheetNames>
    <sheetDataSet>
      <sheetData sheetId="0">
        <row r="4">
          <cell r="A4" t="str">
            <v xml:space="preserve">Tri-State Generation &amp; Transmission Association, Inc. </v>
          </cell>
        </row>
        <row r="5">
          <cell r="A5" t="str">
            <v>Formula Rate Template for SPP Zone 17 Transmission</v>
          </cell>
        </row>
        <row r="7">
          <cell r="A7" t="str">
            <v>12 Months Ending December 31,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Wages Input"/>
      <sheetName val="Worksheet H O&amp;M Input"/>
      <sheetName val="Worksheet I Depr Input"/>
      <sheetName val="Worksheet J OthRev Input"/>
      <sheetName val="Worksheet K Tran Plant"/>
      <sheetName val="Worksheet L MWave Bandwidth"/>
      <sheetName val="Worksheet M HV Subs"/>
      <sheetName val="Worksheet N Dist Subs"/>
      <sheetName val="Worksheet O SCADA System by Sub"/>
      <sheetName val="Worksheet P Lines"/>
      <sheetName val="Worksheet Q SPP Upgrades"/>
    </sheetNames>
    <sheetDataSet>
      <sheetData sheetId="0">
        <row r="4">
          <cell r="B4" t="str">
            <v>East River Electric Power Cooperative</v>
          </cell>
        </row>
        <row r="33">
          <cell r="D3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 val="Worksheet H, O&amp;M Input"/>
      <sheetName val="Worksheet I, Depr Rates"/>
      <sheetName val="Worksheet M, SPP Orded Plans"/>
      <sheetName val="Worksheet Summary"/>
      <sheetName val="Worksheet G, Wages Input"/>
      <sheetName val="Worksheet I, Depr Input"/>
    </sheetNames>
    <sheetDataSet>
      <sheetData sheetId="0">
        <row r="31">
          <cell r="D31">
            <v>1</v>
          </cell>
        </row>
        <row r="34">
          <cell r="D34">
            <v>1</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mp;S by group"/>
      <sheetName val="Summary"/>
      <sheetName val="W&amp;S Adj"/>
      <sheetName val="W&amp;S Nonsj"/>
      <sheetName val="W&amp;S sj"/>
      <sheetName val="RengOu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st"/>
      <sheetName val="cash"/>
      <sheetName val="bal"/>
      <sheetName val="ratio"/>
      <sheetName val="rev1"/>
      <sheetName val="WP01-Radials (1)"/>
      <sheetName val="WP01-Radials (2)"/>
      <sheetName val="WP01-Radials (3)"/>
      <sheetName val="Cover Page"/>
      <sheetName val="Apx A - Rates"/>
      <sheetName val="Apx E - ATRR - Total"/>
      <sheetName val="Apx F - Loads"/>
      <sheetName val="InputGeneral"/>
      <sheetName val="RUS Form 12"/>
      <sheetName val="RUS Form 12 O&amp;M"/>
      <sheetName val="WP01-Radials"/>
      <sheetName val="WP02-GSUs"/>
      <sheetName val="WP03-Future Use"/>
      <sheetName val="WP04-Deferred Taxes"/>
      <sheetName val="WP05-Tran by Others"/>
      <sheetName val="WP06-A&amp;G Exp"/>
      <sheetName val="WP07-Labor"/>
      <sheetName val="WP08-Taxes"/>
      <sheetName val="WP09-Lease"/>
      <sheetName val="WP10-Other Opr Rev"/>
      <sheetName val="WP11-Contributions"/>
      <sheetName val="WP12-Load"/>
      <sheetName val="WP13-QualSubs"/>
      <sheetName val="WP14-QualLines"/>
      <sheetName val="WP15-RTO ISO"/>
      <sheetName val="SPP Ordered Plt"/>
    </sheetNames>
    <sheetDataSet>
      <sheetData sheetId="0"/>
      <sheetData sheetId="1"/>
      <sheetData sheetId="2"/>
      <sheetData sheetId="3"/>
      <sheetData sheetId="4"/>
      <sheetData sheetId="5"/>
      <sheetData sheetId="6"/>
      <sheetData sheetId="7"/>
      <sheetData sheetId="8"/>
      <sheetData sheetId="9"/>
      <sheetData sheetId="10">
        <row r="335">
          <cell r="L335" t="str">
            <v>CM</v>
          </cell>
          <cell r="M335">
            <v>0</v>
          </cell>
          <cell r="N335">
            <v>1</v>
          </cell>
          <cell r="O335">
            <v>0</v>
          </cell>
          <cell r="P335">
            <v>0.9529529529529529</v>
          </cell>
          <cell r="Q335">
            <v>4.7047047047047048E-2</v>
          </cell>
        </row>
        <row r="336">
          <cell r="L336" t="str">
            <v>DA</v>
          </cell>
          <cell r="M336">
            <v>0</v>
          </cell>
          <cell r="N336">
            <v>1</v>
          </cell>
          <cell r="O336">
            <v>0</v>
          </cell>
          <cell r="P336">
            <v>0</v>
          </cell>
          <cell r="Q336">
            <v>0</v>
          </cell>
        </row>
        <row r="337">
          <cell r="L337" t="str">
            <v>DAe</v>
          </cell>
          <cell r="M337">
            <v>0</v>
          </cell>
          <cell r="N337">
            <v>1</v>
          </cell>
          <cell r="O337">
            <v>0</v>
          </cell>
          <cell r="P337">
            <v>0</v>
          </cell>
          <cell r="Q337">
            <v>1</v>
          </cell>
        </row>
        <row r="338">
          <cell r="L338" t="str">
            <v>DAw</v>
          </cell>
          <cell r="M338">
            <v>0</v>
          </cell>
          <cell r="N338">
            <v>1</v>
          </cell>
          <cell r="O338">
            <v>0</v>
          </cell>
          <cell r="P338">
            <v>1</v>
          </cell>
          <cell r="Q338">
            <v>0</v>
          </cell>
        </row>
        <row r="339">
          <cell r="L339" t="str">
            <v>GP</v>
          </cell>
          <cell r="M339">
            <v>0</v>
          </cell>
          <cell r="N339">
            <v>0.25753561227666028</v>
          </cell>
          <cell r="O339">
            <v>0</v>
          </cell>
          <cell r="P339">
            <v>0.245373769007241</v>
          </cell>
          <cell r="Q339">
            <v>1.2161843269419227E-2</v>
          </cell>
        </row>
        <row r="340">
          <cell r="L340" t="str">
            <v>NA</v>
          </cell>
          <cell r="M340">
            <v>0</v>
          </cell>
          <cell r="N340">
            <v>0</v>
          </cell>
          <cell r="O340">
            <v>0</v>
          </cell>
          <cell r="P340">
            <v>0</v>
          </cell>
          <cell r="Q340">
            <v>0</v>
          </cell>
        </row>
        <row r="341">
          <cell r="L341" t="str">
            <v>NP</v>
          </cell>
          <cell r="M341">
            <v>0</v>
          </cell>
          <cell r="N341">
            <v>0.27689926643915863</v>
          </cell>
          <cell r="O341">
            <v>0</v>
          </cell>
          <cell r="P341">
            <v>0.2657106823172995</v>
          </cell>
          <cell r="Q341">
            <v>1.1188584121859031E-2</v>
          </cell>
        </row>
        <row r="342">
          <cell r="L342" t="str">
            <v>PH</v>
          </cell>
          <cell r="M342">
            <v>0</v>
          </cell>
          <cell r="N342">
            <v>1</v>
          </cell>
          <cell r="O342">
            <v>0</v>
          </cell>
          <cell r="P342">
            <v>1</v>
          </cell>
          <cell r="Q342">
            <v>0</v>
          </cell>
        </row>
        <row r="343">
          <cell r="L343" t="str">
            <v>TDl</v>
          </cell>
          <cell r="M343">
            <v>0</v>
          </cell>
          <cell r="N343">
            <v>0.78207280831008896</v>
          </cell>
          <cell r="O343">
            <v>0</v>
          </cell>
          <cell r="P343">
            <v>0.75074431829883082</v>
          </cell>
          <cell r="Q343">
            <v>3.1328490011258196E-2</v>
          </cell>
        </row>
        <row r="344">
          <cell r="L344" t="str">
            <v>TDs</v>
          </cell>
          <cell r="M344">
            <v>0</v>
          </cell>
          <cell r="N344">
            <v>0.7789949582184581</v>
          </cell>
          <cell r="O344">
            <v>0</v>
          </cell>
          <cell r="P344">
            <v>0.75074431829883082</v>
          </cell>
          <cell r="Q344">
            <v>2.8250639919627382E-2</v>
          </cell>
        </row>
        <row r="345">
          <cell r="L345" t="str">
            <v>TIe</v>
          </cell>
          <cell r="M345">
            <v>0</v>
          </cell>
          <cell r="N345">
            <v>1</v>
          </cell>
          <cell r="O345">
            <v>0</v>
          </cell>
          <cell r="P345">
            <v>0</v>
          </cell>
          <cell r="Q345">
            <v>1</v>
          </cell>
        </row>
        <row r="346">
          <cell r="L346" t="str">
            <v>TL</v>
          </cell>
          <cell r="M346">
            <v>0</v>
          </cell>
          <cell r="N346">
            <v>0.72887678967966796</v>
          </cell>
          <cell r="O346">
            <v>0</v>
          </cell>
          <cell r="P346">
            <v>0.68690518528893341</v>
          </cell>
          <cell r="Q346">
            <v>4.1971604390734593E-2</v>
          </cell>
        </row>
        <row r="347">
          <cell r="L347" t="str">
            <v>TP</v>
          </cell>
          <cell r="M347">
            <v>0</v>
          </cell>
          <cell r="N347">
            <v>0.78795505202057803</v>
          </cell>
          <cell r="O347">
            <v>0</v>
          </cell>
          <cell r="P347">
            <v>0.7507443182988307</v>
          </cell>
          <cell r="Q347">
            <v>3.7210733721747304E-2</v>
          </cell>
        </row>
        <row r="348">
          <cell r="L348" t="str">
            <v>TR</v>
          </cell>
          <cell r="M348">
            <v>0</v>
          </cell>
          <cell r="N348">
            <v>0.79653012297893744</v>
          </cell>
          <cell r="O348">
            <v>0</v>
          </cell>
          <cell r="P348">
            <v>0.75074431829883082</v>
          </cell>
          <cell r="Q348">
            <v>4.5785804680106665E-2</v>
          </cell>
        </row>
        <row r="349">
          <cell r="L349" t="str">
            <v>TRev</v>
          </cell>
          <cell r="N349">
            <v>1</v>
          </cell>
          <cell r="O349">
            <v>0</v>
          </cell>
          <cell r="P349">
            <v>0.98621949443083146</v>
          </cell>
          <cell r="Q349">
            <v>1.3780505569168501E-2</v>
          </cell>
        </row>
        <row r="350">
          <cell r="L350" t="str">
            <v>TS</v>
          </cell>
          <cell r="M350">
            <v>0</v>
          </cell>
          <cell r="N350">
            <v>0.8387497136577694</v>
          </cell>
          <cell r="O350">
            <v>0</v>
          </cell>
          <cell r="P350">
            <v>0.80563230978608058</v>
          </cell>
          <cell r="Q350">
            <v>3.3117403871688732E-2</v>
          </cell>
        </row>
        <row r="351">
          <cell r="L351" t="str">
            <v>TWheel</v>
          </cell>
          <cell r="M351">
            <v>0</v>
          </cell>
          <cell r="N351">
            <v>1</v>
          </cell>
          <cell r="O351">
            <v>0</v>
          </cell>
          <cell r="P351">
            <v>1</v>
          </cell>
          <cell r="Q351">
            <v>0</v>
          </cell>
        </row>
        <row r="352">
          <cell r="L352" t="str">
            <v>W/S</v>
          </cell>
          <cell r="M352">
            <v>0</v>
          </cell>
          <cell r="N352">
            <v>0.33892389147331053</v>
          </cell>
          <cell r="O352">
            <v>0</v>
          </cell>
          <cell r="P352">
            <v>0.32291932845102694</v>
          </cell>
          <cell r="Q352">
            <v>1.6004563022283588E-2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Network Load"/>
      <sheetName val="Worksheet E, Alloc. Factor"/>
      <sheetName val="Worksheet F, Inputs"/>
      <sheetName val="Worksheet G O&amp;M Input"/>
      <sheetName val="Worksheet H SPP Upgrades"/>
      <sheetName val="Worksheet I Depreciation Rates"/>
      <sheetName val="Worksheet J Reconciliation"/>
      <sheetName val="Workpaper K-Wages Input"/>
      <sheetName val="Workpaper L Depr Input"/>
      <sheetName val="Workpaper M OthRev Input"/>
      <sheetName val="Workpaper N CWIP"/>
      <sheetName val="Workpaper O Future Use"/>
      <sheetName val="Workpaper P Compl Not Class"/>
      <sheetName val="Workpaper Q Reg. &amp; Comm. 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Summary Page"/>
      <sheetName val="Worksheet A, Rate Base"/>
      <sheetName val="Worksheet B Expenses"/>
      <sheetName val="Worksheet C, Return"/>
      <sheetName val="Worksheet D, Load"/>
      <sheetName val="Worksheet E, Alloc. Factor"/>
      <sheetName val="Worksheet F, Inputs"/>
      <sheetName val="Worksheet G O&amp;M Input"/>
    </sheetNames>
    <sheetDataSet>
      <sheetData sheetId="0"/>
      <sheetData sheetId="1"/>
      <sheetData sheetId="2"/>
      <sheetData sheetId="3"/>
      <sheetData sheetId="4"/>
      <sheetData sheetId="5"/>
      <sheetData sheetId="6">
        <row r="98">
          <cell r="B98" t="str">
            <v>Customer Meters</v>
          </cell>
          <cell r="C98">
            <v>0</v>
          </cell>
          <cell r="D98">
            <v>0</v>
          </cell>
          <cell r="E98">
            <v>0</v>
          </cell>
          <cell r="F98">
            <v>6.7622950819672137E-2</v>
          </cell>
        </row>
        <row r="99">
          <cell r="B99" t="str">
            <v>Direct 100</v>
          </cell>
          <cell r="C99">
            <v>0</v>
          </cell>
          <cell r="D99">
            <v>0</v>
          </cell>
          <cell r="E99">
            <v>0</v>
          </cell>
          <cell r="F99">
            <v>1</v>
          </cell>
        </row>
        <row r="100">
          <cell r="B100" t="str">
            <v>Direct Zero</v>
          </cell>
          <cell r="C100">
            <v>0</v>
          </cell>
          <cell r="D100">
            <v>0</v>
          </cell>
          <cell r="E100">
            <v>0</v>
          </cell>
          <cell r="F100">
            <v>0</v>
          </cell>
        </row>
        <row r="101">
          <cell r="B101" t="str">
            <v>T-Completed</v>
          </cell>
          <cell r="C101">
            <v>0</v>
          </cell>
          <cell r="D101">
            <v>0</v>
          </cell>
          <cell r="E101">
            <v>0</v>
          </cell>
          <cell r="F101">
            <v>5.702821762631303E-3</v>
          </cell>
        </row>
        <row r="102">
          <cell r="B102" t="str">
            <v>T-CWIP</v>
          </cell>
          <cell r="C102">
            <v>0</v>
          </cell>
          <cell r="D102">
            <v>0</v>
          </cell>
          <cell r="E102">
            <v>0</v>
          </cell>
          <cell r="F102">
            <v>9.2478512451681615E-4</v>
          </cell>
        </row>
        <row r="103">
          <cell r="B103" t="str">
            <v xml:space="preserve">T-Depr Reserv </v>
          </cell>
          <cell r="C103">
            <v>0</v>
          </cell>
          <cell r="D103">
            <v>0</v>
          </cell>
          <cell r="E103">
            <v>0</v>
          </cell>
          <cell r="F103">
            <v>4.5082933258472881E-2</v>
          </cell>
        </row>
        <row r="104">
          <cell r="B104" t="str">
            <v>T-DeprEx Lines</v>
          </cell>
          <cell r="C104">
            <v>0</v>
          </cell>
          <cell r="D104">
            <v>0</v>
          </cell>
          <cell r="E104">
            <v>0</v>
          </cell>
          <cell r="F104">
            <v>3.6475337607115514E-2</v>
          </cell>
        </row>
        <row r="105">
          <cell r="B105" t="str">
            <v>T-DeprEx Subs</v>
          </cell>
          <cell r="C105">
            <v>0</v>
          </cell>
          <cell r="D105">
            <v>0</v>
          </cell>
          <cell r="E105">
            <v>0</v>
          </cell>
          <cell r="F105">
            <v>3.3120014201292916E-2</v>
          </cell>
        </row>
        <row r="106">
          <cell r="B106" t="str">
            <v>T-Future Use</v>
          </cell>
          <cell r="C106">
            <v>0</v>
          </cell>
          <cell r="D106">
            <v>0</v>
          </cell>
          <cell r="E106">
            <v>0</v>
          </cell>
          <cell r="F106">
            <v>0</v>
          </cell>
        </row>
        <row r="107">
          <cell r="B107" t="str">
            <v>T-Net Allocation</v>
          </cell>
          <cell r="C107">
            <v>0</v>
          </cell>
          <cell r="D107">
            <v>0</v>
          </cell>
          <cell r="E107">
            <v>0</v>
          </cell>
          <cell r="F107">
            <v>9.0693467210864014E-3</v>
          </cell>
        </row>
        <row r="108">
          <cell r="B108" t="str">
            <v>T-Plant Allocation</v>
          </cell>
          <cell r="C108">
            <v>0</v>
          </cell>
          <cell r="D108">
            <v>0</v>
          </cell>
          <cell r="E108">
            <v>0</v>
          </cell>
          <cell r="F108">
            <v>1.2110586082731974E-2</v>
          </cell>
        </row>
        <row r="109">
          <cell r="B109" t="str">
            <v>T-Plant Held</v>
          </cell>
          <cell r="C109">
            <v>0</v>
          </cell>
          <cell r="D109">
            <v>0</v>
          </cell>
          <cell r="E109">
            <v>0</v>
          </cell>
          <cell r="F109">
            <v>0</v>
          </cell>
        </row>
        <row r="110">
          <cell r="B110" t="str">
            <v>T-Rent</v>
          </cell>
          <cell r="C110">
            <v>0</v>
          </cell>
          <cell r="D110">
            <v>0</v>
          </cell>
          <cell r="E110">
            <v>0</v>
          </cell>
          <cell r="F110">
            <v>1.3780505569168502E-2</v>
          </cell>
        </row>
        <row r="111">
          <cell r="B111" t="str">
            <v>T-RTO/ISO Maintenance</v>
          </cell>
          <cell r="C111">
            <v>0</v>
          </cell>
          <cell r="D111">
            <v>0</v>
          </cell>
          <cell r="E111">
            <v>0</v>
          </cell>
          <cell r="F111">
            <v>0</v>
          </cell>
        </row>
        <row r="112">
          <cell r="B112" t="str">
            <v>T-RTO/ISO Operations</v>
          </cell>
          <cell r="C112">
            <v>0</v>
          </cell>
          <cell r="D112">
            <v>0</v>
          </cell>
          <cell r="E112">
            <v>0</v>
          </cell>
          <cell r="F112">
            <v>0</v>
          </cell>
        </row>
        <row r="113">
          <cell r="B113" t="str">
            <v>T-RTO/ISO Plant</v>
          </cell>
          <cell r="C113">
            <v>0</v>
          </cell>
          <cell r="D113">
            <v>0</v>
          </cell>
          <cell r="E113">
            <v>0</v>
          </cell>
          <cell r="F113">
            <v>0</v>
          </cell>
        </row>
        <row r="114">
          <cell r="B114" t="str">
            <v>T-Tax</v>
          </cell>
          <cell r="C114">
            <v>0</v>
          </cell>
          <cell r="D114">
            <v>0</v>
          </cell>
          <cell r="E114">
            <v>0</v>
          </cell>
          <cell r="F114">
            <v>9.0693467210864014E-3</v>
          </cell>
        </row>
        <row r="115">
          <cell r="B115" t="str">
            <v>T-TIE</v>
          </cell>
          <cell r="C115">
            <v>0</v>
          </cell>
          <cell r="D115">
            <v>0</v>
          </cell>
          <cell r="E115">
            <v>0</v>
          </cell>
          <cell r="F115">
            <v>2.8025597876585137E-2</v>
          </cell>
        </row>
        <row r="116">
          <cell r="B116" t="str">
            <v>T-Tran Lines</v>
          </cell>
          <cell r="C116">
            <v>0</v>
          </cell>
          <cell r="D116">
            <v>0</v>
          </cell>
          <cell r="E116">
            <v>0</v>
          </cell>
          <cell r="F116">
            <v>4.1971604390734593E-2</v>
          </cell>
        </row>
        <row r="117">
          <cell r="B117" t="str">
            <v>T-Tran Plant</v>
          </cell>
          <cell r="C117">
            <v>0</v>
          </cell>
          <cell r="D117">
            <v>0</v>
          </cell>
          <cell r="E117">
            <v>0</v>
          </cell>
          <cell r="F117">
            <v>3.6082209822862032E-2</v>
          </cell>
        </row>
        <row r="118">
          <cell r="B118" t="str">
            <v>T-Tran Stations</v>
          </cell>
          <cell r="C118">
            <v>0</v>
          </cell>
          <cell r="D118">
            <v>0</v>
          </cell>
          <cell r="E118">
            <v>0</v>
          </cell>
          <cell r="F118">
            <v>3.1018590947331115E-2</v>
          </cell>
        </row>
        <row r="119">
          <cell r="B119" t="str">
            <v>T-Wage Allocation</v>
          </cell>
          <cell r="C119">
            <v>0</v>
          </cell>
          <cell r="D119">
            <v>0</v>
          </cell>
          <cell r="E119">
            <v>0</v>
          </cell>
          <cell r="F119">
            <v>1.7765858133703943E-2</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e Summary"/>
      <sheetName val="Worksheet A, Rate Base"/>
      <sheetName val="Worksheet B, Expenses"/>
      <sheetName val="Worksheet C, Return"/>
      <sheetName val="Worksheet D, Load"/>
      <sheetName val="Worksheet E, Alloc. Factor"/>
      <sheetName val="Worksheet F, Inputs"/>
      <sheetName val="Worksheet G, Depr Rates"/>
      <sheetName val="Worksheet H SPP Upgrades"/>
      <sheetName val="Worksheet I Reconciliation"/>
    </sheetNames>
    <sheetDataSet>
      <sheetData sheetId="0">
        <row r="31">
          <cell r="D31">
            <v>1</v>
          </cell>
        </row>
        <row r="33">
          <cell r="G33" t="str">
            <v>Average</v>
          </cell>
        </row>
        <row r="34">
          <cell r="D34">
            <v>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ATRR"/>
      <sheetName val="Revenue Requirements-Schedule 1"/>
      <sheetName val="Worksheet A, Rate Base"/>
      <sheetName val="Worksheet B, Expenses"/>
      <sheetName val="Worksheet C, Return"/>
      <sheetName val="Worksheet D, Load"/>
      <sheetName val="Worksheet E, Alloc. Factor"/>
      <sheetName val="Worksheet F, Inputs"/>
      <sheetName val="Worksheet G, O&amp;M Input"/>
      <sheetName val="Worksheet H SPP Upgrades"/>
      <sheetName val="Worksheet I Reconciliation"/>
      <sheetName val="Worksheet J, Depr Rates"/>
      <sheetName val="Workpaper K, Wages Input"/>
      <sheetName val="Workpaper L, Depr Input"/>
      <sheetName val="Workpaper M, TranPlant Funct"/>
      <sheetName val="Workpaper N, OthRev Input"/>
      <sheetName val="Workpaper O, CWIP"/>
      <sheetName val="Workpaper P, CCnC"/>
      <sheetName val="Workpaper Q, Future Use"/>
      <sheetName val="Workpaper R, SPP Upgrade Projs"/>
      <sheetName val="Workpaper S Reg. &amp; Comm. Ex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Depreciation Rates"/>
      <sheetName val="Index and Summary"/>
      <sheetName val="Workpaper I Wages Input"/>
      <sheetName val="Workpaper J CWIP"/>
      <sheetName val="Workpaper K O&amp;M Input"/>
      <sheetName val="Workpaper L Depr Input"/>
      <sheetName val="Workpaper M OthRev Input"/>
      <sheetName val="Workpaper N Tran Plant"/>
      <sheetName val="Workpaper O MWave Bandwidth"/>
      <sheetName val="Workpaper P HV Subs"/>
      <sheetName val="Workpaper Q Dist Subs"/>
      <sheetName val="Workpaper R SCADA System by Sub"/>
      <sheetName val="Workpaper S Lines"/>
      <sheetName val="Workpaper T Future Use"/>
      <sheetName val="Workpaper U Compl Not Class"/>
      <sheetName val="Workpaper V True-Up"/>
      <sheetName val="Workpaper W Reg. &amp; Comm. Exp."/>
    </sheetNames>
    <sheetDataSet>
      <sheetData sheetId="0"/>
      <sheetData sheetId="1"/>
      <sheetData sheetId="2"/>
      <sheetData sheetId="3"/>
      <sheetData sheetId="4"/>
      <sheetData sheetId="5"/>
      <sheetData sheetId="6"/>
      <sheetData sheetId="7"/>
      <sheetData sheetId="8">
        <row r="7">
          <cell r="B7" t="str">
            <v>Budget Year Ending December 31, 2015</v>
          </cell>
        </row>
      </sheetData>
      <sheetData sheetId="9"/>
      <sheetData sheetId="10">
        <row r="4">
          <cell r="B4" t="str">
            <v>East River Electric Power Cooperative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chedule 1 Revenue Requirement"/>
      <sheetName val="Worksheet A Rate Base"/>
      <sheetName val="Worksheet B Expenses"/>
      <sheetName val="Worksheet C Return"/>
      <sheetName val="Worksheet D Load"/>
      <sheetName val="Worksheet E Alloc. Factor"/>
      <sheetName val="Worksheet F Inputs"/>
      <sheetName val="Worksheet G O&amp;M Input"/>
      <sheetName val="Worksheet H SPP Upgrades"/>
      <sheetName val="Worksheet I Depreciation Rates"/>
      <sheetName val="Worksheet J Reconciliation"/>
      <sheetName val="Worksheet K Wages Input"/>
      <sheetName val="Worksheet L Depreciation Exp"/>
      <sheetName val="Worksheet M OthRev Input"/>
      <sheetName val="Worksheet N Future Use"/>
      <sheetName val="Worksheet O Tran by Others"/>
      <sheetName val="Worksheet P 575576 Expense"/>
      <sheetName val="Worksheet Q Compl Not Class"/>
      <sheetName val="Worksheet R CWIP"/>
      <sheetName val="Worksheet S Reg. &amp; Comm. Exp."/>
      <sheetName val="Worksheet T RWIP "/>
      <sheetName val=" Worksheet U Stations"/>
      <sheetName val="Worksheet V Lines"/>
    </sheetNames>
    <sheetDataSet>
      <sheetData sheetId="0">
        <row r="26">
          <cell r="C26" t="str">
            <v>Account 575/576 Expenses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Worksheet A Rate Base"/>
      <sheetName val="Worksheet B Expenses"/>
      <sheetName val="Worksheet C Return"/>
      <sheetName val="Worksheet D Load"/>
      <sheetName val="Worksheet E Alloc. Factor"/>
      <sheetName val="Worksheet F Inputs"/>
      <sheetName val="Worksheet G SPP Upgrades"/>
      <sheetName val="Worksheet H Reconciliation"/>
      <sheetName val="Worksheet I Depreciation Rates"/>
      <sheetName val="Index and Summary"/>
      <sheetName val="Worksheet J Wages Input"/>
      <sheetName val="Worksheet K O&amp;M Input"/>
      <sheetName val="Worksheet L Depr Input"/>
      <sheetName val="Worksheet M OthRev Input"/>
      <sheetName val="Worksheet N Tran Plant"/>
      <sheetName val="Worksheet O MWave Bandwidth"/>
      <sheetName val="Worksheet P HV Subs"/>
      <sheetName val="Worksheet Q Dist Subs"/>
      <sheetName val="Worksheet R SCADA System by Sub"/>
      <sheetName val="Worksheet S Lines"/>
    </sheetNames>
    <sheetDataSet>
      <sheetData sheetId="0">
        <row r="4">
          <cell r="B4" t="str">
            <v>East River Electric Power Cooperative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4"/>
  <sheetViews>
    <sheetView topLeftCell="A4" zoomScaleNormal="100" workbookViewId="0">
      <selection activeCell="B6" sqref="B6"/>
    </sheetView>
  </sheetViews>
  <sheetFormatPr defaultColWidth="9.19921875" defaultRowHeight="13.8"/>
  <cols>
    <col min="1" max="1" width="6.69921875" style="2" customWidth="1"/>
    <col min="2" max="2" width="19.09765625" style="2" customWidth="1"/>
    <col min="3" max="3" width="63.59765625" style="2" customWidth="1"/>
    <col min="4" max="5" width="9.19921875" style="2"/>
    <col min="6" max="6" width="14.69921875" style="2" bestFit="1" customWidth="1"/>
    <col min="7" max="7" width="13.69921875" style="2" bestFit="1" customWidth="1"/>
    <col min="8" max="16384" width="9.19921875" style="2"/>
  </cols>
  <sheetData>
    <row r="1" spans="1:9">
      <c r="D1" s="177"/>
    </row>
    <row r="2" spans="1:9" ht="17.399999999999999">
      <c r="D2" s="177"/>
      <c r="E2" s="397" t="str">
        <f ca="1">RIGHT(CELL("filename",$A$1),LEN(CELL("filename",$A$1))- FIND("]",CELL("filename",$A$1),1))</f>
        <v>Index</v>
      </c>
    </row>
    <row r="3" spans="1:9">
      <c r="C3" s="17" t="s">
        <v>0</v>
      </c>
      <c r="I3" s="177"/>
    </row>
    <row r="4" spans="1:9" ht="17.399999999999999">
      <c r="B4" s="356" t="s">
        <v>1</v>
      </c>
    </row>
    <row r="5" spans="1:9" ht="17.399999999999999">
      <c r="B5" s="358" t="s">
        <v>2</v>
      </c>
    </row>
    <row r="6" spans="1:9" ht="17.399999999999999">
      <c r="B6" s="356" t="s">
        <v>2440</v>
      </c>
    </row>
    <row r="7" spans="1:9">
      <c r="B7" s="179"/>
    </row>
    <row r="8" spans="1:9">
      <c r="A8" s="17" t="s">
        <v>3</v>
      </c>
      <c r="B8" s="17" t="s">
        <v>4</v>
      </c>
      <c r="C8" s="17" t="s">
        <v>5</v>
      </c>
    </row>
    <row r="9" spans="1:9" ht="27.6">
      <c r="A9" s="562" t="s">
        <v>16</v>
      </c>
      <c r="B9" s="181" t="s">
        <v>6</v>
      </c>
      <c r="C9" s="181" t="s">
        <v>7</v>
      </c>
    </row>
    <row r="10" spans="1:9">
      <c r="A10" s="2">
        <v>1</v>
      </c>
      <c r="B10" s="3" t="str">
        <f>'Summary ATRR'!K2</f>
        <v>Summary ATRR</v>
      </c>
      <c r="C10" s="2" t="str">
        <f>'Summary ATRR'!B6</f>
        <v>Summary of Total ATRR Revenue Requirement</v>
      </c>
      <c r="F10" s="9"/>
      <c r="G10" s="9"/>
    </row>
    <row r="11" spans="1:9">
      <c r="A11" s="2">
        <f t="shared" ref="A11:A22" si="0">A10+1</f>
        <v>2</v>
      </c>
      <c r="B11" s="3" t="str">
        <f>'Revenue Requirements Schedule 1'!I2</f>
        <v>Schedule 1</v>
      </c>
      <c r="C11" s="2" t="str">
        <f>'Revenue Requirements Schedule 1'!A6</f>
        <v>Schedule 1 Revenue Requirements</v>
      </c>
    </row>
    <row r="12" spans="1:9">
      <c r="A12" s="2">
        <f t="shared" si="0"/>
        <v>3</v>
      </c>
      <c r="B12" s="3" t="str">
        <f>'Worksheet A, Rate Base'!$N$2</f>
        <v>Worksheet A</v>
      </c>
      <c r="C12" s="2" t="str">
        <f>'Worksheet A, Rate Base'!A6</f>
        <v>Calculation of Rate Base</v>
      </c>
    </row>
    <row r="13" spans="1:9">
      <c r="A13" s="2">
        <f t="shared" si="0"/>
        <v>4</v>
      </c>
      <c r="B13" s="3" t="str">
        <f>'Worksheet B, Expenses'!O2</f>
        <v>Worksheet B</v>
      </c>
      <c r="C13" s="2" t="str">
        <f>'Worksheet B, Expenses'!B6</f>
        <v>O&amp;M, Depreciation, and Return Expenses</v>
      </c>
    </row>
    <row r="14" spans="1:9">
      <c r="A14" s="2">
        <f t="shared" si="0"/>
        <v>5</v>
      </c>
      <c r="B14" s="3" t="str">
        <f>'Worksheet C, Return'!M2</f>
        <v>Worksheet C</v>
      </c>
      <c r="C14" s="2" t="str">
        <f>'Worksheet C, Return'!A6</f>
        <v>Capital Structure &amp; Rate of Return based on Return on Equity</v>
      </c>
    </row>
    <row r="15" spans="1:9">
      <c r="A15" s="2">
        <f t="shared" si="0"/>
        <v>6</v>
      </c>
      <c r="B15" s="3" t="str">
        <f>'Worksheet D, Load'!F2</f>
        <v>Worksheet D</v>
      </c>
      <c r="C15" s="2" t="str">
        <f>'Worksheet D, Load'!A6</f>
        <v>Network Demand</v>
      </c>
    </row>
    <row r="16" spans="1:9">
      <c r="A16" s="2">
        <f t="shared" si="0"/>
        <v>7</v>
      </c>
      <c r="B16" s="3" t="str">
        <f>'Worksheet E, Alloc. Factor'!I2</f>
        <v>Worksheet E</v>
      </c>
      <c r="C16" s="2" t="str">
        <f>'Worksheet E, Alloc. Factor'!A5</f>
        <v>Allocation Factors</v>
      </c>
    </row>
    <row r="17" spans="1:3">
      <c r="A17" s="2">
        <f t="shared" si="0"/>
        <v>8</v>
      </c>
      <c r="B17" s="3" t="str">
        <f>'Worksheet F, Inputs'!$I$1</f>
        <v>Worksheet F</v>
      </c>
      <c r="C17" s="2" t="str">
        <f>'Worksheet F, Inputs'!A6</f>
        <v>General Input Section</v>
      </c>
    </row>
    <row r="18" spans="1:3">
      <c r="A18" s="2">
        <f t="shared" si="0"/>
        <v>9</v>
      </c>
      <c r="B18" s="3" t="str">
        <f>'Worksheet G, O&amp;M Input'!H2</f>
        <v>Worksheet G</v>
      </c>
      <c r="C18" s="2" t="str">
        <f>'Worksheet G, O&amp;M Input'!A5</f>
        <v>O&amp;M Input - RUS Form 12</v>
      </c>
    </row>
    <row r="19" spans="1:3">
      <c r="A19" s="2">
        <f t="shared" si="0"/>
        <v>10</v>
      </c>
      <c r="B19" s="2" t="str">
        <f>'Worksheet H SPP Upgrade Proj.'!W1</f>
        <v>Worksheet H</v>
      </c>
      <c r="C19" s="2" t="str">
        <f>'Worksheet H SPP Upgrade Proj.'!A6</f>
        <v>SPP Upgrades</v>
      </c>
    </row>
    <row r="20" spans="1:3">
      <c r="A20" s="23">
        <f t="shared" si="0"/>
        <v>11</v>
      </c>
      <c r="B20" s="23" t="str">
        <f>'Worksheet I Reconciliation'!O2</f>
        <v>Worksheet I</v>
      </c>
      <c r="C20" s="23" t="str">
        <f>'Worksheet I Reconciliation'!A6</f>
        <v>Reconciliation Items, Refunds and Surcharges</v>
      </c>
    </row>
    <row r="21" spans="1:3">
      <c r="A21" s="23">
        <f t="shared" si="0"/>
        <v>12</v>
      </c>
      <c r="B21" s="23" t="str">
        <f>'Worksheet J, Depr Rates'!L2</f>
        <v>Worksheet J</v>
      </c>
      <c r="C21" s="23" t="str">
        <f>'Worksheet J, Depr Rates'!A6</f>
        <v>Depreciation Rates</v>
      </c>
    </row>
    <row r="22" spans="1:3">
      <c r="A22" s="23">
        <f t="shared" si="0"/>
        <v>13</v>
      </c>
      <c r="B22" s="3" t="str">
        <f>'Worksheet K, Wages Input'!R2</f>
        <v>Worksheet K</v>
      </c>
      <c r="C22" s="2" t="str">
        <f>'Worksheet K, Wages Input'!A6</f>
        <v>Wage Input &amp; Functionalization</v>
      </c>
    </row>
    <row r="23" spans="1:3">
      <c r="A23" s="2">
        <f t="shared" ref="A23:A32" si="1">A22+1</f>
        <v>14</v>
      </c>
      <c r="B23" s="3" t="str">
        <f>'Worksheet L, Depr Input'!O2</f>
        <v>Worksheet L</v>
      </c>
      <c r="C23" s="2" t="str">
        <f>'Worksheet L, Depr Input'!A6</f>
        <v>Annual Depreciation Expense</v>
      </c>
    </row>
    <row r="24" spans="1:3">
      <c r="A24" s="2">
        <f t="shared" si="1"/>
        <v>15</v>
      </c>
      <c r="B24" s="2" t="str">
        <f>'Worksheet M, TranPlant Funct'!Q2</f>
        <v>Worksheet M</v>
      </c>
      <c r="C24" s="2" t="str">
        <f>'Worksheet M, TranPlant Funct'!A6</f>
        <v>Transmission Plant Functionalization</v>
      </c>
    </row>
    <row r="25" spans="1:3">
      <c r="A25" s="2">
        <f t="shared" si="1"/>
        <v>16</v>
      </c>
      <c r="B25" s="484" t="str">
        <f>'Worksheet N, OthRev Input'!H2</f>
        <v>Worksheet N</v>
      </c>
      <c r="C25" s="44" t="str">
        <f>'Worksheet N, OthRev Input'!A6</f>
        <v>Other Operating Revenue</v>
      </c>
    </row>
    <row r="26" spans="1:3">
      <c r="A26" s="2">
        <f t="shared" si="1"/>
        <v>17</v>
      </c>
      <c r="B26" s="484" t="str">
        <f>'Worksheet O, CWIP'!N3</f>
        <v>Worksheet O</v>
      </c>
      <c r="C26" s="23" t="str">
        <f>'Worksheet O, CWIP'!A6</f>
        <v>Construction Work in Process (CWIP)</v>
      </c>
    </row>
    <row r="27" spans="1:3">
      <c r="A27" s="2">
        <f t="shared" si="1"/>
        <v>18</v>
      </c>
      <c r="B27" s="484" t="str">
        <f>'Worksheet P, CCnC'!J3</f>
        <v>Worksheet P</v>
      </c>
      <c r="C27" s="23" t="str">
        <f>'Worksheet P, CCnC'!A6</f>
        <v>Construction Completed Not Classified</v>
      </c>
    </row>
    <row r="28" spans="1:3">
      <c r="A28" s="2">
        <f t="shared" si="1"/>
        <v>19</v>
      </c>
      <c r="B28" s="182" t="str">
        <f>'Worksheet Q, Future Use'!I2</f>
        <v>Worksheet Q</v>
      </c>
      <c r="C28" s="23" t="str">
        <f>'Worksheet Q, Future Use'!A6</f>
        <v>Plant Held for Future Use</v>
      </c>
    </row>
    <row r="29" spans="1:3">
      <c r="A29" s="2">
        <f t="shared" si="1"/>
        <v>20</v>
      </c>
      <c r="B29" s="2" t="str">
        <f>'Worksheet R, Reg. &amp; Comm. Exp.'!K2</f>
        <v>Worksheet R</v>
      </c>
      <c r="C29" s="2" t="str">
        <f>'Worksheet R, Reg. &amp; Comm. Exp.'!A6</f>
        <v>Regulatory and Commission Expenses</v>
      </c>
    </row>
    <row r="30" spans="1:3">
      <c r="A30" s="2">
        <f t="shared" si="1"/>
        <v>21</v>
      </c>
      <c r="B30" s="2" t="str">
        <f>'Worksheet S, Qualified Subs'!I2</f>
        <v>Worksheet S</v>
      </c>
      <c r="C30" s="2" t="str">
        <f>'Worksheet S, Qualified Subs'!A6</f>
        <v>Qualified Substations</v>
      </c>
    </row>
    <row r="31" spans="1:3">
      <c r="A31" s="2">
        <f t="shared" si="1"/>
        <v>22</v>
      </c>
      <c r="B31" s="2" t="str">
        <f>'Worksheet T, Qualified Lines'!I1</f>
        <v>Worksheet T</v>
      </c>
      <c r="C31" s="2" t="str">
        <f>'Worksheet T, Qualified Lines'!A3</f>
        <v>Qualified Lines</v>
      </c>
    </row>
    <row r="32" spans="1:3">
      <c r="A32" s="2">
        <f t="shared" si="1"/>
        <v>23</v>
      </c>
      <c r="B32" s="2" t="str">
        <f>'Worksheet U 575 576 Expense'!I1</f>
        <v>Worksheet U</v>
      </c>
      <c r="C32" s="2" t="str">
        <f>'Worksheet U 575 576 Expense'!B6</f>
        <v>Account 575/576 Expenses</v>
      </c>
    </row>
    <row r="34" spans="2:3">
      <c r="B34" s="485" t="s">
        <v>1375</v>
      </c>
      <c r="C34" s="486" t="s">
        <v>1525</v>
      </c>
    </row>
  </sheetData>
  <printOptions horizontalCentered="1"/>
  <pageMargins left="0.7" right="0.7" top="0.75" bottom="0.75" header="0.3" footer="0.3"/>
  <pageSetup firstPageNumber="0" fitToHeight="0" orientation="landscape" horizontalDpi="1200" verticalDpi="1200" r:id="rId1"/>
  <headerFooter>
    <oddHeader xml:space="preserve">&amp;RPage &amp;P
Index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8"/>
  <sheetViews>
    <sheetView topLeftCell="A19" zoomScaleNormal="100" workbookViewId="0">
      <selection activeCell="F31" sqref="F31"/>
    </sheetView>
  </sheetViews>
  <sheetFormatPr defaultColWidth="9" defaultRowHeight="13.8"/>
  <cols>
    <col min="1" max="1" width="9" style="2"/>
    <col min="2" max="2" width="42.8984375" style="2" bestFit="1" customWidth="1"/>
    <col min="3" max="3" width="11.09765625" style="2" customWidth="1"/>
    <col min="4" max="4" width="16" style="2" bestFit="1" customWidth="1"/>
    <col min="5" max="5" width="16.3984375" style="2" bestFit="1" customWidth="1"/>
    <col min="6" max="6" width="15.69921875" style="2" bestFit="1" customWidth="1"/>
    <col min="7" max="16384" width="9" style="2"/>
  </cols>
  <sheetData>
    <row r="1" spans="1:8">
      <c r="H1" s="82"/>
    </row>
    <row r="2" spans="1:8">
      <c r="H2" s="177" t="s">
        <v>1319</v>
      </c>
    </row>
    <row r="3" spans="1:8">
      <c r="A3" s="1" t="str">
        <f>Index!B4</f>
        <v>Western Farmers Electric Cooperative, Inc.</v>
      </c>
      <c r="E3" s="82"/>
    </row>
    <row r="4" spans="1:8">
      <c r="A4" s="1"/>
      <c r="E4" s="82"/>
    </row>
    <row r="5" spans="1:8">
      <c r="A5" s="1" t="s">
        <v>1351</v>
      </c>
      <c r="E5" s="82"/>
    </row>
    <row r="6" spans="1:8">
      <c r="A6" s="1" t="str">
        <f>Index!B6</f>
        <v>Year Ending December 31, 2016</v>
      </c>
    </row>
    <row r="7" spans="1:8">
      <c r="B7" s="1"/>
    </row>
    <row r="8" spans="1:8">
      <c r="A8" s="251" t="s">
        <v>3</v>
      </c>
      <c r="B8" s="252" t="s">
        <v>4</v>
      </c>
      <c r="C8" s="252" t="s">
        <v>5</v>
      </c>
      <c r="D8" s="252" t="s">
        <v>9</v>
      </c>
      <c r="E8" s="252" t="s">
        <v>10</v>
      </c>
      <c r="F8" s="252" t="s">
        <v>11</v>
      </c>
    </row>
    <row r="9" spans="1:8" ht="14.4" thickBot="1">
      <c r="A9" s="253"/>
      <c r="B9" s="254"/>
      <c r="C9" s="64"/>
      <c r="D9" s="64"/>
      <c r="E9" s="64"/>
    </row>
    <row r="10" spans="1:8">
      <c r="A10" s="603" t="s">
        <v>379</v>
      </c>
      <c r="B10" s="604"/>
      <c r="C10" s="604"/>
      <c r="D10" s="604"/>
      <c r="E10" s="605"/>
      <c r="F10" s="246"/>
    </row>
    <row r="11" spans="1:8" ht="27.6">
      <c r="A11" s="606" t="s">
        <v>380</v>
      </c>
      <c r="B11" s="607"/>
      <c r="C11" s="255" t="s">
        <v>381</v>
      </c>
      <c r="D11" s="367" t="s">
        <v>382</v>
      </c>
      <c r="E11" s="368" t="s">
        <v>383</v>
      </c>
      <c r="F11" s="364" t="s">
        <v>1299</v>
      </c>
    </row>
    <row r="12" spans="1:8">
      <c r="A12" s="599" t="s">
        <v>384</v>
      </c>
      <c r="B12" s="600"/>
      <c r="C12" s="600"/>
      <c r="D12" s="600"/>
      <c r="E12" s="601"/>
      <c r="F12" s="246"/>
    </row>
    <row r="13" spans="1:8">
      <c r="A13" s="257">
        <v>1</v>
      </c>
      <c r="B13" s="258" t="s">
        <v>385</v>
      </c>
      <c r="C13" s="259">
        <v>560</v>
      </c>
      <c r="D13" s="508">
        <v>509019</v>
      </c>
      <c r="E13" s="508">
        <v>224112</v>
      </c>
      <c r="F13" s="355">
        <f>SUM(D13:E13)</f>
        <v>733131</v>
      </c>
    </row>
    <row r="14" spans="1:8">
      <c r="A14" s="257">
        <f>A13+1</f>
        <v>2</v>
      </c>
      <c r="B14" s="258" t="s">
        <v>386</v>
      </c>
      <c r="C14" s="259">
        <v>561</v>
      </c>
      <c r="D14" s="508">
        <v>12479412</v>
      </c>
      <c r="E14" s="370"/>
      <c r="F14" s="355">
        <f>SUM(D14:E14)</f>
        <v>12479412</v>
      </c>
    </row>
    <row r="15" spans="1:8">
      <c r="A15" s="257">
        <f t="shared" ref="A15:A22" si="0">A14+1</f>
        <v>3</v>
      </c>
      <c r="B15" s="258" t="s">
        <v>387</v>
      </c>
      <c r="C15" s="259">
        <v>562</v>
      </c>
      <c r="D15" s="370"/>
      <c r="E15" s="508">
        <v>2435999</v>
      </c>
      <c r="F15" s="355">
        <f t="shared" ref="F15:F22" si="1">SUM(D15:E15)</f>
        <v>2435999</v>
      </c>
    </row>
    <row r="16" spans="1:8">
      <c r="A16" s="257">
        <f t="shared" si="0"/>
        <v>4</v>
      </c>
      <c r="B16" s="258" t="s">
        <v>388</v>
      </c>
      <c r="C16" s="259">
        <v>563</v>
      </c>
      <c r="D16" s="508">
        <v>3107829</v>
      </c>
      <c r="E16" s="608"/>
      <c r="F16" s="355">
        <f t="shared" si="1"/>
        <v>3107829</v>
      </c>
    </row>
    <row r="17" spans="1:8">
      <c r="A17" s="257">
        <f t="shared" si="0"/>
        <v>5</v>
      </c>
      <c r="B17" s="258" t="s">
        <v>389</v>
      </c>
      <c r="C17" s="259">
        <v>564</v>
      </c>
      <c r="D17" s="508"/>
      <c r="E17" s="608"/>
      <c r="F17" s="355">
        <f t="shared" si="1"/>
        <v>0</v>
      </c>
    </row>
    <row r="18" spans="1:8">
      <c r="A18" s="257">
        <f t="shared" si="0"/>
        <v>6</v>
      </c>
      <c r="B18" s="258" t="s">
        <v>390</v>
      </c>
      <c r="C18" s="259">
        <v>566</v>
      </c>
      <c r="D18" s="508">
        <v>2931646</v>
      </c>
      <c r="E18" s="508">
        <v>1290751</v>
      </c>
      <c r="F18" s="355">
        <f t="shared" si="1"/>
        <v>4222397</v>
      </c>
    </row>
    <row r="19" spans="1:8">
      <c r="A19" s="260">
        <f t="shared" si="0"/>
        <v>7</v>
      </c>
      <c r="B19" s="261" t="s">
        <v>391</v>
      </c>
      <c r="C19" s="256"/>
      <c r="D19" s="262">
        <f>SUM(D13:D18)</f>
        <v>19027906</v>
      </c>
      <c r="E19" s="262">
        <f>SUM(E13:E18)</f>
        <v>3950862</v>
      </c>
      <c r="F19" s="355">
        <f t="shared" si="1"/>
        <v>22978768</v>
      </c>
    </row>
    <row r="20" spans="1:8">
      <c r="A20" s="257">
        <f t="shared" si="0"/>
        <v>8</v>
      </c>
      <c r="B20" s="258" t="s">
        <v>392</v>
      </c>
      <c r="C20" s="259">
        <v>565</v>
      </c>
      <c r="D20" s="508">
        <v>55737190</v>
      </c>
      <c r="E20" s="370"/>
      <c r="F20" s="355">
        <f t="shared" si="1"/>
        <v>55737190</v>
      </c>
    </row>
    <row r="21" spans="1:8">
      <c r="A21" s="257">
        <f t="shared" si="0"/>
        <v>9</v>
      </c>
      <c r="B21" s="258" t="s">
        <v>393</v>
      </c>
      <c r="C21" s="259">
        <v>567</v>
      </c>
      <c r="D21" s="508"/>
      <c r="E21" s="508">
        <v>0</v>
      </c>
      <c r="F21" s="355">
        <f t="shared" si="1"/>
        <v>0</v>
      </c>
    </row>
    <row r="22" spans="1:8">
      <c r="A22" s="260">
        <f t="shared" si="0"/>
        <v>10</v>
      </c>
      <c r="B22" s="261" t="s">
        <v>394</v>
      </c>
      <c r="C22" s="256"/>
      <c r="D22" s="262">
        <f>SUM(D19:D21)</f>
        <v>74765096</v>
      </c>
      <c r="E22" s="361">
        <f>SUM(E19:E21)</f>
        <v>3950862</v>
      </c>
      <c r="F22" s="355">
        <f t="shared" si="1"/>
        <v>78715958</v>
      </c>
    </row>
    <row r="23" spans="1:8">
      <c r="A23" s="599" t="s">
        <v>395</v>
      </c>
      <c r="B23" s="600"/>
      <c r="C23" s="600"/>
      <c r="D23" s="600"/>
      <c r="E23" s="601"/>
      <c r="F23" s="355"/>
    </row>
    <row r="24" spans="1:8">
      <c r="A24" s="257">
        <f>A22+1</f>
        <v>11</v>
      </c>
      <c r="B24" s="258" t="s">
        <v>385</v>
      </c>
      <c r="C24" s="259">
        <v>568</v>
      </c>
      <c r="D24" s="508">
        <v>256</v>
      </c>
      <c r="E24" s="508">
        <v>113</v>
      </c>
      <c r="F24" s="355">
        <f t="shared" ref="F24:F38" si="2">SUM(D24:E24)</f>
        <v>369</v>
      </c>
    </row>
    <row r="25" spans="1:8">
      <c r="A25" s="257">
        <f t="shared" ref="A25:A38" si="3">A24+1</f>
        <v>12</v>
      </c>
      <c r="B25" s="258" t="s">
        <v>396</v>
      </c>
      <c r="C25" s="259">
        <v>569</v>
      </c>
      <c r="D25" s="370"/>
      <c r="E25" s="508"/>
      <c r="F25" s="355">
        <f t="shared" si="2"/>
        <v>0</v>
      </c>
    </row>
    <row r="26" spans="1:8">
      <c r="A26" s="257">
        <f t="shared" si="3"/>
        <v>13</v>
      </c>
      <c r="B26" s="258" t="s">
        <v>75</v>
      </c>
      <c r="C26" s="259">
        <v>570</v>
      </c>
      <c r="D26" s="370"/>
      <c r="E26" s="508">
        <v>165845</v>
      </c>
      <c r="F26" s="355">
        <f t="shared" si="2"/>
        <v>165845</v>
      </c>
    </row>
    <row r="27" spans="1:8">
      <c r="A27" s="257">
        <f t="shared" si="3"/>
        <v>14</v>
      </c>
      <c r="B27" s="258" t="s">
        <v>397</v>
      </c>
      <c r="C27" s="259">
        <v>571</v>
      </c>
      <c r="D27" s="508">
        <v>1682262</v>
      </c>
      <c r="E27" s="370"/>
      <c r="F27" s="355">
        <f t="shared" si="2"/>
        <v>1682262</v>
      </c>
    </row>
    <row r="28" spans="1:8">
      <c r="A28" s="257">
        <f t="shared" si="3"/>
        <v>15</v>
      </c>
      <c r="B28" s="258" t="s">
        <v>398</v>
      </c>
      <c r="C28" s="259">
        <v>572</v>
      </c>
      <c r="D28" s="508"/>
      <c r="E28" s="370"/>
      <c r="F28" s="355">
        <f t="shared" si="2"/>
        <v>0</v>
      </c>
    </row>
    <row r="29" spans="1:8">
      <c r="A29" s="257">
        <f t="shared" si="3"/>
        <v>16</v>
      </c>
      <c r="B29" s="258" t="s">
        <v>399</v>
      </c>
      <c r="C29" s="259">
        <v>573</v>
      </c>
      <c r="D29" s="508">
        <v>229881</v>
      </c>
      <c r="E29" s="508">
        <v>101212</v>
      </c>
      <c r="F29" s="355">
        <f t="shared" si="2"/>
        <v>331093</v>
      </c>
    </row>
    <row r="30" spans="1:8">
      <c r="A30" s="260">
        <f t="shared" si="3"/>
        <v>17</v>
      </c>
      <c r="B30" s="261" t="s">
        <v>400</v>
      </c>
      <c r="C30" s="598"/>
      <c r="D30" s="262">
        <f>SUM(D24:D29)</f>
        <v>1912399</v>
      </c>
      <c r="E30" s="361">
        <f>SUM(E24:E29)</f>
        <v>267170</v>
      </c>
      <c r="F30" s="355">
        <f t="shared" si="2"/>
        <v>2179569</v>
      </c>
    </row>
    <row r="31" spans="1:8">
      <c r="A31" s="260">
        <f t="shared" si="3"/>
        <v>18</v>
      </c>
      <c r="B31" s="261" t="s">
        <v>401</v>
      </c>
      <c r="C31" s="598"/>
      <c r="D31" s="262">
        <f>D22+D30</f>
        <v>76677495</v>
      </c>
      <c r="E31" s="361">
        <f>E22+E30</f>
        <v>4218032</v>
      </c>
      <c r="F31" s="355">
        <f t="shared" si="2"/>
        <v>80895527</v>
      </c>
      <c r="G31" s="23"/>
      <c r="H31" s="23"/>
    </row>
    <row r="32" spans="1:8">
      <c r="A32" s="257">
        <f t="shared" si="3"/>
        <v>19</v>
      </c>
      <c r="B32" s="258" t="s">
        <v>402</v>
      </c>
      <c r="C32" s="259" t="s">
        <v>403</v>
      </c>
      <c r="D32" s="507"/>
      <c r="E32" s="507"/>
      <c r="F32" s="355">
        <f t="shared" si="2"/>
        <v>0</v>
      </c>
      <c r="G32" s="23"/>
      <c r="H32" s="23"/>
    </row>
    <row r="33" spans="1:8">
      <c r="A33" s="257">
        <f t="shared" si="3"/>
        <v>20</v>
      </c>
      <c r="B33" s="258" t="s">
        <v>404</v>
      </c>
      <c r="C33" s="259" t="s">
        <v>405</v>
      </c>
      <c r="D33" s="507"/>
      <c r="E33" s="507"/>
      <c r="F33" s="355">
        <f t="shared" si="2"/>
        <v>0</v>
      </c>
      <c r="G33" s="23"/>
      <c r="H33" s="23"/>
    </row>
    <row r="34" spans="1:8">
      <c r="A34" s="260">
        <f t="shared" si="3"/>
        <v>21</v>
      </c>
      <c r="B34" s="261" t="s">
        <v>406</v>
      </c>
      <c r="C34" s="256"/>
      <c r="D34" s="263">
        <f>SUM(D32:D33)</f>
        <v>0</v>
      </c>
      <c r="E34" s="362">
        <f>SUM(E32:E33)</f>
        <v>0</v>
      </c>
      <c r="F34" s="355">
        <f t="shared" si="2"/>
        <v>0</v>
      </c>
      <c r="G34" s="23"/>
      <c r="H34" s="23"/>
    </row>
    <row r="35" spans="1:8">
      <c r="A35" s="257">
        <f t="shared" si="3"/>
        <v>22</v>
      </c>
      <c r="B35" s="258" t="s">
        <v>407</v>
      </c>
      <c r="C35" s="259" t="s">
        <v>408</v>
      </c>
      <c r="D35" s="508"/>
      <c r="E35" s="508">
        <v>6215660</v>
      </c>
      <c r="F35" s="355">
        <f t="shared" si="2"/>
        <v>6215660</v>
      </c>
      <c r="G35" s="23"/>
      <c r="H35" s="23"/>
    </row>
    <row r="36" spans="1:8">
      <c r="A36" s="257">
        <f t="shared" si="3"/>
        <v>23</v>
      </c>
      <c r="B36" s="258" t="s">
        <v>409</v>
      </c>
      <c r="C36" s="259" t="s">
        <v>410</v>
      </c>
      <c r="D36" s="508"/>
      <c r="E36" s="508">
        <v>1250440</v>
      </c>
      <c r="F36" s="355">
        <f t="shared" si="2"/>
        <v>1250440</v>
      </c>
      <c r="G36" s="23"/>
      <c r="H36" s="23"/>
    </row>
    <row r="37" spans="1:8">
      <c r="A37" s="260">
        <f t="shared" si="3"/>
        <v>24</v>
      </c>
      <c r="B37" s="261" t="s">
        <v>411</v>
      </c>
      <c r="C37" s="598"/>
      <c r="D37" s="262">
        <f>SUM(D35:D36)</f>
        <v>0</v>
      </c>
      <c r="E37" s="361">
        <f>SUM(E35:E36)</f>
        <v>7466100</v>
      </c>
      <c r="F37" s="355">
        <f t="shared" si="2"/>
        <v>7466100</v>
      </c>
      <c r="G37" s="23"/>
      <c r="H37" s="23"/>
    </row>
    <row r="38" spans="1:8">
      <c r="A38" s="260">
        <f t="shared" si="3"/>
        <v>25</v>
      </c>
      <c r="B38" s="261" t="s">
        <v>412</v>
      </c>
      <c r="C38" s="598"/>
      <c r="D38" s="262">
        <f>D31+D34+D37</f>
        <v>76677495</v>
      </c>
      <c r="E38" s="361">
        <f>E31+E34+E37</f>
        <v>11684132</v>
      </c>
      <c r="F38" s="355">
        <f t="shared" si="2"/>
        <v>88361627</v>
      </c>
      <c r="G38" s="23"/>
      <c r="H38" s="23"/>
    </row>
    <row r="39" spans="1:8">
      <c r="A39" s="599" t="s">
        <v>413</v>
      </c>
      <c r="B39" s="600"/>
      <c r="C39" s="600"/>
      <c r="D39" s="600"/>
      <c r="E39" s="601"/>
      <c r="F39" s="355"/>
      <c r="G39" s="23"/>
      <c r="H39" s="23"/>
    </row>
    <row r="40" spans="1:8">
      <c r="A40" s="257">
        <f>A38+1</f>
        <v>26</v>
      </c>
      <c r="B40" s="258" t="s">
        <v>414</v>
      </c>
      <c r="C40" s="399">
        <v>403.5</v>
      </c>
      <c r="D40" s="508">
        <v>7506755</v>
      </c>
      <c r="E40" s="508">
        <v>2994229</v>
      </c>
      <c r="F40" s="355">
        <f t="shared" ref="F40:F46" si="4">SUM(D40:E40)</f>
        <v>10500984</v>
      </c>
      <c r="G40" s="23"/>
      <c r="H40" s="23"/>
    </row>
    <row r="41" spans="1:8">
      <c r="A41" s="257">
        <f>A40+1</f>
        <v>27</v>
      </c>
      <c r="B41" s="258" t="s">
        <v>415</v>
      </c>
      <c r="C41" s="399">
        <v>403.6</v>
      </c>
      <c r="D41" s="508"/>
      <c r="E41" s="508">
        <v>5149023</v>
      </c>
      <c r="F41" s="355">
        <f t="shared" si="4"/>
        <v>5149023</v>
      </c>
      <c r="G41" s="23"/>
      <c r="H41" s="23"/>
    </row>
    <row r="42" spans="1:8">
      <c r="A42" s="257">
        <f>A41+1</f>
        <v>28</v>
      </c>
      <c r="B42" s="258" t="s">
        <v>416</v>
      </c>
      <c r="C42" s="259">
        <v>427</v>
      </c>
      <c r="D42" s="508">
        <v>6623128</v>
      </c>
      <c r="E42" s="508">
        <v>2400555</v>
      </c>
      <c r="F42" s="355">
        <f t="shared" si="4"/>
        <v>9023683</v>
      </c>
      <c r="G42" s="23"/>
      <c r="H42" s="23"/>
    </row>
    <row r="43" spans="1:8">
      <c r="A43" s="257">
        <f>A42+1</f>
        <v>29</v>
      </c>
      <c r="B43" s="258" t="s">
        <v>417</v>
      </c>
      <c r="C43" s="259">
        <v>427</v>
      </c>
      <c r="D43" s="508"/>
      <c r="E43" s="508">
        <v>3972968</v>
      </c>
      <c r="F43" s="355">
        <f t="shared" si="4"/>
        <v>3972968</v>
      </c>
      <c r="G43" s="23"/>
      <c r="H43" s="23"/>
    </row>
    <row r="44" spans="1:8">
      <c r="A44" s="260">
        <v>30</v>
      </c>
      <c r="B44" s="261" t="s">
        <v>418</v>
      </c>
      <c r="C44" s="598"/>
      <c r="D44" s="262">
        <f>SUM(D31,D40,D42)</f>
        <v>90807378</v>
      </c>
      <c r="E44" s="361">
        <f>SUM(E31,E40,E42)</f>
        <v>9612816</v>
      </c>
      <c r="F44" s="355">
        <f t="shared" si="4"/>
        <v>100420194</v>
      </c>
      <c r="G44" s="23"/>
      <c r="H44" s="23"/>
    </row>
    <row r="45" spans="1:8">
      <c r="A45" s="260">
        <v>31</v>
      </c>
      <c r="B45" s="261" t="s">
        <v>419</v>
      </c>
      <c r="C45" s="598"/>
      <c r="D45" s="262">
        <f>SUM(D37,D41,D43)</f>
        <v>0</v>
      </c>
      <c r="E45" s="361">
        <f>E37+E41+E43</f>
        <v>16588091</v>
      </c>
      <c r="F45" s="355">
        <f t="shared" si="4"/>
        <v>16588091</v>
      </c>
      <c r="G45" s="23"/>
      <c r="H45" s="23"/>
    </row>
    <row r="46" spans="1:8" ht="14.4" thickBot="1">
      <c r="A46" s="264">
        <v>32</v>
      </c>
      <c r="B46" s="265" t="s">
        <v>420</v>
      </c>
      <c r="C46" s="602"/>
      <c r="D46" s="266">
        <f>D34+D44+D45</f>
        <v>90807378</v>
      </c>
      <c r="E46" s="363">
        <f>E34+E44+E45</f>
        <v>26200907</v>
      </c>
      <c r="F46" s="355">
        <f t="shared" si="4"/>
        <v>117008285</v>
      </c>
      <c r="G46" s="23"/>
      <c r="H46" s="23"/>
    </row>
    <row r="47" spans="1:8">
      <c r="A47" s="2" t="s">
        <v>1306</v>
      </c>
    </row>
    <row r="48" spans="1:8">
      <c r="A48" s="2" t="s">
        <v>1489</v>
      </c>
    </row>
  </sheetData>
  <mergeCells count="9">
    <mergeCell ref="C30:C31"/>
    <mergeCell ref="C37:C38"/>
    <mergeCell ref="A39:E39"/>
    <mergeCell ref="C44:C46"/>
    <mergeCell ref="A10:E10"/>
    <mergeCell ref="A11:B11"/>
    <mergeCell ref="A12:E12"/>
    <mergeCell ref="E16:E17"/>
    <mergeCell ref="A23:E23"/>
  </mergeCells>
  <printOptions horizontalCentered="1"/>
  <pageMargins left="0.7" right="0.7" top="0.75" bottom="0.75" header="0.3" footer="0.3"/>
  <pageSetup scale="75" fitToHeight="0" orientation="portrait" horizontalDpi="1200" verticalDpi="1200" r:id="rId1"/>
  <headerFooter>
    <oddHeader xml:space="preserve">&amp;RPage &amp;P
Worksheet G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filterMode="1">
    <pageSetUpPr fitToPage="1"/>
  </sheetPr>
  <dimension ref="A1:W191"/>
  <sheetViews>
    <sheetView topLeftCell="F95" zoomScaleNormal="100" workbookViewId="0">
      <selection activeCell="A49" sqref="A49"/>
    </sheetView>
  </sheetViews>
  <sheetFormatPr defaultColWidth="9" defaultRowHeight="13.8"/>
  <cols>
    <col min="1" max="1" width="9" style="2" customWidth="1"/>
    <col min="2" max="2" width="26.59765625" style="2" customWidth="1"/>
    <col min="3" max="3" width="26.3984375" style="2" customWidth="1"/>
    <col min="4" max="4" width="7.69921875" style="2" customWidth="1"/>
    <col min="5" max="5" width="16.8984375" style="2" customWidth="1"/>
    <col min="6" max="6" width="8.19921875" style="2" customWidth="1"/>
    <col min="7" max="7" width="7.09765625" style="2" customWidth="1"/>
    <col min="8" max="8" width="12" style="2" customWidth="1"/>
    <col min="9" max="9" width="29.8984375" style="2" customWidth="1"/>
    <col min="10" max="10" width="10.8984375" style="2" customWidth="1"/>
    <col min="11" max="11" width="12.19921875" style="2" customWidth="1"/>
    <col min="12" max="12" width="13.09765625" style="2" customWidth="1"/>
    <col min="13" max="13" width="8.8984375" style="2" customWidth="1"/>
    <col min="14" max="14" width="11.69921875" style="2" customWidth="1"/>
    <col min="15" max="15" width="13.19921875" style="2" bestFit="1" customWidth="1"/>
    <col min="16" max="16" width="13.19921875" style="2" customWidth="1"/>
    <col min="17" max="18" width="14.59765625" style="2" customWidth="1"/>
    <col min="19" max="19" width="13.09765625" style="2" customWidth="1"/>
    <col min="20" max="20" width="14.8984375" style="2" customWidth="1"/>
    <col min="21" max="16384" width="9" style="2"/>
  </cols>
  <sheetData>
    <row r="1" spans="1:23">
      <c r="J1" s="23"/>
      <c r="P1" s="177"/>
      <c r="U1" s="177"/>
      <c r="W1" s="2" t="s">
        <v>421</v>
      </c>
    </row>
    <row r="2" spans="1:23">
      <c r="J2" s="23"/>
      <c r="P2" s="177"/>
    </row>
    <row r="3" spans="1:23">
      <c r="J3" s="23"/>
    </row>
    <row r="4" spans="1:23">
      <c r="A4" s="224" t="str">
        <f>Index!B4</f>
        <v>Western Farmers Electric Cooperative, Inc.</v>
      </c>
      <c r="B4" s="224"/>
      <c r="C4" s="23"/>
      <c r="D4" s="23"/>
      <c r="E4" s="23"/>
      <c r="F4" s="23"/>
      <c r="G4" s="23"/>
      <c r="J4" s="23"/>
    </row>
    <row r="5" spans="1:23">
      <c r="A5" s="224"/>
      <c r="B5" s="219"/>
      <c r="C5" s="219"/>
      <c r="D5" s="219"/>
      <c r="E5" s="38"/>
      <c r="F5" s="38"/>
      <c r="G5" s="23"/>
      <c r="J5" s="23"/>
    </row>
    <row r="6" spans="1:23">
      <c r="A6" s="1" t="s">
        <v>38</v>
      </c>
      <c r="B6" s="225"/>
      <c r="C6" s="39"/>
      <c r="D6" s="39"/>
      <c r="E6" s="40"/>
      <c r="F6" s="40"/>
      <c r="G6" s="23"/>
      <c r="J6" s="23"/>
    </row>
    <row r="7" spans="1:23" ht="14.4">
      <c r="A7" s="224" t="str">
        <f>Index!B6</f>
        <v>Year Ending December 31, 2016</v>
      </c>
      <c r="B7" s="225"/>
      <c r="C7" s="219"/>
      <c r="E7" s="40"/>
      <c r="J7" s="23"/>
      <c r="N7" s="235"/>
    </row>
    <row r="8" spans="1:23" ht="14.4">
      <c r="A8" s="224"/>
      <c r="B8" s="225"/>
      <c r="C8" s="219"/>
      <c r="E8" s="40"/>
      <c r="J8" s="23"/>
      <c r="N8" s="235"/>
    </row>
    <row r="9" spans="1:23" ht="14.4" thickBot="1">
      <c r="A9" s="193" t="s">
        <v>3</v>
      </c>
      <c r="B9" s="193" t="s">
        <v>4</v>
      </c>
      <c r="C9" s="193" t="s">
        <v>5</v>
      </c>
      <c r="D9" s="193" t="s">
        <v>9</v>
      </c>
      <c r="E9" s="193" t="s">
        <v>10</v>
      </c>
      <c r="F9" s="193" t="s">
        <v>11</v>
      </c>
      <c r="G9" s="193" t="s">
        <v>12</v>
      </c>
      <c r="H9" s="193" t="s">
        <v>13</v>
      </c>
      <c r="I9" s="193" t="s">
        <v>14</v>
      </c>
      <c r="J9" s="193" t="s">
        <v>15</v>
      </c>
      <c r="K9" s="193" t="s">
        <v>60</v>
      </c>
      <c r="L9" s="193" t="s">
        <v>422</v>
      </c>
      <c r="M9" s="193" t="s">
        <v>423</v>
      </c>
      <c r="N9" s="193" t="s">
        <v>424</v>
      </c>
      <c r="O9" s="193" t="s">
        <v>425</v>
      </c>
      <c r="P9" s="193" t="s">
        <v>1248</v>
      </c>
      <c r="Q9" s="193" t="s">
        <v>1249</v>
      </c>
      <c r="R9" s="193" t="s">
        <v>1250</v>
      </c>
      <c r="S9" s="193" t="s">
        <v>1251</v>
      </c>
      <c r="T9" s="193" t="s">
        <v>1389</v>
      </c>
    </row>
    <row r="10" spans="1:23" ht="79.2">
      <c r="A10" s="66" t="s">
        <v>1252</v>
      </c>
      <c r="B10" s="120" t="s">
        <v>1253</v>
      </c>
      <c r="C10" s="120" t="s">
        <v>1235</v>
      </c>
      <c r="D10" s="120" t="s">
        <v>1254</v>
      </c>
      <c r="E10" s="120" t="s">
        <v>1255</v>
      </c>
      <c r="F10" s="120" t="s">
        <v>1256</v>
      </c>
      <c r="G10" s="120" t="s">
        <v>1257</v>
      </c>
      <c r="H10" s="120" t="s">
        <v>1258</v>
      </c>
      <c r="I10" s="120" t="s">
        <v>1259</v>
      </c>
      <c r="J10" s="120" t="s">
        <v>1260</v>
      </c>
      <c r="K10" s="120" t="s">
        <v>1261</v>
      </c>
      <c r="L10" s="67" t="s">
        <v>1262</v>
      </c>
      <c r="M10" s="68" t="s">
        <v>1264</v>
      </c>
      <c r="N10" s="68" t="s">
        <v>1265</v>
      </c>
      <c r="O10" s="68" t="s">
        <v>1526</v>
      </c>
      <c r="P10" s="68" t="s">
        <v>1390</v>
      </c>
      <c r="Q10" s="68" t="s">
        <v>428</v>
      </c>
      <c r="R10" s="68" t="s">
        <v>1388</v>
      </c>
      <c r="S10" s="68" t="s">
        <v>1266</v>
      </c>
      <c r="T10" s="120" t="s">
        <v>1391</v>
      </c>
    </row>
    <row r="11" spans="1:23" ht="26.4">
      <c r="A11" s="246">
        <v>1</v>
      </c>
      <c r="B11" s="530">
        <v>19950</v>
      </c>
      <c r="C11" s="531">
        <v>71</v>
      </c>
      <c r="D11" s="531">
        <v>10089</v>
      </c>
      <c r="E11" s="532">
        <v>138</v>
      </c>
      <c r="F11" s="532" t="s">
        <v>2325</v>
      </c>
      <c r="G11" s="533">
        <v>1</v>
      </c>
      <c r="H11" s="534">
        <v>64320.42</v>
      </c>
      <c r="I11" s="535" t="s">
        <v>2326</v>
      </c>
      <c r="J11" s="536">
        <v>39295</v>
      </c>
      <c r="K11" s="537" t="s">
        <v>2327</v>
      </c>
      <c r="L11" s="538" t="b">
        <v>1</v>
      </c>
      <c r="M11" s="240">
        <f>IF(L11,$E$174-J11-30,0)</f>
        <v>3410</v>
      </c>
      <c r="N11" s="241">
        <f t="shared" ref="N11:N42" si="0">G11</f>
        <v>1</v>
      </c>
      <c r="O11" s="242">
        <f ca="1">IF(CELL("type",H11)="v",H11,0)*L11</f>
        <v>64320.42</v>
      </c>
      <c r="P11" s="242">
        <f ca="1">$E$175/365*M11*O11</f>
        <v>16513.04310371507</v>
      </c>
      <c r="Q11" s="243">
        <f t="shared" ref="Q11:Q20" ca="1" si="1">O11-P11</f>
        <v>47807.376896284928</v>
      </c>
      <c r="R11" s="243">
        <f ca="1">O11*N11</f>
        <v>64320.42</v>
      </c>
      <c r="S11" s="244">
        <f ca="1">Q11*N11</f>
        <v>47807.376896284928</v>
      </c>
      <c r="T11" s="425">
        <f t="shared" ref="T11:T42" ca="1" si="2">S11*$E$179</f>
        <v>9314.3609724173693</v>
      </c>
    </row>
    <row r="12" spans="1:23">
      <c r="A12" s="246">
        <f>A11+1</f>
        <v>2</v>
      </c>
      <c r="B12" s="530">
        <v>19985</v>
      </c>
      <c r="C12" s="531">
        <v>72</v>
      </c>
      <c r="D12" s="531">
        <v>10090</v>
      </c>
      <c r="E12" s="532">
        <v>69</v>
      </c>
      <c r="F12" s="532" t="s">
        <v>2325</v>
      </c>
      <c r="G12" s="533">
        <v>1</v>
      </c>
      <c r="H12" s="534">
        <v>1768627.1</v>
      </c>
      <c r="I12" s="535" t="s">
        <v>2328</v>
      </c>
      <c r="J12" s="536">
        <v>39538</v>
      </c>
      <c r="K12" s="537" t="s">
        <v>2327</v>
      </c>
      <c r="L12" s="538" t="b">
        <v>1</v>
      </c>
      <c r="M12" s="240">
        <f t="shared" ref="M12:M42" si="3">IF(L12,$E$174-J12-30,0)</f>
        <v>3167</v>
      </c>
      <c r="N12" s="241">
        <f t="shared" si="0"/>
        <v>1</v>
      </c>
      <c r="O12" s="242">
        <f t="shared" ref="O12:O75" ca="1" si="4">IF(CELL("type",H12)="v",H12,0)*L12</f>
        <v>1768627.1</v>
      </c>
      <c r="P12" s="242">
        <f t="shared" ref="P12:P42" ca="1" si="5">$E$175/365*M12*O12</f>
        <v>421704.46812667401</v>
      </c>
      <c r="Q12" s="243">
        <f t="shared" ca="1" si="1"/>
        <v>1346922.6318733261</v>
      </c>
      <c r="R12" s="243">
        <f t="shared" ref="R12:R75" ca="1" si="6">O12*N12</f>
        <v>1768627.1</v>
      </c>
      <c r="S12" s="245">
        <f t="shared" ref="S12:S75" ca="1" si="7">Q12*N12</f>
        <v>1346922.6318733261</v>
      </c>
      <c r="T12" s="425">
        <f t="shared" ca="1" si="2"/>
        <v>262422.33750669379</v>
      </c>
    </row>
    <row r="13" spans="1:23" ht="14.4" customHeight="1">
      <c r="A13" s="246">
        <f t="shared" ref="A13:A76" si="8">A12+1</f>
        <v>3</v>
      </c>
      <c r="B13" s="530">
        <v>20003</v>
      </c>
      <c r="C13" s="531">
        <v>132</v>
      </c>
      <c r="D13" s="531">
        <v>10166</v>
      </c>
      <c r="E13" s="532">
        <v>69</v>
      </c>
      <c r="F13" s="532" t="s">
        <v>2325</v>
      </c>
      <c r="G13" s="533">
        <v>1</v>
      </c>
      <c r="H13" s="534">
        <v>2902444</v>
      </c>
      <c r="I13" s="535" t="s">
        <v>2329</v>
      </c>
      <c r="J13" s="536">
        <v>39965</v>
      </c>
      <c r="K13" s="537" t="s">
        <v>2327</v>
      </c>
      <c r="L13" s="538" t="b">
        <v>1</v>
      </c>
      <c r="M13" s="240">
        <f t="shared" si="3"/>
        <v>2740</v>
      </c>
      <c r="N13" s="241">
        <f t="shared" si="0"/>
        <v>1</v>
      </c>
      <c r="O13" s="242">
        <f t="shared" ca="1" si="4"/>
        <v>2902444</v>
      </c>
      <c r="P13" s="242">
        <f t="shared" ca="1" si="5"/>
        <v>598740.00402410969</v>
      </c>
      <c r="Q13" s="243">
        <f t="shared" ca="1" si="1"/>
        <v>2303703.9959758902</v>
      </c>
      <c r="R13" s="243">
        <f t="shared" ca="1" si="6"/>
        <v>2902444</v>
      </c>
      <c r="S13" s="245">
        <f t="shared" ca="1" si="7"/>
        <v>2303703.9959758902</v>
      </c>
      <c r="T13" s="425">
        <f t="shared" ca="1" si="2"/>
        <v>448833.04596841877</v>
      </c>
    </row>
    <row r="14" spans="1:23" ht="26.4">
      <c r="A14" s="246">
        <f t="shared" si="8"/>
        <v>4</v>
      </c>
      <c r="B14" s="530">
        <v>19951</v>
      </c>
      <c r="C14" s="531">
        <v>133</v>
      </c>
      <c r="D14" s="531">
        <v>10167</v>
      </c>
      <c r="E14" s="532">
        <v>69</v>
      </c>
      <c r="F14" s="532" t="s">
        <v>2325</v>
      </c>
      <c r="G14" s="533">
        <v>1</v>
      </c>
      <c r="H14" s="534"/>
      <c r="I14" s="535" t="s">
        <v>2330</v>
      </c>
      <c r="J14" s="536">
        <v>39600</v>
      </c>
      <c r="K14" s="537" t="s">
        <v>2327</v>
      </c>
      <c r="L14" s="538" t="b">
        <v>0</v>
      </c>
      <c r="M14" s="240">
        <f t="shared" si="3"/>
        <v>0</v>
      </c>
      <c r="N14" s="241">
        <f t="shared" si="0"/>
        <v>1</v>
      </c>
      <c r="O14" s="242">
        <f t="shared" ca="1" si="4"/>
        <v>0</v>
      </c>
      <c r="P14" s="242">
        <f t="shared" ca="1" si="5"/>
        <v>0</v>
      </c>
      <c r="Q14" s="243">
        <f t="shared" ca="1" si="1"/>
        <v>0</v>
      </c>
      <c r="R14" s="243">
        <f t="shared" ca="1" si="6"/>
        <v>0</v>
      </c>
      <c r="S14" s="245">
        <f t="shared" ca="1" si="7"/>
        <v>0</v>
      </c>
      <c r="T14" s="425">
        <f t="shared" ca="1" si="2"/>
        <v>0</v>
      </c>
    </row>
    <row r="15" spans="1:23">
      <c r="A15" s="246">
        <f t="shared" si="8"/>
        <v>5</v>
      </c>
      <c r="B15" s="530">
        <v>19985</v>
      </c>
      <c r="C15" s="531">
        <v>134</v>
      </c>
      <c r="D15" s="531">
        <v>10168</v>
      </c>
      <c r="E15" s="532">
        <v>138</v>
      </c>
      <c r="F15" s="532" t="s">
        <v>2325</v>
      </c>
      <c r="G15" s="533">
        <v>1</v>
      </c>
      <c r="H15" s="534">
        <f>822402.66+1494106.79+1936367.63</f>
        <v>4252877.08</v>
      </c>
      <c r="I15" s="535" t="s">
        <v>2331</v>
      </c>
      <c r="J15" s="536">
        <v>39722</v>
      </c>
      <c r="K15" s="537" t="s">
        <v>2327</v>
      </c>
      <c r="L15" s="538" t="b">
        <v>1</v>
      </c>
      <c r="M15" s="240">
        <f t="shared" si="3"/>
        <v>2983</v>
      </c>
      <c r="N15" s="241">
        <f t="shared" si="0"/>
        <v>1</v>
      </c>
      <c r="O15" s="242">
        <f t="shared" ca="1" si="4"/>
        <v>4252877.08</v>
      </c>
      <c r="P15" s="242">
        <f t="shared" ca="1" si="5"/>
        <v>955124.41758495138</v>
      </c>
      <c r="Q15" s="243">
        <f t="shared" ca="1" si="1"/>
        <v>3297752.6624150486</v>
      </c>
      <c r="R15" s="243">
        <f t="shared" ca="1" si="6"/>
        <v>4252877.08</v>
      </c>
      <c r="S15" s="245">
        <f t="shared" ca="1" si="7"/>
        <v>3297752.6624150486</v>
      </c>
      <c r="T15" s="425">
        <f t="shared" ca="1" si="2"/>
        <v>642504.5817117641</v>
      </c>
    </row>
    <row r="16" spans="1:23" ht="26.4">
      <c r="A16" s="246">
        <f t="shared" si="8"/>
        <v>6</v>
      </c>
      <c r="B16" s="530">
        <v>19985</v>
      </c>
      <c r="C16" s="531">
        <v>134</v>
      </c>
      <c r="D16" s="531">
        <v>10169</v>
      </c>
      <c r="E16" s="532">
        <v>138</v>
      </c>
      <c r="F16" s="532" t="s">
        <v>2325</v>
      </c>
      <c r="G16" s="533">
        <v>1</v>
      </c>
      <c r="H16" s="534">
        <v>756696.82</v>
      </c>
      <c r="I16" s="535" t="s">
        <v>2332</v>
      </c>
      <c r="J16" s="536">
        <v>39722</v>
      </c>
      <c r="K16" s="537" t="s">
        <v>2327</v>
      </c>
      <c r="L16" s="538" t="b">
        <v>1</v>
      </c>
      <c r="M16" s="240">
        <f t="shared" si="3"/>
        <v>2983</v>
      </c>
      <c r="N16" s="241">
        <f t="shared" si="0"/>
        <v>1</v>
      </c>
      <c r="O16" s="242">
        <f t="shared" ca="1" si="4"/>
        <v>756696.82</v>
      </c>
      <c r="P16" s="242">
        <f t="shared" ca="1" si="5"/>
        <v>169941.3352174488</v>
      </c>
      <c r="Q16" s="243">
        <f t="shared" ca="1" si="1"/>
        <v>586755.48478255118</v>
      </c>
      <c r="R16" s="243">
        <f t="shared" ca="1" si="6"/>
        <v>756696.82</v>
      </c>
      <c r="S16" s="245">
        <f t="shared" ca="1" si="7"/>
        <v>586755.48478255118</v>
      </c>
      <c r="T16" s="425">
        <f t="shared" ca="1" si="2"/>
        <v>114318.18147368652</v>
      </c>
    </row>
    <row r="17" spans="1:20">
      <c r="A17" s="246">
        <f t="shared" si="8"/>
        <v>7</v>
      </c>
      <c r="B17" s="530">
        <v>19985</v>
      </c>
      <c r="C17" s="531">
        <v>134</v>
      </c>
      <c r="D17" s="531">
        <v>10170</v>
      </c>
      <c r="E17" s="532">
        <v>138</v>
      </c>
      <c r="F17" s="532" t="s">
        <v>2325</v>
      </c>
      <c r="G17" s="533">
        <v>1</v>
      </c>
      <c r="H17" s="534">
        <v>2300329</v>
      </c>
      <c r="I17" s="535" t="s">
        <v>2333</v>
      </c>
      <c r="J17" s="536">
        <v>39722</v>
      </c>
      <c r="K17" s="537" t="s">
        <v>2327</v>
      </c>
      <c r="L17" s="538" t="b">
        <v>1</v>
      </c>
      <c r="M17" s="240">
        <f t="shared" si="3"/>
        <v>2983</v>
      </c>
      <c r="N17" s="241">
        <f t="shared" si="0"/>
        <v>1</v>
      </c>
      <c r="O17" s="242">
        <f t="shared" ca="1" si="4"/>
        <v>2300329</v>
      </c>
      <c r="P17" s="242">
        <f t="shared" ca="1" si="5"/>
        <v>516615.07140920556</v>
      </c>
      <c r="Q17" s="243">
        <f t="shared" ca="1" si="1"/>
        <v>1783713.9285907946</v>
      </c>
      <c r="R17" s="243">
        <f t="shared" ca="1" si="6"/>
        <v>2300329</v>
      </c>
      <c r="S17" s="245">
        <f t="shared" ca="1" si="7"/>
        <v>1783713.9285907946</v>
      </c>
      <c r="T17" s="425">
        <f t="shared" ca="1" si="2"/>
        <v>347522.8402191301</v>
      </c>
    </row>
    <row r="18" spans="1:20">
      <c r="A18" s="246">
        <f t="shared" si="8"/>
        <v>8</v>
      </c>
      <c r="B18" s="530">
        <v>19985</v>
      </c>
      <c r="C18" s="531">
        <v>134</v>
      </c>
      <c r="D18" s="531">
        <v>10171</v>
      </c>
      <c r="E18" s="532">
        <v>138</v>
      </c>
      <c r="F18" s="532" t="s">
        <v>2325</v>
      </c>
      <c r="G18" s="533">
        <v>1</v>
      </c>
      <c r="H18" s="534">
        <v>2967026.58</v>
      </c>
      <c r="I18" s="535" t="s">
        <v>2334</v>
      </c>
      <c r="J18" s="536">
        <v>39722</v>
      </c>
      <c r="K18" s="537" t="s">
        <v>2327</v>
      </c>
      <c r="L18" s="538" t="b">
        <v>1</v>
      </c>
      <c r="M18" s="240">
        <f t="shared" si="3"/>
        <v>2983</v>
      </c>
      <c r="N18" s="241">
        <f t="shared" si="0"/>
        <v>1</v>
      </c>
      <c r="O18" s="242">
        <f t="shared" ca="1" si="4"/>
        <v>2967026.58</v>
      </c>
      <c r="P18" s="242">
        <f t="shared" ca="1" si="5"/>
        <v>666344.09621393762</v>
      </c>
      <c r="Q18" s="243">
        <f t="shared" ca="1" si="1"/>
        <v>2300682.4837860623</v>
      </c>
      <c r="R18" s="243">
        <f t="shared" ca="1" si="6"/>
        <v>2967026.58</v>
      </c>
      <c r="S18" s="245">
        <f t="shared" ca="1" si="7"/>
        <v>2300682.4837860623</v>
      </c>
      <c r="T18" s="425">
        <f t="shared" ca="1" si="2"/>
        <v>448244.36160534079</v>
      </c>
    </row>
    <row r="19" spans="1:20" ht="26.4">
      <c r="A19" s="246">
        <f t="shared" si="8"/>
        <v>9</v>
      </c>
      <c r="B19" s="530">
        <v>19985</v>
      </c>
      <c r="C19" s="531">
        <v>134</v>
      </c>
      <c r="D19" s="531">
        <v>10172</v>
      </c>
      <c r="E19" s="532">
        <v>138</v>
      </c>
      <c r="F19" s="532" t="s">
        <v>2325</v>
      </c>
      <c r="G19" s="533">
        <v>1</v>
      </c>
      <c r="H19" s="534">
        <v>198608.62</v>
      </c>
      <c r="I19" s="535" t="s">
        <v>2335</v>
      </c>
      <c r="J19" s="536">
        <v>39722</v>
      </c>
      <c r="K19" s="537" t="s">
        <v>2327</v>
      </c>
      <c r="L19" s="538" t="b">
        <v>1</v>
      </c>
      <c r="M19" s="240">
        <f t="shared" si="3"/>
        <v>2983</v>
      </c>
      <c r="N19" s="241">
        <f t="shared" si="0"/>
        <v>1</v>
      </c>
      <c r="O19" s="242">
        <f t="shared" ca="1" si="4"/>
        <v>198608.62</v>
      </c>
      <c r="P19" s="242">
        <f t="shared" ca="1" si="5"/>
        <v>44604.144191454252</v>
      </c>
      <c r="Q19" s="243">
        <f t="shared" ca="1" si="1"/>
        <v>154004.47580854574</v>
      </c>
      <c r="R19" s="243">
        <f t="shared" ca="1" si="6"/>
        <v>198608.62</v>
      </c>
      <c r="S19" s="245">
        <f t="shared" ca="1" si="7"/>
        <v>154004.47580854574</v>
      </c>
      <c r="T19" s="425">
        <f t="shared" ca="1" si="2"/>
        <v>30004.852225226012</v>
      </c>
    </row>
    <row r="20" spans="1:20" ht="26.4">
      <c r="A20" s="246">
        <f t="shared" si="8"/>
        <v>10</v>
      </c>
      <c r="B20" s="530">
        <v>20030</v>
      </c>
      <c r="C20" s="531">
        <v>135</v>
      </c>
      <c r="D20" s="531">
        <v>10173</v>
      </c>
      <c r="E20" s="532">
        <v>69</v>
      </c>
      <c r="F20" s="532" t="s">
        <v>2325</v>
      </c>
      <c r="G20" s="533">
        <v>1</v>
      </c>
      <c r="H20" s="534">
        <v>2769825.37</v>
      </c>
      <c r="I20" s="535" t="s">
        <v>2336</v>
      </c>
      <c r="J20" s="536">
        <v>41248</v>
      </c>
      <c r="K20" s="537" t="s">
        <v>2327</v>
      </c>
      <c r="L20" s="538" t="b">
        <v>1</v>
      </c>
      <c r="M20" s="240">
        <f t="shared" si="3"/>
        <v>1457</v>
      </c>
      <c r="N20" s="241">
        <f t="shared" si="0"/>
        <v>1</v>
      </c>
      <c r="O20" s="242">
        <f t="shared" ca="1" si="4"/>
        <v>2769825.37</v>
      </c>
      <c r="P20" s="242">
        <f t="shared" ca="1" si="5"/>
        <v>303833.60356491292</v>
      </c>
      <c r="Q20" s="243">
        <f t="shared" ca="1" si="1"/>
        <v>2465991.7664350872</v>
      </c>
      <c r="R20" s="243">
        <f t="shared" ca="1" si="6"/>
        <v>2769825.37</v>
      </c>
      <c r="S20" s="245">
        <f t="shared" ca="1" si="7"/>
        <v>2465991.7664350872</v>
      </c>
      <c r="T20" s="425">
        <f t="shared" ca="1" si="2"/>
        <v>480451.74110714404</v>
      </c>
    </row>
    <row r="21" spans="1:20" ht="26.4">
      <c r="A21" s="246">
        <f t="shared" si="8"/>
        <v>11</v>
      </c>
      <c r="B21" s="530">
        <v>20003</v>
      </c>
      <c r="C21" s="531">
        <v>136</v>
      </c>
      <c r="D21" s="531">
        <v>10174</v>
      </c>
      <c r="E21" s="532">
        <v>138</v>
      </c>
      <c r="F21" s="532" t="s">
        <v>2325</v>
      </c>
      <c r="G21" s="533">
        <v>1</v>
      </c>
      <c r="H21" s="534"/>
      <c r="I21" s="535" t="s">
        <v>2337</v>
      </c>
      <c r="J21" s="536">
        <v>42156</v>
      </c>
      <c r="K21" s="537" t="s">
        <v>2338</v>
      </c>
      <c r="L21" s="538" t="b">
        <v>0</v>
      </c>
      <c r="M21" s="240">
        <f t="shared" si="3"/>
        <v>0</v>
      </c>
      <c r="N21" s="241">
        <f t="shared" si="0"/>
        <v>1</v>
      </c>
      <c r="O21" s="242">
        <f t="shared" ca="1" si="4"/>
        <v>0</v>
      </c>
      <c r="P21" s="242">
        <f t="shared" ca="1" si="5"/>
        <v>0</v>
      </c>
      <c r="Q21" s="243">
        <f ca="1">O21-P21</f>
        <v>0</v>
      </c>
      <c r="R21" s="243">
        <f t="shared" ca="1" si="6"/>
        <v>0</v>
      </c>
      <c r="S21" s="245">
        <f t="shared" ca="1" si="7"/>
        <v>0</v>
      </c>
      <c r="T21" s="425">
        <f t="shared" ca="1" si="2"/>
        <v>0</v>
      </c>
    </row>
    <row r="22" spans="1:20" ht="26.4">
      <c r="A22" s="246">
        <f t="shared" si="8"/>
        <v>12</v>
      </c>
      <c r="B22" s="530">
        <v>20003</v>
      </c>
      <c r="C22" s="531">
        <v>138</v>
      </c>
      <c r="D22" s="531">
        <v>10176</v>
      </c>
      <c r="E22" s="532">
        <v>69</v>
      </c>
      <c r="F22" s="532" t="s">
        <v>2325</v>
      </c>
      <c r="G22" s="533">
        <v>1</v>
      </c>
      <c r="H22" s="534"/>
      <c r="I22" s="535" t="s">
        <v>2339</v>
      </c>
      <c r="J22" s="536">
        <v>42272</v>
      </c>
      <c r="K22" s="537" t="s">
        <v>2340</v>
      </c>
      <c r="L22" s="538" t="b">
        <v>0</v>
      </c>
      <c r="M22" s="240">
        <f t="shared" si="3"/>
        <v>0</v>
      </c>
      <c r="N22" s="241">
        <f t="shared" si="0"/>
        <v>1</v>
      </c>
      <c r="O22" s="242">
        <f t="shared" ca="1" si="4"/>
        <v>0</v>
      </c>
      <c r="P22" s="242">
        <f t="shared" ca="1" si="5"/>
        <v>0</v>
      </c>
      <c r="Q22" s="243">
        <f t="shared" ref="Q22:Q85" ca="1" si="9">O22-P22</f>
        <v>0</v>
      </c>
      <c r="R22" s="243">
        <f t="shared" ca="1" si="6"/>
        <v>0</v>
      </c>
      <c r="S22" s="245">
        <f t="shared" ca="1" si="7"/>
        <v>0</v>
      </c>
      <c r="T22" s="425">
        <f t="shared" ca="1" si="2"/>
        <v>0</v>
      </c>
    </row>
    <row r="23" spans="1:20">
      <c r="A23" s="246">
        <f t="shared" si="8"/>
        <v>13</v>
      </c>
      <c r="B23" s="530">
        <v>20003</v>
      </c>
      <c r="C23" s="531">
        <v>139</v>
      </c>
      <c r="D23" s="531">
        <v>10177</v>
      </c>
      <c r="E23" s="532">
        <v>69</v>
      </c>
      <c r="F23" s="532" t="s">
        <v>2325</v>
      </c>
      <c r="G23" s="533">
        <v>1</v>
      </c>
      <c r="H23" s="534">
        <v>3850690.37</v>
      </c>
      <c r="I23" s="535" t="s">
        <v>2341</v>
      </c>
      <c r="J23" s="536">
        <v>39753</v>
      </c>
      <c r="K23" s="537" t="s">
        <v>2327</v>
      </c>
      <c r="L23" s="538" t="b">
        <v>1</v>
      </c>
      <c r="M23" s="240">
        <f t="shared" si="3"/>
        <v>2952</v>
      </c>
      <c r="N23" s="241">
        <f t="shared" si="0"/>
        <v>1</v>
      </c>
      <c r="O23" s="242">
        <f t="shared" ca="1" si="4"/>
        <v>3850690.37</v>
      </c>
      <c r="P23" s="242">
        <f t="shared" ca="1" si="5"/>
        <v>855812.87527987745</v>
      </c>
      <c r="Q23" s="243">
        <f t="shared" ca="1" si="9"/>
        <v>2994877.4947201228</v>
      </c>
      <c r="R23" s="243">
        <f t="shared" ca="1" si="6"/>
        <v>3850690.37</v>
      </c>
      <c r="S23" s="245">
        <f t="shared" ca="1" si="7"/>
        <v>2994877.4947201228</v>
      </c>
      <c r="T23" s="425">
        <f t="shared" ca="1" si="2"/>
        <v>583495.09772329603</v>
      </c>
    </row>
    <row r="24" spans="1:20" ht="26.4">
      <c r="A24" s="246">
        <f t="shared" si="8"/>
        <v>14</v>
      </c>
      <c r="B24" s="530">
        <v>20003</v>
      </c>
      <c r="C24" s="531">
        <v>139</v>
      </c>
      <c r="D24" s="531">
        <v>10178</v>
      </c>
      <c r="E24" s="532">
        <v>69</v>
      </c>
      <c r="F24" s="532" t="s">
        <v>2325</v>
      </c>
      <c r="G24" s="533">
        <v>1</v>
      </c>
      <c r="H24" s="534"/>
      <c r="I24" s="535" t="s">
        <v>2342</v>
      </c>
      <c r="J24" s="536">
        <v>39753</v>
      </c>
      <c r="K24" s="537" t="s">
        <v>2327</v>
      </c>
      <c r="L24" s="538" t="b">
        <v>0</v>
      </c>
      <c r="M24" s="240">
        <f t="shared" si="3"/>
        <v>0</v>
      </c>
      <c r="N24" s="241">
        <f t="shared" si="0"/>
        <v>1</v>
      </c>
      <c r="O24" s="242">
        <f t="shared" ca="1" si="4"/>
        <v>0</v>
      </c>
      <c r="P24" s="242">
        <f t="shared" ca="1" si="5"/>
        <v>0</v>
      </c>
      <c r="Q24" s="243">
        <f t="shared" ca="1" si="9"/>
        <v>0</v>
      </c>
      <c r="R24" s="243">
        <f t="shared" ca="1" si="6"/>
        <v>0</v>
      </c>
      <c r="S24" s="245">
        <f t="shared" ca="1" si="7"/>
        <v>0</v>
      </c>
      <c r="T24" s="425">
        <f t="shared" ca="1" si="2"/>
        <v>0</v>
      </c>
    </row>
    <row r="25" spans="1:20">
      <c r="A25" s="246">
        <f t="shared" si="8"/>
        <v>15</v>
      </c>
      <c r="B25" s="530">
        <v>19985</v>
      </c>
      <c r="C25" s="531">
        <v>140</v>
      </c>
      <c r="D25" s="531">
        <v>10179</v>
      </c>
      <c r="E25" s="532">
        <v>69</v>
      </c>
      <c r="F25" s="532" t="s">
        <v>2325</v>
      </c>
      <c r="G25" s="533">
        <v>1</v>
      </c>
      <c r="H25" s="534">
        <v>1033063.57</v>
      </c>
      <c r="I25" s="535" t="s">
        <v>2343</v>
      </c>
      <c r="J25" s="536">
        <v>41974</v>
      </c>
      <c r="K25" s="537" t="s">
        <v>2344</v>
      </c>
      <c r="L25" s="538" t="b">
        <v>1</v>
      </c>
      <c r="M25" s="240">
        <f t="shared" si="3"/>
        <v>731</v>
      </c>
      <c r="N25" s="241">
        <f t="shared" si="0"/>
        <v>1</v>
      </c>
      <c r="O25" s="242">
        <f t="shared" ca="1" si="4"/>
        <v>1033063.57</v>
      </c>
      <c r="P25" s="242">
        <f t="shared" ca="1" si="5"/>
        <v>56854.950757620827</v>
      </c>
      <c r="Q25" s="243">
        <f t="shared" ca="1" si="9"/>
        <v>976208.61924237909</v>
      </c>
      <c r="R25" s="243">
        <f t="shared" ca="1" si="6"/>
        <v>1033063.57</v>
      </c>
      <c r="S25" s="245">
        <f t="shared" ca="1" si="7"/>
        <v>976208.61924237909</v>
      </c>
      <c r="T25" s="425">
        <f t="shared" ca="1" si="2"/>
        <v>190195.74078985403</v>
      </c>
    </row>
    <row r="26" spans="1:20" ht="26.4">
      <c r="A26" s="246">
        <f t="shared" si="8"/>
        <v>16</v>
      </c>
      <c r="B26" s="530">
        <v>19951</v>
      </c>
      <c r="C26" s="531">
        <v>141</v>
      </c>
      <c r="D26" s="531">
        <v>10180</v>
      </c>
      <c r="E26" s="532">
        <v>69</v>
      </c>
      <c r="F26" s="532" t="s">
        <v>2325</v>
      </c>
      <c r="G26" s="533">
        <v>0.48</v>
      </c>
      <c r="H26" s="534">
        <v>2154892</v>
      </c>
      <c r="I26" s="535" t="s">
        <v>2345</v>
      </c>
      <c r="J26" s="536">
        <v>39600</v>
      </c>
      <c r="K26" s="537" t="s">
        <v>2327</v>
      </c>
      <c r="L26" s="538" t="b">
        <v>1</v>
      </c>
      <c r="M26" s="240">
        <f t="shared" si="3"/>
        <v>3105</v>
      </c>
      <c r="N26" s="241">
        <f t="shared" si="0"/>
        <v>0.48</v>
      </c>
      <c r="O26" s="242">
        <f t="shared" ca="1" si="4"/>
        <v>2154892</v>
      </c>
      <c r="P26" s="242">
        <f t="shared" ca="1" si="5"/>
        <v>503745.26536109595</v>
      </c>
      <c r="Q26" s="243">
        <f t="shared" ca="1" si="9"/>
        <v>1651146.734638904</v>
      </c>
      <c r="R26" s="243">
        <f t="shared" ca="1" si="6"/>
        <v>1034348.1599999999</v>
      </c>
      <c r="S26" s="245">
        <f t="shared" ca="1" si="7"/>
        <v>792550.43262667384</v>
      </c>
      <c r="T26" s="425">
        <f t="shared" ca="1" si="2"/>
        <v>154413.42524074041</v>
      </c>
    </row>
    <row r="27" spans="1:20">
      <c r="A27" s="246">
        <f t="shared" si="8"/>
        <v>17</v>
      </c>
      <c r="B27" s="530">
        <v>20003</v>
      </c>
      <c r="C27" s="531">
        <v>142</v>
      </c>
      <c r="D27" s="531">
        <v>10181</v>
      </c>
      <c r="E27" s="532">
        <v>69</v>
      </c>
      <c r="F27" s="532" t="s">
        <v>2325</v>
      </c>
      <c r="G27" s="533">
        <v>1</v>
      </c>
      <c r="H27" s="534">
        <v>3670469.44</v>
      </c>
      <c r="I27" s="535" t="s">
        <v>2346</v>
      </c>
      <c r="J27" s="536">
        <v>39965</v>
      </c>
      <c r="K27" s="537" t="s">
        <v>2327</v>
      </c>
      <c r="L27" s="538" t="b">
        <v>1</v>
      </c>
      <c r="M27" s="240">
        <f t="shared" si="3"/>
        <v>2740</v>
      </c>
      <c r="N27" s="241">
        <f t="shared" si="0"/>
        <v>1</v>
      </c>
      <c r="O27" s="242">
        <f t="shared" ca="1" si="4"/>
        <v>3670469.44</v>
      </c>
      <c r="P27" s="242">
        <f t="shared" ca="1" si="5"/>
        <v>757174.60432517261</v>
      </c>
      <c r="Q27" s="243">
        <f t="shared" ca="1" si="9"/>
        <v>2913294.8356748275</v>
      </c>
      <c r="R27" s="243">
        <f t="shared" ca="1" si="6"/>
        <v>3670469.44</v>
      </c>
      <c r="S27" s="245">
        <f t="shared" ca="1" si="7"/>
        <v>2913294.8356748275</v>
      </c>
      <c r="T27" s="425">
        <f t="shared" ca="1" si="2"/>
        <v>567600.26339498581</v>
      </c>
    </row>
    <row r="28" spans="1:20">
      <c r="A28" s="246">
        <f t="shared" si="8"/>
        <v>18</v>
      </c>
      <c r="B28" s="530">
        <v>20003</v>
      </c>
      <c r="C28" s="531">
        <v>238</v>
      </c>
      <c r="D28" s="531">
        <v>10303</v>
      </c>
      <c r="E28" s="532">
        <v>138</v>
      </c>
      <c r="F28" s="532" t="s">
        <v>2325</v>
      </c>
      <c r="G28" s="533">
        <v>1</v>
      </c>
      <c r="H28" s="534">
        <v>6920303</v>
      </c>
      <c r="I28" s="535" t="s">
        <v>2347</v>
      </c>
      <c r="J28" s="536">
        <v>41426</v>
      </c>
      <c r="K28" s="537" t="s">
        <v>2327</v>
      </c>
      <c r="L28" s="538" t="b">
        <v>1</v>
      </c>
      <c r="M28" s="240">
        <f t="shared" si="3"/>
        <v>1279</v>
      </c>
      <c r="N28" s="241">
        <f t="shared" si="0"/>
        <v>1</v>
      </c>
      <c r="O28" s="242">
        <f t="shared" ca="1" si="4"/>
        <v>6920303</v>
      </c>
      <c r="P28" s="242">
        <f t="shared" ca="1" si="5"/>
        <v>666376.26278564392</v>
      </c>
      <c r="Q28" s="243">
        <f t="shared" ca="1" si="9"/>
        <v>6253926.7372143557</v>
      </c>
      <c r="R28" s="243">
        <f t="shared" ca="1" si="6"/>
        <v>6920303</v>
      </c>
      <c r="S28" s="245">
        <f t="shared" ca="1" si="7"/>
        <v>6253926.7372143557</v>
      </c>
      <c r="T28" s="425">
        <f t="shared" ca="1" si="2"/>
        <v>1218459.0518705819</v>
      </c>
    </row>
    <row r="29" spans="1:20">
      <c r="A29" s="246">
        <f t="shared" si="8"/>
        <v>19</v>
      </c>
      <c r="B29" s="530">
        <v>20003</v>
      </c>
      <c r="C29" s="531">
        <v>238</v>
      </c>
      <c r="D29" s="531">
        <v>10304</v>
      </c>
      <c r="E29" s="532">
        <v>138</v>
      </c>
      <c r="F29" s="532" t="s">
        <v>2325</v>
      </c>
      <c r="G29" s="533">
        <v>1</v>
      </c>
      <c r="H29" s="534"/>
      <c r="I29" s="535" t="s">
        <v>2348</v>
      </c>
      <c r="J29" s="536">
        <v>40695</v>
      </c>
      <c r="K29" s="537" t="s">
        <v>2327</v>
      </c>
      <c r="L29" s="538" t="b">
        <v>0</v>
      </c>
      <c r="M29" s="240">
        <f t="shared" si="3"/>
        <v>0</v>
      </c>
      <c r="N29" s="241">
        <f t="shared" si="0"/>
        <v>1</v>
      </c>
      <c r="O29" s="242">
        <f t="shared" ca="1" si="4"/>
        <v>0</v>
      </c>
      <c r="P29" s="242">
        <f t="shared" ca="1" si="5"/>
        <v>0</v>
      </c>
      <c r="Q29" s="243">
        <f t="shared" ca="1" si="9"/>
        <v>0</v>
      </c>
      <c r="R29" s="243">
        <f t="shared" ca="1" si="6"/>
        <v>0</v>
      </c>
      <c r="S29" s="245">
        <f t="shared" ca="1" si="7"/>
        <v>0</v>
      </c>
      <c r="T29" s="425">
        <f t="shared" ca="1" si="2"/>
        <v>0</v>
      </c>
    </row>
    <row r="30" spans="1:20" ht="26.4">
      <c r="A30" s="246">
        <f t="shared" si="8"/>
        <v>20</v>
      </c>
      <c r="B30" s="530">
        <v>20030</v>
      </c>
      <c r="C30" s="531">
        <v>239</v>
      </c>
      <c r="D30" s="531">
        <v>10305</v>
      </c>
      <c r="E30" s="532">
        <v>138</v>
      </c>
      <c r="F30" s="532" t="s">
        <v>2325</v>
      </c>
      <c r="G30" s="533">
        <v>1</v>
      </c>
      <c r="H30" s="534">
        <f>2168934.49+1273772.37</f>
        <v>3442706.8600000003</v>
      </c>
      <c r="I30" s="535" t="s">
        <v>2349</v>
      </c>
      <c r="J30" s="536">
        <v>40969</v>
      </c>
      <c r="K30" s="537" t="s">
        <v>2327</v>
      </c>
      <c r="L30" s="538" t="b">
        <v>1</v>
      </c>
      <c r="M30" s="240">
        <f t="shared" si="3"/>
        <v>1736</v>
      </c>
      <c r="N30" s="241">
        <f t="shared" si="0"/>
        <v>1</v>
      </c>
      <c r="O30" s="242">
        <f t="shared" ca="1" si="4"/>
        <v>3442706.8600000003</v>
      </c>
      <c r="P30" s="242">
        <f t="shared" ca="1" si="5"/>
        <v>449959.71154581051</v>
      </c>
      <c r="Q30" s="243">
        <f t="shared" ca="1" si="9"/>
        <v>2992747.1484541898</v>
      </c>
      <c r="R30" s="243">
        <f t="shared" ca="1" si="6"/>
        <v>3442706.8600000003</v>
      </c>
      <c r="S30" s="245">
        <f t="shared" ca="1" si="7"/>
        <v>2992747.1484541898</v>
      </c>
      <c r="T30" s="425">
        <f t="shared" ca="1" si="2"/>
        <v>583080.04014420754</v>
      </c>
    </row>
    <row r="31" spans="1:20" ht="26.4">
      <c r="A31" s="246">
        <f t="shared" si="8"/>
        <v>21</v>
      </c>
      <c r="B31" s="530">
        <v>20003</v>
      </c>
      <c r="C31" s="531">
        <v>240</v>
      </c>
      <c r="D31" s="531">
        <v>10306</v>
      </c>
      <c r="E31" s="532">
        <v>69</v>
      </c>
      <c r="F31" s="532" t="s">
        <v>2325</v>
      </c>
      <c r="G31" s="533">
        <v>1</v>
      </c>
      <c r="H31" s="534">
        <v>1451222</v>
      </c>
      <c r="I31" s="535" t="s">
        <v>2350</v>
      </c>
      <c r="J31" s="536">
        <v>39965</v>
      </c>
      <c r="K31" s="537" t="s">
        <v>2327</v>
      </c>
      <c r="L31" s="538" t="b">
        <v>1</v>
      </c>
      <c r="M31" s="240">
        <f t="shared" si="3"/>
        <v>2740</v>
      </c>
      <c r="N31" s="241">
        <f t="shared" si="0"/>
        <v>1</v>
      </c>
      <c r="O31" s="242">
        <f t="shared" ca="1" si="4"/>
        <v>1451222</v>
      </c>
      <c r="P31" s="242">
        <f t="shared" ca="1" si="5"/>
        <v>299370.00201205484</v>
      </c>
      <c r="Q31" s="243">
        <f t="shared" ca="1" si="9"/>
        <v>1151851.9979879451</v>
      </c>
      <c r="R31" s="243">
        <f t="shared" ca="1" si="6"/>
        <v>1451222</v>
      </c>
      <c r="S31" s="245">
        <f t="shared" ca="1" si="7"/>
        <v>1151851.9979879451</v>
      </c>
      <c r="T31" s="425">
        <f t="shared" ca="1" si="2"/>
        <v>224416.52298420938</v>
      </c>
    </row>
    <row r="32" spans="1:20" ht="26.4">
      <c r="A32" s="246">
        <f t="shared" si="8"/>
        <v>22</v>
      </c>
      <c r="B32" s="530">
        <v>20003</v>
      </c>
      <c r="C32" s="531">
        <v>241</v>
      </c>
      <c r="D32" s="531">
        <v>10307</v>
      </c>
      <c r="E32" s="532">
        <v>138</v>
      </c>
      <c r="F32" s="532" t="s">
        <v>2325</v>
      </c>
      <c r="G32" s="533">
        <v>1</v>
      </c>
      <c r="H32" s="534"/>
      <c r="I32" s="535" t="s">
        <v>2351</v>
      </c>
      <c r="J32" s="536">
        <v>42181</v>
      </c>
      <c r="K32" s="537" t="s">
        <v>2338</v>
      </c>
      <c r="L32" s="538" t="b">
        <v>0</v>
      </c>
      <c r="M32" s="240">
        <f t="shared" si="3"/>
        <v>0</v>
      </c>
      <c r="N32" s="241">
        <f t="shared" si="0"/>
        <v>1</v>
      </c>
      <c r="O32" s="242">
        <f t="shared" ca="1" si="4"/>
        <v>0</v>
      </c>
      <c r="P32" s="242">
        <f t="shared" ca="1" si="5"/>
        <v>0</v>
      </c>
      <c r="Q32" s="243">
        <f t="shared" ca="1" si="9"/>
        <v>0</v>
      </c>
      <c r="R32" s="243">
        <f t="shared" ca="1" si="6"/>
        <v>0</v>
      </c>
      <c r="S32" s="245">
        <f t="shared" ca="1" si="7"/>
        <v>0</v>
      </c>
      <c r="T32" s="425">
        <f t="shared" ca="1" si="2"/>
        <v>0</v>
      </c>
    </row>
    <row r="33" spans="1:20" ht="39.6">
      <c r="A33" s="246">
        <f t="shared" si="8"/>
        <v>23</v>
      </c>
      <c r="B33" s="530">
        <v>20003</v>
      </c>
      <c r="C33" s="531">
        <v>242</v>
      </c>
      <c r="D33" s="531">
        <v>10308</v>
      </c>
      <c r="E33" s="532">
        <v>69</v>
      </c>
      <c r="F33" s="532" t="s">
        <v>2325</v>
      </c>
      <c r="G33" s="533">
        <v>1</v>
      </c>
      <c r="H33" s="534"/>
      <c r="I33" s="535" t="s">
        <v>2352</v>
      </c>
      <c r="J33" s="536">
        <v>42340</v>
      </c>
      <c r="K33" s="537" t="s">
        <v>2443</v>
      </c>
      <c r="L33" s="538" t="b">
        <v>0</v>
      </c>
      <c r="M33" s="240">
        <f t="shared" si="3"/>
        <v>0</v>
      </c>
      <c r="N33" s="241">
        <f t="shared" si="0"/>
        <v>1</v>
      </c>
      <c r="O33" s="242">
        <f t="shared" ca="1" si="4"/>
        <v>0</v>
      </c>
      <c r="P33" s="242">
        <f t="shared" ca="1" si="5"/>
        <v>0</v>
      </c>
      <c r="Q33" s="243">
        <f t="shared" ca="1" si="9"/>
        <v>0</v>
      </c>
      <c r="R33" s="243">
        <f t="shared" ca="1" si="6"/>
        <v>0</v>
      </c>
      <c r="S33" s="245">
        <f t="shared" ca="1" si="7"/>
        <v>0</v>
      </c>
      <c r="T33" s="425">
        <f t="shared" ca="1" si="2"/>
        <v>0</v>
      </c>
    </row>
    <row r="34" spans="1:20">
      <c r="A34" s="246">
        <f t="shared" si="8"/>
        <v>24</v>
      </c>
      <c r="B34" s="530">
        <v>20003</v>
      </c>
      <c r="C34" s="531">
        <v>243</v>
      </c>
      <c r="D34" s="531">
        <v>10309</v>
      </c>
      <c r="E34" s="532">
        <v>138</v>
      </c>
      <c r="F34" s="532" t="s">
        <v>2325</v>
      </c>
      <c r="G34" s="533">
        <v>1</v>
      </c>
      <c r="H34" s="534">
        <v>197188.06</v>
      </c>
      <c r="I34" s="535" t="s">
        <v>2353</v>
      </c>
      <c r="J34" s="536">
        <v>41572</v>
      </c>
      <c r="K34" s="537" t="s">
        <v>2327</v>
      </c>
      <c r="L34" s="538" t="b">
        <v>1</v>
      </c>
      <c r="M34" s="240">
        <f t="shared" si="3"/>
        <v>1133</v>
      </c>
      <c r="N34" s="241">
        <f t="shared" si="0"/>
        <v>1</v>
      </c>
      <c r="O34" s="242">
        <f t="shared" ca="1" si="4"/>
        <v>197188.06</v>
      </c>
      <c r="P34" s="242">
        <f t="shared" ca="1" si="5"/>
        <v>16820.325200028496</v>
      </c>
      <c r="Q34" s="243">
        <f t="shared" ca="1" si="9"/>
        <v>180367.73479997151</v>
      </c>
      <c r="R34" s="243">
        <f t="shared" ca="1" si="6"/>
        <v>197188.06</v>
      </c>
      <c r="S34" s="245">
        <f t="shared" ca="1" si="7"/>
        <v>180367.73479997151</v>
      </c>
      <c r="T34" s="425">
        <f t="shared" ca="1" si="2"/>
        <v>35141.23339895549</v>
      </c>
    </row>
    <row r="35" spans="1:20" ht="26.4">
      <c r="A35" s="246">
        <f t="shared" si="8"/>
        <v>25</v>
      </c>
      <c r="B35" s="530">
        <v>20003</v>
      </c>
      <c r="C35" s="531">
        <v>243</v>
      </c>
      <c r="D35" s="531">
        <v>10310</v>
      </c>
      <c r="E35" s="532">
        <v>138</v>
      </c>
      <c r="F35" s="532" t="s">
        <v>2325</v>
      </c>
      <c r="G35" s="533">
        <v>1</v>
      </c>
      <c r="H35" s="534">
        <v>369739.68</v>
      </c>
      <c r="I35" s="535" t="s">
        <v>2354</v>
      </c>
      <c r="J35" s="536">
        <v>41562</v>
      </c>
      <c r="K35" s="537" t="s">
        <v>2327</v>
      </c>
      <c r="L35" s="538" t="b">
        <v>1</v>
      </c>
      <c r="M35" s="240">
        <f t="shared" si="3"/>
        <v>1143</v>
      </c>
      <c r="N35" s="241">
        <f t="shared" si="0"/>
        <v>1</v>
      </c>
      <c r="O35" s="242">
        <f t="shared" ca="1" si="4"/>
        <v>369739.68</v>
      </c>
      <c r="P35" s="242">
        <f t="shared" ca="1" si="5"/>
        <v>31817.507513740275</v>
      </c>
      <c r="Q35" s="243">
        <f t="shared" ca="1" si="9"/>
        <v>337922.17248625972</v>
      </c>
      <c r="R35" s="243">
        <f t="shared" ca="1" si="6"/>
        <v>369739.68</v>
      </c>
      <c r="S35" s="245">
        <f t="shared" ca="1" si="7"/>
        <v>337922.17248625972</v>
      </c>
      <c r="T35" s="425">
        <f t="shared" ca="1" si="2"/>
        <v>65837.728389676617</v>
      </c>
    </row>
    <row r="36" spans="1:20" ht="26.4">
      <c r="A36" s="246">
        <f t="shared" si="8"/>
        <v>26</v>
      </c>
      <c r="B36" s="530">
        <v>20003</v>
      </c>
      <c r="C36" s="531">
        <v>243</v>
      </c>
      <c r="D36" s="531">
        <v>10311</v>
      </c>
      <c r="E36" s="532">
        <v>69</v>
      </c>
      <c r="F36" s="532" t="s">
        <v>2325</v>
      </c>
      <c r="G36" s="533">
        <v>1</v>
      </c>
      <c r="H36" s="534">
        <v>3469398.86</v>
      </c>
      <c r="I36" s="535" t="s">
        <v>2355</v>
      </c>
      <c r="J36" s="536">
        <v>41578</v>
      </c>
      <c r="K36" s="537" t="s">
        <v>2327</v>
      </c>
      <c r="L36" s="538" t="b">
        <v>1</v>
      </c>
      <c r="M36" s="240">
        <f t="shared" si="3"/>
        <v>1127</v>
      </c>
      <c r="N36" s="241">
        <f t="shared" si="0"/>
        <v>1</v>
      </c>
      <c r="O36" s="242">
        <f t="shared" ca="1" si="4"/>
        <v>3469398.86</v>
      </c>
      <c r="P36" s="242">
        <f t="shared" ca="1" si="5"/>
        <v>294375.73676231672</v>
      </c>
      <c r="Q36" s="243">
        <f t="shared" ca="1" si="9"/>
        <v>3175023.123237683</v>
      </c>
      <c r="R36" s="243">
        <f t="shared" ca="1" si="6"/>
        <v>3469398.86</v>
      </c>
      <c r="S36" s="245">
        <f t="shared" ca="1" si="7"/>
        <v>3175023.123237683</v>
      </c>
      <c r="T36" s="425">
        <f t="shared" ca="1" si="2"/>
        <v>618593.05792420288</v>
      </c>
    </row>
    <row r="37" spans="1:20" ht="26.4">
      <c r="A37" s="246">
        <f t="shared" si="8"/>
        <v>27</v>
      </c>
      <c r="B37" s="530">
        <v>20003</v>
      </c>
      <c r="C37" s="531">
        <v>244</v>
      </c>
      <c r="D37" s="531">
        <v>10312</v>
      </c>
      <c r="E37" s="532">
        <v>69</v>
      </c>
      <c r="F37" s="532" t="s">
        <v>2325</v>
      </c>
      <c r="G37" s="539">
        <v>1</v>
      </c>
      <c r="H37" s="534">
        <v>300053.3</v>
      </c>
      <c r="I37" s="535" t="s">
        <v>2356</v>
      </c>
      <c r="J37" s="536">
        <v>39600</v>
      </c>
      <c r="K37" s="537" t="s">
        <v>2327</v>
      </c>
      <c r="L37" s="538" t="b">
        <v>1</v>
      </c>
      <c r="M37" s="240">
        <f t="shared" si="3"/>
        <v>3105</v>
      </c>
      <c r="N37" s="241">
        <f t="shared" si="0"/>
        <v>1</v>
      </c>
      <c r="O37" s="242">
        <f t="shared" ca="1" si="4"/>
        <v>300053.3</v>
      </c>
      <c r="P37" s="242">
        <f t="shared" ca="1" si="5"/>
        <v>70142.925599506852</v>
      </c>
      <c r="Q37" s="243">
        <f t="shared" ca="1" si="9"/>
        <v>229910.37440049314</v>
      </c>
      <c r="R37" s="243">
        <f t="shared" ca="1" si="6"/>
        <v>300053.3</v>
      </c>
      <c r="S37" s="245">
        <f t="shared" ca="1" si="7"/>
        <v>229910.37440049314</v>
      </c>
      <c r="T37" s="425">
        <f t="shared" ca="1" si="2"/>
        <v>44793.677409149605</v>
      </c>
    </row>
    <row r="38" spans="1:20">
      <c r="A38" s="246">
        <f t="shared" si="8"/>
        <v>28</v>
      </c>
      <c r="B38" s="530">
        <v>20003</v>
      </c>
      <c r="C38" s="531">
        <v>311</v>
      </c>
      <c r="D38" s="531">
        <v>10401</v>
      </c>
      <c r="E38" s="532">
        <v>138</v>
      </c>
      <c r="F38" s="532" t="s">
        <v>2325</v>
      </c>
      <c r="G38" s="539">
        <v>1</v>
      </c>
      <c r="H38" s="534">
        <f>1287418.11+72611.9</f>
        <v>1360030.01</v>
      </c>
      <c r="I38" s="535" t="s">
        <v>2357</v>
      </c>
      <c r="J38" s="536">
        <v>42090</v>
      </c>
      <c r="K38" s="537" t="s">
        <v>2327</v>
      </c>
      <c r="L38" s="538" t="b">
        <v>1</v>
      </c>
      <c r="M38" s="240">
        <f t="shared" si="3"/>
        <v>615</v>
      </c>
      <c r="N38" s="241">
        <f t="shared" si="0"/>
        <v>1</v>
      </c>
      <c r="O38" s="242">
        <f t="shared" ca="1" si="4"/>
        <v>1360030.01</v>
      </c>
      <c r="P38" s="242">
        <f t="shared" ca="1" si="5"/>
        <v>62971.997739731516</v>
      </c>
      <c r="Q38" s="243">
        <f t="shared" ca="1" si="9"/>
        <v>1297058.0122602684</v>
      </c>
      <c r="R38" s="243">
        <f t="shared" ca="1" si="6"/>
        <v>1360030.01</v>
      </c>
      <c r="S38" s="245">
        <f t="shared" ca="1" si="7"/>
        <v>1297058.0122602684</v>
      </c>
      <c r="T38" s="425">
        <f t="shared" ca="1" si="2"/>
        <v>252707.16179571694</v>
      </c>
    </row>
    <row r="39" spans="1:20">
      <c r="A39" s="246">
        <f t="shared" si="8"/>
        <v>29</v>
      </c>
      <c r="B39" s="530">
        <v>20003</v>
      </c>
      <c r="C39" s="531">
        <v>311</v>
      </c>
      <c r="D39" s="531">
        <v>10402</v>
      </c>
      <c r="E39" s="532">
        <v>138</v>
      </c>
      <c r="F39" s="532" t="s">
        <v>2325</v>
      </c>
      <c r="G39" s="539">
        <v>1</v>
      </c>
      <c r="H39" s="534">
        <v>1883183</v>
      </c>
      <c r="I39" s="535" t="s">
        <v>2358</v>
      </c>
      <c r="J39" s="536">
        <v>42090</v>
      </c>
      <c r="K39" s="537" t="s">
        <v>2327</v>
      </c>
      <c r="L39" s="538" t="b">
        <v>1</v>
      </c>
      <c r="M39" s="240">
        <f t="shared" si="3"/>
        <v>615</v>
      </c>
      <c r="N39" s="241">
        <f t="shared" si="0"/>
        <v>1</v>
      </c>
      <c r="O39" s="242">
        <f t="shared" ca="1" si="4"/>
        <v>1883183</v>
      </c>
      <c r="P39" s="242">
        <f t="shared" ca="1" si="5"/>
        <v>87194.984483835622</v>
      </c>
      <c r="Q39" s="243">
        <f t="shared" ca="1" si="9"/>
        <v>1795988.0155161645</v>
      </c>
      <c r="R39" s="243">
        <f t="shared" ca="1" si="6"/>
        <v>1883183</v>
      </c>
      <c r="S39" s="245">
        <f t="shared" ca="1" si="7"/>
        <v>1795988.0155161645</v>
      </c>
      <c r="T39" s="425">
        <f t="shared" ca="1" si="2"/>
        <v>349914.21334294206</v>
      </c>
    </row>
    <row r="40" spans="1:20">
      <c r="A40" s="246">
        <f t="shared" si="8"/>
        <v>30</v>
      </c>
      <c r="B40" s="530">
        <v>20003</v>
      </c>
      <c r="C40" s="531">
        <v>311</v>
      </c>
      <c r="D40" s="531">
        <v>10403</v>
      </c>
      <c r="E40" s="532">
        <v>138</v>
      </c>
      <c r="F40" s="532" t="s">
        <v>2325</v>
      </c>
      <c r="G40" s="539">
        <v>1</v>
      </c>
      <c r="H40" s="534">
        <v>1274125</v>
      </c>
      <c r="I40" s="535" t="s">
        <v>2359</v>
      </c>
      <c r="J40" s="536">
        <v>42090</v>
      </c>
      <c r="K40" s="537" t="s">
        <v>2327</v>
      </c>
      <c r="L40" s="538" t="b">
        <v>1</v>
      </c>
      <c r="M40" s="240">
        <f t="shared" si="3"/>
        <v>615</v>
      </c>
      <c r="N40" s="241">
        <f t="shared" si="0"/>
        <v>1</v>
      </c>
      <c r="O40" s="242">
        <f t="shared" ca="1" si="4"/>
        <v>1274125</v>
      </c>
      <c r="P40" s="242">
        <f t="shared" ca="1" si="5"/>
        <v>58994.431027397266</v>
      </c>
      <c r="Q40" s="243">
        <f t="shared" ca="1" si="9"/>
        <v>1215130.5689726027</v>
      </c>
      <c r="R40" s="243">
        <f t="shared" ca="1" si="6"/>
        <v>1274125</v>
      </c>
      <c r="S40" s="245">
        <f t="shared" ca="1" si="7"/>
        <v>1215130.5689726027</v>
      </c>
      <c r="T40" s="425">
        <f t="shared" ca="1" si="2"/>
        <v>236745.15279480329</v>
      </c>
    </row>
    <row r="41" spans="1:20">
      <c r="A41" s="246">
        <f t="shared" si="8"/>
        <v>31</v>
      </c>
      <c r="B41" s="530">
        <v>20003</v>
      </c>
      <c r="C41" s="531">
        <v>312</v>
      </c>
      <c r="D41" s="531">
        <v>10404</v>
      </c>
      <c r="E41" s="532">
        <v>69</v>
      </c>
      <c r="F41" s="532" t="s">
        <v>2325</v>
      </c>
      <c r="G41" s="539">
        <v>1</v>
      </c>
      <c r="H41" s="534"/>
      <c r="I41" s="535" t="s">
        <v>2360</v>
      </c>
      <c r="J41" s="536">
        <v>39600</v>
      </c>
      <c r="K41" s="537" t="s">
        <v>2327</v>
      </c>
      <c r="L41" s="538" t="b">
        <v>0</v>
      </c>
      <c r="M41" s="240">
        <f t="shared" si="3"/>
        <v>0</v>
      </c>
      <c r="N41" s="241">
        <f t="shared" si="0"/>
        <v>1</v>
      </c>
      <c r="O41" s="242">
        <f t="shared" ca="1" si="4"/>
        <v>0</v>
      </c>
      <c r="P41" s="242">
        <f t="shared" ca="1" si="5"/>
        <v>0</v>
      </c>
      <c r="Q41" s="243">
        <f t="shared" ca="1" si="9"/>
        <v>0</v>
      </c>
      <c r="R41" s="243">
        <f t="shared" ca="1" si="6"/>
        <v>0</v>
      </c>
      <c r="S41" s="245">
        <f t="shared" ca="1" si="7"/>
        <v>0</v>
      </c>
      <c r="T41" s="425">
        <f t="shared" ca="1" si="2"/>
        <v>0</v>
      </c>
    </row>
    <row r="42" spans="1:20" ht="26.4">
      <c r="A42" s="246">
        <f t="shared" si="8"/>
        <v>32</v>
      </c>
      <c r="B42" s="530">
        <v>20003</v>
      </c>
      <c r="C42" s="531">
        <v>356</v>
      </c>
      <c r="D42" s="531">
        <v>10466</v>
      </c>
      <c r="E42" s="532">
        <v>69</v>
      </c>
      <c r="F42" s="532" t="s">
        <v>2325</v>
      </c>
      <c r="G42" s="539">
        <v>1</v>
      </c>
      <c r="H42" s="534">
        <v>1451222</v>
      </c>
      <c r="I42" s="535" t="s">
        <v>2361</v>
      </c>
      <c r="J42" s="536">
        <v>39965</v>
      </c>
      <c r="K42" s="537" t="s">
        <v>2327</v>
      </c>
      <c r="L42" s="538" t="b">
        <v>1</v>
      </c>
      <c r="M42" s="240">
        <f t="shared" si="3"/>
        <v>2740</v>
      </c>
      <c r="N42" s="241">
        <f t="shared" si="0"/>
        <v>1</v>
      </c>
      <c r="O42" s="242">
        <f t="shared" ca="1" si="4"/>
        <v>1451222</v>
      </c>
      <c r="P42" s="242">
        <f t="shared" ca="1" si="5"/>
        <v>299370.00201205484</v>
      </c>
      <c r="Q42" s="243">
        <f t="shared" ca="1" si="9"/>
        <v>1151851.9979879451</v>
      </c>
      <c r="R42" s="243">
        <f t="shared" ca="1" si="6"/>
        <v>1451222</v>
      </c>
      <c r="S42" s="245">
        <f t="shared" ca="1" si="7"/>
        <v>1151851.9979879451</v>
      </c>
      <c r="T42" s="425">
        <f t="shared" ca="1" si="2"/>
        <v>224416.52298420938</v>
      </c>
    </row>
    <row r="43" spans="1:20" ht="26.4">
      <c r="A43" s="246">
        <f t="shared" si="8"/>
        <v>33</v>
      </c>
      <c r="B43" s="530">
        <v>19951</v>
      </c>
      <c r="C43" s="531">
        <v>357</v>
      </c>
      <c r="D43" s="531">
        <v>10467</v>
      </c>
      <c r="E43" s="532">
        <v>69</v>
      </c>
      <c r="F43" s="532" t="s">
        <v>2325</v>
      </c>
      <c r="G43" s="539">
        <v>1</v>
      </c>
      <c r="H43" s="534">
        <v>4560168</v>
      </c>
      <c r="I43" s="535" t="s">
        <v>2362</v>
      </c>
      <c r="J43" s="536">
        <v>41247</v>
      </c>
      <c r="K43" s="537" t="s">
        <v>2327</v>
      </c>
      <c r="L43" s="538" t="b">
        <v>1</v>
      </c>
      <c r="M43" s="240">
        <f t="shared" ref="M43:M74" si="10">IF(L43,$E$174-J43-30,0)</f>
        <v>1458</v>
      </c>
      <c r="N43" s="241">
        <f t="shared" ref="N43:N74" si="11">G43</f>
        <v>1</v>
      </c>
      <c r="O43" s="242">
        <f t="shared" ca="1" si="4"/>
        <v>4560168</v>
      </c>
      <c r="P43" s="242">
        <f t="shared" ref="P43:P74" ca="1" si="12">$E$175/365*M43*O43</f>
        <v>500567.01770169864</v>
      </c>
      <c r="Q43" s="243">
        <f t="shared" ca="1" si="9"/>
        <v>4059600.9822983015</v>
      </c>
      <c r="R43" s="243">
        <f t="shared" ca="1" si="6"/>
        <v>4560168</v>
      </c>
      <c r="S43" s="245">
        <f t="shared" ca="1" si="7"/>
        <v>4059600.9822983015</v>
      </c>
      <c r="T43" s="425">
        <f t="shared" ref="T43:T74" ca="1" si="13">S43*$E$179</f>
        <v>790936.28238877293</v>
      </c>
    </row>
    <row r="44" spans="1:20">
      <c r="A44" s="246">
        <f t="shared" si="8"/>
        <v>34</v>
      </c>
      <c r="B44" s="530">
        <v>20003</v>
      </c>
      <c r="C44" s="531">
        <v>358</v>
      </c>
      <c r="D44" s="531">
        <v>10468</v>
      </c>
      <c r="E44" s="532">
        <v>138</v>
      </c>
      <c r="F44" s="532" t="s">
        <v>2325</v>
      </c>
      <c r="G44" s="533">
        <v>1</v>
      </c>
      <c r="H44" s="534">
        <v>19332.95</v>
      </c>
      <c r="I44" s="535" t="s">
        <v>2363</v>
      </c>
      <c r="J44" s="536">
        <v>39234</v>
      </c>
      <c r="K44" s="537" t="s">
        <v>2327</v>
      </c>
      <c r="L44" s="538" t="b">
        <v>1</v>
      </c>
      <c r="M44" s="240">
        <f t="shared" si="10"/>
        <v>3471</v>
      </c>
      <c r="N44" s="241">
        <f t="shared" si="11"/>
        <v>1</v>
      </c>
      <c r="O44" s="242">
        <f t="shared" ca="1" si="4"/>
        <v>19332.95</v>
      </c>
      <c r="P44" s="242">
        <f t="shared" ca="1" si="12"/>
        <v>5052.1542917424667</v>
      </c>
      <c r="Q44" s="243">
        <f t="shared" ca="1" si="9"/>
        <v>14280.795708257534</v>
      </c>
      <c r="R44" s="243">
        <f t="shared" ca="1" si="6"/>
        <v>19332.95</v>
      </c>
      <c r="S44" s="245">
        <f t="shared" ca="1" si="7"/>
        <v>14280.795708257534</v>
      </c>
      <c r="T44" s="425">
        <f t="shared" ca="1" si="13"/>
        <v>2782.342283464543</v>
      </c>
    </row>
    <row r="45" spans="1:20">
      <c r="A45" s="246">
        <f t="shared" si="8"/>
        <v>35</v>
      </c>
      <c r="B45" s="530">
        <v>20003</v>
      </c>
      <c r="C45" s="531">
        <v>360</v>
      </c>
      <c r="D45" s="531">
        <v>10470</v>
      </c>
      <c r="E45" s="532">
        <v>138</v>
      </c>
      <c r="F45" s="532" t="s">
        <v>2325</v>
      </c>
      <c r="G45" s="533">
        <v>1</v>
      </c>
      <c r="H45" s="534"/>
      <c r="I45" s="535" t="s">
        <v>2364</v>
      </c>
      <c r="J45" s="536">
        <v>39083</v>
      </c>
      <c r="K45" s="537" t="s">
        <v>2327</v>
      </c>
      <c r="L45" s="538" t="b">
        <v>0</v>
      </c>
      <c r="M45" s="240">
        <f t="shared" si="10"/>
        <v>0</v>
      </c>
      <c r="N45" s="241">
        <f t="shared" si="11"/>
        <v>1</v>
      </c>
      <c r="O45" s="242">
        <f t="shared" ca="1" si="4"/>
        <v>0</v>
      </c>
      <c r="P45" s="242">
        <f t="shared" ca="1" si="12"/>
        <v>0</v>
      </c>
      <c r="Q45" s="243">
        <f t="shared" ca="1" si="9"/>
        <v>0</v>
      </c>
      <c r="R45" s="243">
        <f t="shared" ca="1" si="6"/>
        <v>0</v>
      </c>
      <c r="S45" s="245">
        <f t="shared" ca="1" si="7"/>
        <v>0</v>
      </c>
      <c r="T45" s="425">
        <f t="shared" ca="1" si="13"/>
        <v>0</v>
      </c>
    </row>
    <row r="46" spans="1:20" ht="26.4">
      <c r="A46" s="246">
        <f t="shared" si="8"/>
        <v>36</v>
      </c>
      <c r="B46" s="530">
        <v>20003</v>
      </c>
      <c r="C46" s="531">
        <v>361</v>
      </c>
      <c r="D46" s="531">
        <v>10471</v>
      </c>
      <c r="E46" s="532">
        <v>69</v>
      </c>
      <c r="F46" s="532" t="s">
        <v>2325</v>
      </c>
      <c r="G46" s="533">
        <v>1</v>
      </c>
      <c r="H46" s="534">
        <v>2466630</v>
      </c>
      <c r="I46" s="535" t="s">
        <v>2365</v>
      </c>
      <c r="J46" s="536">
        <v>42272</v>
      </c>
      <c r="K46" s="537" t="s">
        <v>2344</v>
      </c>
      <c r="L46" s="538" t="b">
        <v>1</v>
      </c>
      <c r="M46" s="240">
        <f t="shared" si="10"/>
        <v>433</v>
      </c>
      <c r="N46" s="241">
        <f t="shared" si="11"/>
        <v>1</v>
      </c>
      <c r="O46" s="242">
        <f t="shared" ca="1" si="4"/>
        <v>2466630</v>
      </c>
      <c r="P46" s="242">
        <f t="shared" ca="1" si="12"/>
        <v>80411.056737534265</v>
      </c>
      <c r="Q46" s="243">
        <f t="shared" ca="1" si="9"/>
        <v>2386218.9432624658</v>
      </c>
      <c r="R46" s="243">
        <f t="shared" ca="1" si="6"/>
        <v>2466630</v>
      </c>
      <c r="S46" s="245">
        <f t="shared" ca="1" si="7"/>
        <v>2386218.9432624658</v>
      </c>
      <c r="T46" s="425">
        <f t="shared" ca="1" si="13"/>
        <v>464909.51898459211</v>
      </c>
    </row>
    <row r="47" spans="1:20" ht="26.4">
      <c r="A47" s="246">
        <f t="shared" si="8"/>
        <v>37</v>
      </c>
      <c r="B47" s="530">
        <v>20003</v>
      </c>
      <c r="C47" s="531">
        <v>399</v>
      </c>
      <c r="D47" s="531">
        <v>10519</v>
      </c>
      <c r="E47" s="532">
        <v>69</v>
      </c>
      <c r="F47" s="532" t="s">
        <v>2325</v>
      </c>
      <c r="G47" s="533">
        <v>1</v>
      </c>
      <c r="H47" s="534">
        <v>1609327.49</v>
      </c>
      <c r="I47" s="535" t="s">
        <v>2366</v>
      </c>
      <c r="J47" s="536">
        <v>42076</v>
      </c>
      <c r="K47" s="537" t="s">
        <v>2344</v>
      </c>
      <c r="L47" s="538" t="b">
        <v>1</v>
      </c>
      <c r="M47" s="240">
        <f t="shared" si="10"/>
        <v>629</v>
      </c>
      <c r="N47" s="241">
        <f t="shared" si="11"/>
        <v>1</v>
      </c>
      <c r="O47" s="242">
        <f t="shared" ca="1" si="4"/>
        <v>1609327.49</v>
      </c>
      <c r="P47" s="242">
        <f t="shared" ca="1" si="12"/>
        <v>76211.224434111791</v>
      </c>
      <c r="Q47" s="243">
        <f t="shared" ca="1" si="9"/>
        <v>1533116.2655658883</v>
      </c>
      <c r="R47" s="243">
        <f t="shared" ca="1" si="6"/>
        <v>1609327.49</v>
      </c>
      <c r="S47" s="245">
        <f t="shared" ca="1" si="7"/>
        <v>1533116.2655658883</v>
      </c>
      <c r="T47" s="425">
        <f t="shared" ca="1" si="13"/>
        <v>298698.63684729498</v>
      </c>
    </row>
    <row r="48" spans="1:20">
      <c r="A48" s="246">
        <f t="shared" si="8"/>
        <v>38</v>
      </c>
      <c r="B48" s="530">
        <v>20003</v>
      </c>
      <c r="C48" s="531">
        <v>400</v>
      </c>
      <c r="D48" s="531">
        <v>10520</v>
      </c>
      <c r="E48" s="532">
        <v>138</v>
      </c>
      <c r="F48" s="532" t="s">
        <v>2325</v>
      </c>
      <c r="G48" s="533">
        <v>1</v>
      </c>
      <c r="H48" s="534"/>
      <c r="I48" s="535" t="s">
        <v>2367</v>
      </c>
      <c r="J48" s="536">
        <v>41180</v>
      </c>
      <c r="K48" s="537" t="s">
        <v>2327</v>
      </c>
      <c r="L48" s="538" t="b">
        <v>1</v>
      </c>
      <c r="M48" s="240">
        <f t="shared" si="10"/>
        <v>1525</v>
      </c>
      <c r="N48" s="241">
        <f t="shared" si="11"/>
        <v>1</v>
      </c>
      <c r="O48" s="242">
        <f t="shared" ca="1" si="4"/>
        <v>0</v>
      </c>
      <c r="P48" s="242">
        <f t="shared" ca="1" si="12"/>
        <v>0</v>
      </c>
      <c r="Q48" s="243">
        <f t="shared" ca="1" si="9"/>
        <v>0</v>
      </c>
      <c r="R48" s="243">
        <f t="shared" ca="1" si="6"/>
        <v>0</v>
      </c>
      <c r="S48" s="245">
        <f t="shared" ca="1" si="7"/>
        <v>0</v>
      </c>
      <c r="T48" s="425">
        <f t="shared" ca="1" si="13"/>
        <v>0</v>
      </c>
    </row>
    <row r="49" spans="1:20" ht="26.4">
      <c r="A49" s="246">
        <f t="shared" si="8"/>
        <v>39</v>
      </c>
      <c r="B49" s="530">
        <v>20003</v>
      </c>
      <c r="C49" s="531">
        <v>401</v>
      </c>
      <c r="D49" s="531">
        <v>10521</v>
      </c>
      <c r="E49" s="532">
        <v>138</v>
      </c>
      <c r="F49" s="532" t="s">
        <v>2325</v>
      </c>
      <c r="G49" s="533">
        <v>1</v>
      </c>
      <c r="H49" s="534">
        <v>86643.58</v>
      </c>
      <c r="I49" s="535" t="s">
        <v>2368</v>
      </c>
      <c r="J49" s="536">
        <v>41061</v>
      </c>
      <c r="K49" s="537" t="s">
        <v>2327</v>
      </c>
      <c r="L49" s="538" t="b">
        <v>1</v>
      </c>
      <c r="M49" s="240">
        <f t="shared" si="10"/>
        <v>1644</v>
      </c>
      <c r="N49" s="241">
        <f t="shared" si="11"/>
        <v>1</v>
      </c>
      <c r="O49" s="242">
        <f t="shared" ca="1" si="4"/>
        <v>86643.58</v>
      </c>
      <c r="P49" s="242">
        <f t="shared" ca="1" si="12"/>
        <v>10724.129892848221</v>
      </c>
      <c r="Q49" s="243">
        <f t="shared" ca="1" si="9"/>
        <v>75919.450107151788</v>
      </c>
      <c r="R49" s="243">
        <f t="shared" ca="1" si="6"/>
        <v>86643.58</v>
      </c>
      <c r="S49" s="245">
        <f t="shared" ca="1" si="7"/>
        <v>75919.450107151788</v>
      </c>
      <c r="T49" s="425">
        <f t="shared" ca="1" si="13"/>
        <v>14791.465439727852</v>
      </c>
    </row>
    <row r="50" spans="1:20" ht="26.4">
      <c r="A50" s="246">
        <f t="shared" si="8"/>
        <v>40</v>
      </c>
      <c r="B50" s="530">
        <v>20003</v>
      </c>
      <c r="C50" s="531">
        <v>402</v>
      </c>
      <c r="D50" s="531">
        <v>10522</v>
      </c>
      <c r="E50" s="532">
        <v>138</v>
      </c>
      <c r="F50" s="532" t="s">
        <v>2325</v>
      </c>
      <c r="G50" s="533">
        <v>1</v>
      </c>
      <c r="H50" s="534">
        <v>5443496</v>
      </c>
      <c r="I50" s="535" t="s">
        <v>2369</v>
      </c>
      <c r="J50" s="536">
        <v>42094</v>
      </c>
      <c r="K50" s="537" t="s">
        <v>2344</v>
      </c>
      <c r="L50" s="538" t="b">
        <v>1</v>
      </c>
      <c r="M50" s="240">
        <f t="shared" si="10"/>
        <v>611</v>
      </c>
      <c r="N50" s="241">
        <f t="shared" si="11"/>
        <v>1</v>
      </c>
      <c r="O50" s="242">
        <f t="shared" ca="1" si="4"/>
        <v>5443496</v>
      </c>
      <c r="P50" s="242">
        <f t="shared" ca="1" si="12"/>
        <v>250404.99183254797</v>
      </c>
      <c r="Q50" s="243">
        <f t="shared" ca="1" si="9"/>
        <v>5193091.0081674522</v>
      </c>
      <c r="R50" s="243">
        <f t="shared" ca="1" si="6"/>
        <v>5443496</v>
      </c>
      <c r="S50" s="245">
        <f t="shared" ca="1" si="7"/>
        <v>5193091.0081674522</v>
      </c>
      <c r="T50" s="425">
        <f t="shared" ca="1" si="13"/>
        <v>1011775.3232440015</v>
      </c>
    </row>
    <row r="51" spans="1:20">
      <c r="A51" s="246">
        <f t="shared" si="8"/>
        <v>41</v>
      </c>
      <c r="B51" s="530">
        <v>20003</v>
      </c>
      <c r="C51" s="531">
        <v>402</v>
      </c>
      <c r="D51" s="531">
        <v>10523</v>
      </c>
      <c r="E51" s="532">
        <v>138</v>
      </c>
      <c r="F51" s="532" t="s">
        <v>2325</v>
      </c>
      <c r="G51" s="533">
        <v>1</v>
      </c>
      <c r="H51" s="534">
        <v>1478926</v>
      </c>
      <c r="I51" s="535" t="s">
        <v>2370</v>
      </c>
      <c r="J51" s="536">
        <v>42094</v>
      </c>
      <c r="K51" s="537" t="s">
        <v>2344</v>
      </c>
      <c r="L51" s="538" t="b">
        <v>1</v>
      </c>
      <c r="M51" s="240">
        <f t="shared" si="10"/>
        <v>611</v>
      </c>
      <c r="N51" s="241">
        <f t="shared" si="11"/>
        <v>1</v>
      </c>
      <c r="O51" s="242">
        <f t="shared" ca="1" si="4"/>
        <v>1478926</v>
      </c>
      <c r="P51" s="242">
        <f t="shared" ca="1" si="12"/>
        <v>68031.73051857535</v>
      </c>
      <c r="Q51" s="243">
        <f t="shared" ca="1" si="9"/>
        <v>1410894.2694814247</v>
      </c>
      <c r="R51" s="243">
        <f t="shared" ca="1" si="6"/>
        <v>1478926</v>
      </c>
      <c r="S51" s="245">
        <f t="shared" ca="1" si="7"/>
        <v>1410894.2694814247</v>
      </c>
      <c r="T51" s="425">
        <f t="shared" ca="1" si="13"/>
        <v>274885.99820849654</v>
      </c>
    </row>
    <row r="52" spans="1:20" ht="26.4">
      <c r="A52" s="246">
        <f t="shared" si="8"/>
        <v>42</v>
      </c>
      <c r="B52" s="530">
        <v>20003</v>
      </c>
      <c r="C52" s="531">
        <v>402</v>
      </c>
      <c r="D52" s="531">
        <v>10524</v>
      </c>
      <c r="E52" s="532">
        <v>69</v>
      </c>
      <c r="F52" s="532" t="s">
        <v>2325</v>
      </c>
      <c r="G52" s="533">
        <v>1</v>
      </c>
      <c r="H52" s="534">
        <v>4868110</v>
      </c>
      <c r="I52" s="535" t="s">
        <v>2371</v>
      </c>
      <c r="J52" s="536">
        <v>42094</v>
      </c>
      <c r="K52" s="537" t="s">
        <v>2344</v>
      </c>
      <c r="L52" s="538" t="b">
        <v>1</v>
      </c>
      <c r="M52" s="240">
        <f t="shared" si="10"/>
        <v>611</v>
      </c>
      <c r="N52" s="241">
        <f t="shared" si="11"/>
        <v>1</v>
      </c>
      <c r="O52" s="242">
        <f t="shared" ca="1" si="4"/>
        <v>4868110</v>
      </c>
      <c r="P52" s="242">
        <f t="shared" ca="1" si="12"/>
        <v>223936.79444054796</v>
      </c>
      <c r="Q52" s="243">
        <f t="shared" ca="1" si="9"/>
        <v>4644173.2055594521</v>
      </c>
      <c r="R52" s="243">
        <f t="shared" ca="1" si="6"/>
        <v>4868110</v>
      </c>
      <c r="S52" s="245">
        <f t="shared" ca="1" si="7"/>
        <v>4644173.2055594521</v>
      </c>
      <c r="T52" s="425">
        <f t="shared" ca="1" si="13"/>
        <v>904829.09674910305</v>
      </c>
    </row>
    <row r="53" spans="1:20" ht="26.4">
      <c r="A53" s="246">
        <f t="shared" si="8"/>
        <v>43</v>
      </c>
      <c r="B53" s="530">
        <v>20003</v>
      </c>
      <c r="C53" s="531">
        <v>403</v>
      </c>
      <c r="D53" s="531">
        <v>10525</v>
      </c>
      <c r="E53" s="532">
        <v>69</v>
      </c>
      <c r="F53" s="532" t="s">
        <v>2325</v>
      </c>
      <c r="G53" s="533">
        <v>1</v>
      </c>
      <c r="H53" s="534">
        <v>2286815</v>
      </c>
      <c r="I53" s="535" t="s">
        <v>2372</v>
      </c>
      <c r="J53" s="536">
        <v>39965</v>
      </c>
      <c r="K53" s="537" t="s">
        <v>2327</v>
      </c>
      <c r="L53" s="538" t="b">
        <v>1</v>
      </c>
      <c r="M53" s="240">
        <f t="shared" si="10"/>
        <v>2740</v>
      </c>
      <c r="N53" s="241">
        <f t="shared" si="11"/>
        <v>1</v>
      </c>
      <c r="O53" s="242">
        <f t="shared" ca="1" si="4"/>
        <v>2286815</v>
      </c>
      <c r="P53" s="242">
        <f t="shared" ca="1" si="12"/>
        <v>471742.99393972609</v>
      </c>
      <c r="Q53" s="243">
        <f t="shared" ca="1" si="9"/>
        <v>1815072.0060602739</v>
      </c>
      <c r="R53" s="243">
        <f t="shared" ca="1" si="6"/>
        <v>2286815</v>
      </c>
      <c r="S53" s="245">
        <f t="shared" ca="1" si="7"/>
        <v>1815072.0060602739</v>
      </c>
      <c r="T53" s="425">
        <f t="shared" ca="1" si="13"/>
        <v>353632.36707280815</v>
      </c>
    </row>
    <row r="54" spans="1:20" ht="12.6" customHeight="1">
      <c r="A54" s="246">
        <f t="shared" si="8"/>
        <v>44</v>
      </c>
      <c r="B54" s="530">
        <v>20030</v>
      </c>
      <c r="C54" s="531">
        <v>585</v>
      </c>
      <c r="D54" s="531">
        <v>10752</v>
      </c>
      <c r="E54" s="532">
        <v>69</v>
      </c>
      <c r="F54" s="532" t="s">
        <v>2325</v>
      </c>
      <c r="G54" s="533">
        <v>1</v>
      </c>
      <c r="H54" s="534"/>
      <c r="I54" s="535" t="s">
        <v>2373</v>
      </c>
      <c r="J54" s="536">
        <v>39904</v>
      </c>
      <c r="K54" s="537" t="s">
        <v>2327</v>
      </c>
      <c r="L54" s="538" t="b">
        <v>0</v>
      </c>
      <c r="M54" s="240">
        <f t="shared" si="10"/>
        <v>0</v>
      </c>
      <c r="N54" s="241">
        <f t="shared" si="11"/>
        <v>1</v>
      </c>
      <c r="O54" s="242">
        <f t="shared" ca="1" si="4"/>
        <v>0</v>
      </c>
      <c r="P54" s="242">
        <f t="shared" ca="1" si="12"/>
        <v>0</v>
      </c>
      <c r="Q54" s="243">
        <f t="shared" ca="1" si="9"/>
        <v>0</v>
      </c>
      <c r="R54" s="243">
        <f t="shared" ca="1" si="6"/>
        <v>0</v>
      </c>
      <c r="S54" s="245">
        <f t="shared" ca="1" si="7"/>
        <v>0</v>
      </c>
      <c r="T54" s="425">
        <f t="shared" ca="1" si="13"/>
        <v>0</v>
      </c>
    </row>
    <row r="55" spans="1:20" ht="27" customHeight="1">
      <c r="A55" s="246">
        <f t="shared" si="8"/>
        <v>45</v>
      </c>
      <c r="B55" s="530">
        <v>20030</v>
      </c>
      <c r="C55" s="531">
        <v>586</v>
      </c>
      <c r="D55" s="531">
        <v>10753</v>
      </c>
      <c r="E55" s="532">
        <v>69</v>
      </c>
      <c r="F55" s="532" t="s">
        <v>2325</v>
      </c>
      <c r="G55" s="533">
        <v>1</v>
      </c>
      <c r="H55" s="534"/>
      <c r="I55" s="535" t="s">
        <v>2374</v>
      </c>
      <c r="J55" s="536">
        <v>39904</v>
      </c>
      <c r="K55" s="537" t="s">
        <v>2327</v>
      </c>
      <c r="L55" s="538" t="b">
        <v>0</v>
      </c>
      <c r="M55" s="240">
        <f t="shared" si="10"/>
        <v>0</v>
      </c>
      <c r="N55" s="241">
        <f t="shared" si="11"/>
        <v>1</v>
      </c>
      <c r="O55" s="242">
        <f t="shared" ca="1" si="4"/>
        <v>0</v>
      </c>
      <c r="P55" s="242">
        <f t="shared" ca="1" si="12"/>
        <v>0</v>
      </c>
      <c r="Q55" s="243">
        <f t="shared" ca="1" si="9"/>
        <v>0</v>
      </c>
      <c r="R55" s="243">
        <f t="shared" ca="1" si="6"/>
        <v>0</v>
      </c>
      <c r="S55" s="245">
        <f t="shared" ca="1" si="7"/>
        <v>0</v>
      </c>
      <c r="T55" s="425">
        <f t="shared" ca="1" si="13"/>
        <v>0</v>
      </c>
    </row>
    <row r="56" spans="1:20" ht="20.399999999999999" customHeight="1">
      <c r="A56" s="246">
        <f t="shared" si="8"/>
        <v>46</v>
      </c>
      <c r="B56" s="530">
        <v>20030</v>
      </c>
      <c r="C56" s="531">
        <v>587</v>
      </c>
      <c r="D56" s="531">
        <v>10754</v>
      </c>
      <c r="E56" s="532">
        <v>138</v>
      </c>
      <c r="F56" s="532" t="s">
        <v>2325</v>
      </c>
      <c r="G56" s="533">
        <v>1</v>
      </c>
      <c r="H56" s="534">
        <v>0</v>
      </c>
      <c r="I56" s="535" t="s">
        <v>2375</v>
      </c>
      <c r="J56" s="536">
        <v>39904</v>
      </c>
      <c r="K56" s="537" t="s">
        <v>2327</v>
      </c>
      <c r="L56" s="538" t="b">
        <v>1</v>
      </c>
      <c r="M56" s="240">
        <f t="shared" si="10"/>
        <v>2801</v>
      </c>
      <c r="N56" s="241">
        <f t="shared" si="11"/>
        <v>1</v>
      </c>
      <c r="O56" s="242">
        <f t="shared" ca="1" si="4"/>
        <v>0</v>
      </c>
      <c r="P56" s="242">
        <f t="shared" ca="1" si="12"/>
        <v>0</v>
      </c>
      <c r="Q56" s="243">
        <f t="shared" ca="1" si="9"/>
        <v>0</v>
      </c>
      <c r="R56" s="243">
        <f t="shared" ca="1" si="6"/>
        <v>0</v>
      </c>
      <c r="S56" s="245">
        <f t="shared" ca="1" si="7"/>
        <v>0</v>
      </c>
      <c r="T56" s="425">
        <f t="shared" ca="1" si="13"/>
        <v>0</v>
      </c>
    </row>
    <row r="57" spans="1:20" ht="26.4">
      <c r="A57" s="246">
        <f t="shared" si="8"/>
        <v>47</v>
      </c>
      <c r="B57" s="530">
        <v>20030</v>
      </c>
      <c r="C57" s="531">
        <v>588</v>
      </c>
      <c r="D57" s="531">
        <v>10755</v>
      </c>
      <c r="E57" s="532">
        <v>138</v>
      </c>
      <c r="F57" s="532" t="s">
        <v>2325</v>
      </c>
      <c r="G57" s="533">
        <v>1</v>
      </c>
      <c r="H57" s="534"/>
      <c r="I57" s="535" t="s">
        <v>2376</v>
      </c>
      <c r="J57" s="536">
        <v>39904</v>
      </c>
      <c r="K57" s="537" t="s">
        <v>2327</v>
      </c>
      <c r="L57" s="538" t="b">
        <v>1</v>
      </c>
      <c r="M57" s="240">
        <f t="shared" si="10"/>
        <v>2801</v>
      </c>
      <c r="N57" s="241">
        <f t="shared" si="11"/>
        <v>1</v>
      </c>
      <c r="O57" s="242">
        <f t="shared" ca="1" si="4"/>
        <v>0</v>
      </c>
      <c r="P57" s="242">
        <f t="shared" ca="1" si="12"/>
        <v>0</v>
      </c>
      <c r="Q57" s="243">
        <f t="shared" ca="1" si="9"/>
        <v>0</v>
      </c>
      <c r="R57" s="243">
        <f t="shared" ca="1" si="6"/>
        <v>0</v>
      </c>
      <c r="S57" s="245">
        <f t="shared" ca="1" si="7"/>
        <v>0</v>
      </c>
      <c r="T57" s="425">
        <f t="shared" ca="1" si="13"/>
        <v>0</v>
      </c>
    </row>
    <row r="58" spans="1:20" ht="16.2" customHeight="1">
      <c r="A58" s="246">
        <f t="shared" si="8"/>
        <v>48</v>
      </c>
      <c r="B58" s="530">
        <v>20030</v>
      </c>
      <c r="C58" s="531">
        <v>589</v>
      </c>
      <c r="D58" s="531">
        <v>10756</v>
      </c>
      <c r="E58" s="532">
        <v>69</v>
      </c>
      <c r="F58" s="532" t="s">
        <v>2325</v>
      </c>
      <c r="G58" s="533">
        <v>1</v>
      </c>
      <c r="H58" s="534"/>
      <c r="I58" s="535" t="s">
        <v>2377</v>
      </c>
      <c r="J58" s="536">
        <v>39965</v>
      </c>
      <c r="K58" s="537" t="s">
        <v>2327</v>
      </c>
      <c r="L58" s="538" t="b">
        <v>0</v>
      </c>
      <c r="M58" s="240">
        <f t="shared" si="10"/>
        <v>0</v>
      </c>
      <c r="N58" s="241">
        <f t="shared" si="11"/>
        <v>1</v>
      </c>
      <c r="O58" s="242">
        <f t="shared" ca="1" si="4"/>
        <v>0</v>
      </c>
      <c r="P58" s="242">
        <f t="shared" ca="1" si="12"/>
        <v>0</v>
      </c>
      <c r="Q58" s="243">
        <f t="shared" ca="1" si="9"/>
        <v>0</v>
      </c>
      <c r="R58" s="243">
        <f t="shared" ca="1" si="6"/>
        <v>0</v>
      </c>
      <c r="S58" s="245">
        <f t="shared" ca="1" si="7"/>
        <v>0</v>
      </c>
      <c r="T58" s="425">
        <f t="shared" ca="1" si="13"/>
        <v>0</v>
      </c>
    </row>
    <row r="59" spans="1:20">
      <c r="A59" s="246">
        <f t="shared" si="8"/>
        <v>49</v>
      </c>
      <c r="B59" s="530">
        <v>20030</v>
      </c>
      <c r="C59" s="531">
        <v>616</v>
      </c>
      <c r="D59" s="531">
        <v>10794</v>
      </c>
      <c r="E59" s="532">
        <v>138</v>
      </c>
      <c r="F59" s="532" t="s">
        <v>2325</v>
      </c>
      <c r="G59" s="533">
        <v>1</v>
      </c>
      <c r="H59" s="534">
        <v>4272271</v>
      </c>
      <c r="I59" s="535" t="s">
        <v>2378</v>
      </c>
      <c r="J59" s="536">
        <v>41619</v>
      </c>
      <c r="K59" s="537" t="s">
        <v>2327</v>
      </c>
      <c r="L59" s="538" t="b">
        <v>1</v>
      </c>
      <c r="M59" s="240">
        <f t="shared" si="10"/>
        <v>1086</v>
      </c>
      <c r="N59" s="241">
        <f t="shared" si="11"/>
        <v>1</v>
      </c>
      <c r="O59" s="242">
        <f t="shared" ca="1" si="4"/>
        <v>4272271</v>
      </c>
      <c r="P59" s="242">
        <f t="shared" ca="1" si="12"/>
        <v>349311.17722980824</v>
      </c>
      <c r="Q59" s="243">
        <f t="shared" ca="1" si="9"/>
        <v>3922959.8227701918</v>
      </c>
      <c r="R59" s="243">
        <f t="shared" ca="1" si="6"/>
        <v>4272271</v>
      </c>
      <c r="S59" s="245">
        <f t="shared" ca="1" si="7"/>
        <v>3922959.8227701918</v>
      </c>
      <c r="T59" s="425">
        <f t="shared" ca="1" si="13"/>
        <v>764314.34313668695</v>
      </c>
    </row>
    <row r="60" spans="1:20">
      <c r="A60" s="246">
        <f t="shared" si="8"/>
        <v>50</v>
      </c>
      <c r="B60" s="530">
        <v>20030</v>
      </c>
      <c r="C60" s="531">
        <v>616</v>
      </c>
      <c r="D60" s="531">
        <v>10795</v>
      </c>
      <c r="E60" s="532">
        <v>138</v>
      </c>
      <c r="F60" s="532" t="s">
        <v>2325</v>
      </c>
      <c r="G60" s="533">
        <v>1</v>
      </c>
      <c r="H60" s="534">
        <v>3584139</v>
      </c>
      <c r="I60" s="535" t="s">
        <v>2379</v>
      </c>
      <c r="J60" s="536">
        <v>41617</v>
      </c>
      <c r="K60" s="537" t="s">
        <v>2327</v>
      </c>
      <c r="L60" s="538" t="b">
        <v>1</v>
      </c>
      <c r="M60" s="240">
        <f t="shared" si="10"/>
        <v>1088</v>
      </c>
      <c r="N60" s="241">
        <f t="shared" si="11"/>
        <v>1</v>
      </c>
      <c r="O60" s="242">
        <f t="shared" ca="1" si="4"/>
        <v>3584139</v>
      </c>
      <c r="P60" s="242">
        <f t="shared" ca="1" si="12"/>
        <v>293587.52880920551</v>
      </c>
      <c r="Q60" s="243">
        <f t="shared" ca="1" si="9"/>
        <v>3290551.4711907944</v>
      </c>
      <c r="R60" s="243">
        <f t="shared" ca="1" si="6"/>
        <v>3584139</v>
      </c>
      <c r="S60" s="245">
        <f t="shared" ca="1" si="7"/>
        <v>3290551.4711907944</v>
      </c>
      <c r="T60" s="425">
        <f t="shared" ca="1" si="13"/>
        <v>641101.56613448984</v>
      </c>
    </row>
    <row r="61" spans="1:20">
      <c r="A61" s="246">
        <f t="shared" si="8"/>
        <v>51</v>
      </c>
      <c r="B61" s="530">
        <v>20030</v>
      </c>
      <c r="C61" s="531">
        <v>616</v>
      </c>
      <c r="D61" s="531">
        <v>10796</v>
      </c>
      <c r="E61" s="532">
        <v>138</v>
      </c>
      <c r="F61" s="532" t="s">
        <v>2325</v>
      </c>
      <c r="G61" s="533">
        <v>1</v>
      </c>
      <c r="H61" s="534">
        <f>2004100.59+998485.47</f>
        <v>3002586.06</v>
      </c>
      <c r="I61" s="535" t="s">
        <v>2380</v>
      </c>
      <c r="J61" s="536">
        <v>41578</v>
      </c>
      <c r="K61" s="537" t="s">
        <v>2327</v>
      </c>
      <c r="L61" s="538" t="b">
        <v>1</v>
      </c>
      <c r="M61" s="240">
        <f t="shared" si="10"/>
        <v>1127</v>
      </c>
      <c r="N61" s="241">
        <f t="shared" si="11"/>
        <v>1</v>
      </c>
      <c r="O61" s="242">
        <f t="shared" ca="1" si="4"/>
        <v>3002586.06</v>
      </c>
      <c r="P61" s="242">
        <f t="shared" ca="1" si="12"/>
        <v>254767.04157467838</v>
      </c>
      <c r="Q61" s="243">
        <f t="shared" ca="1" si="9"/>
        <v>2747819.0184253217</v>
      </c>
      <c r="R61" s="243">
        <f t="shared" ca="1" si="6"/>
        <v>3002586.06</v>
      </c>
      <c r="S61" s="245">
        <f t="shared" ca="1" si="7"/>
        <v>2747819.0184253217</v>
      </c>
      <c r="T61" s="425">
        <f t="shared" ca="1" si="13"/>
        <v>535360.43778373301</v>
      </c>
    </row>
    <row r="62" spans="1:20">
      <c r="A62" s="246">
        <f t="shared" si="8"/>
        <v>52</v>
      </c>
      <c r="B62" s="530">
        <v>20030</v>
      </c>
      <c r="C62" s="531">
        <v>616</v>
      </c>
      <c r="D62" s="531">
        <v>10797</v>
      </c>
      <c r="E62" s="532">
        <v>138</v>
      </c>
      <c r="F62" s="532" t="s">
        <v>2325</v>
      </c>
      <c r="G62" s="533">
        <v>1</v>
      </c>
      <c r="H62" s="534">
        <v>1718621</v>
      </c>
      <c r="I62" s="535" t="s">
        <v>2381</v>
      </c>
      <c r="J62" s="536">
        <v>41578</v>
      </c>
      <c r="K62" s="537" t="s">
        <v>2327</v>
      </c>
      <c r="L62" s="538" t="b">
        <v>1</v>
      </c>
      <c r="M62" s="240">
        <f t="shared" si="10"/>
        <v>1127</v>
      </c>
      <c r="N62" s="241">
        <f t="shared" si="11"/>
        <v>1</v>
      </c>
      <c r="O62" s="242">
        <f t="shared" ca="1" si="4"/>
        <v>1718621</v>
      </c>
      <c r="P62" s="242">
        <f t="shared" ca="1" si="12"/>
        <v>145823.62637030138</v>
      </c>
      <c r="Q62" s="243">
        <f t="shared" ca="1" si="9"/>
        <v>1572797.3736296985</v>
      </c>
      <c r="R62" s="243">
        <f t="shared" ca="1" si="6"/>
        <v>1718621</v>
      </c>
      <c r="S62" s="245">
        <f t="shared" ca="1" si="7"/>
        <v>1572797.3736296985</v>
      </c>
      <c r="T62" s="425">
        <f t="shared" ca="1" si="13"/>
        <v>306429.74840971484</v>
      </c>
    </row>
    <row r="63" spans="1:20" ht="26.4">
      <c r="A63" s="246">
        <f t="shared" si="8"/>
        <v>53</v>
      </c>
      <c r="B63" s="530">
        <v>20030</v>
      </c>
      <c r="C63" s="531">
        <v>617</v>
      </c>
      <c r="D63" s="531">
        <v>10798</v>
      </c>
      <c r="E63" s="532">
        <v>69</v>
      </c>
      <c r="F63" s="532" t="s">
        <v>2325</v>
      </c>
      <c r="G63" s="533">
        <v>1</v>
      </c>
      <c r="H63" s="534"/>
      <c r="I63" s="535" t="s">
        <v>2382</v>
      </c>
      <c r="J63" s="536">
        <v>40801</v>
      </c>
      <c r="K63" s="537" t="s">
        <v>2327</v>
      </c>
      <c r="L63" s="538" t="b">
        <v>1</v>
      </c>
      <c r="M63" s="240">
        <f t="shared" si="10"/>
        <v>1904</v>
      </c>
      <c r="N63" s="241">
        <f t="shared" si="11"/>
        <v>1</v>
      </c>
      <c r="O63" s="242">
        <f t="shared" ca="1" si="4"/>
        <v>0</v>
      </c>
      <c r="P63" s="242">
        <f t="shared" ca="1" si="12"/>
        <v>0</v>
      </c>
      <c r="Q63" s="243">
        <f t="shared" ca="1" si="9"/>
        <v>0</v>
      </c>
      <c r="R63" s="243">
        <f t="shared" ca="1" si="6"/>
        <v>0</v>
      </c>
      <c r="S63" s="245">
        <f t="shared" ca="1" si="7"/>
        <v>0</v>
      </c>
      <c r="T63" s="425">
        <f t="shared" ca="1" si="13"/>
        <v>0</v>
      </c>
    </row>
    <row r="64" spans="1:20">
      <c r="A64" s="246">
        <f t="shared" si="8"/>
        <v>54</v>
      </c>
      <c r="B64" s="530">
        <v>20030</v>
      </c>
      <c r="C64" s="531">
        <v>135</v>
      </c>
      <c r="D64" s="531">
        <v>10799</v>
      </c>
      <c r="E64" s="532">
        <v>69</v>
      </c>
      <c r="F64" s="532" t="s">
        <v>2325</v>
      </c>
      <c r="G64" s="533">
        <v>1</v>
      </c>
      <c r="H64" s="534">
        <v>1062150</v>
      </c>
      <c r="I64" s="535" t="s">
        <v>2383</v>
      </c>
      <c r="J64" s="536">
        <v>41233</v>
      </c>
      <c r="K64" s="537" t="s">
        <v>2327</v>
      </c>
      <c r="L64" s="538" t="b">
        <v>1</v>
      </c>
      <c r="M64" s="240">
        <f t="shared" si="10"/>
        <v>1472</v>
      </c>
      <c r="N64" s="241">
        <f t="shared" si="11"/>
        <v>1</v>
      </c>
      <c r="O64" s="242">
        <f t="shared" ca="1" si="4"/>
        <v>1062150</v>
      </c>
      <c r="P64" s="242">
        <f t="shared" ca="1" si="12"/>
        <v>117711.12960000001</v>
      </c>
      <c r="Q64" s="243">
        <f t="shared" ca="1" si="9"/>
        <v>944438.87040000001</v>
      </c>
      <c r="R64" s="243">
        <f t="shared" ca="1" si="6"/>
        <v>1062150</v>
      </c>
      <c r="S64" s="245">
        <f t="shared" ca="1" si="7"/>
        <v>944438.87040000001</v>
      </c>
      <c r="T64" s="425">
        <f t="shared" ca="1" si="13"/>
        <v>184006.00757435203</v>
      </c>
    </row>
    <row r="65" spans="1:20">
      <c r="A65" s="246">
        <f t="shared" si="8"/>
        <v>55</v>
      </c>
      <c r="B65" s="530">
        <v>20132</v>
      </c>
      <c r="C65" s="531">
        <v>659</v>
      </c>
      <c r="D65" s="531">
        <v>10865</v>
      </c>
      <c r="E65" s="532">
        <v>138</v>
      </c>
      <c r="F65" s="532" t="s">
        <v>2384</v>
      </c>
      <c r="G65" s="533">
        <v>1</v>
      </c>
      <c r="H65" s="534">
        <f>3786090.59+1713535.6</f>
        <v>5499626.1899999995</v>
      </c>
      <c r="I65" s="535" t="s">
        <v>2385</v>
      </c>
      <c r="J65" s="536">
        <v>41578</v>
      </c>
      <c r="K65" s="537" t="s">
        <v>2327</v>
      </c>
      <c r="L65" s="538" t="b">
        <v>1</v>
      </c>
      <c r="M65" s="240">
        <f t="shared" si="10"/>
        <v>1127</v>
      </c>
      <c r="N65" s="241">
        <f t="shared" si="11"/>
        <v>1</v>
      </c>
      <c r="O65" s="242">
        <f t="shared" ca="1" si="4"/>
        <v>5499626.1899999995</v>
      </c>
      <c r="P65" s="242">
        <f t="shared" ca="1" si="12"/>
        <v>466638.91265548603</v>
      </c>
      <c r="Q65" s="243">
        <f t="shared" ca="1" si="9"/>
        <v>5032987.2773445137</v>
      </c>
      <c r="R65" s="243">
        <f t="shared" ca="1" si="6"/>
        <v>5499626.1899999995</v>
      </c>
      <c r="S65" s="245">
        <f t="shared" ca="1" si="7"/>
        <v>5032987.2773445137</v>
      </c>
      <c r="T65" s="425">
        <f t="shared" ca="1" si="13"/>
        <v>980582.14681955974</v>
      </c>
    </row>
    <row r="66" spans="1:20">
      <c r="A66" s="246">
        <f t="shared" si="8"/>
        <v>56</v>
      </c>
      <c r="B66" s="530">
        <v>20085</v>
      </c>
      <c r="C66" s="531">
        <v>672</v>
      </c>
      <c r="D66" s="531">
        <v>10878</v>
      </c>
      <c r="E66" s="532">
        <v>69</v>
      </c>
      <c r="F66" s="532" t="s">
        <v>2325</v>
      </c>
      <c r="G66" s="533">
        <v>1</v>
      </c>
      <c r="H66" s="534">
        <v>236011.04</v>
      </c>
      <c r="I66" s="535" t="s">
        <v>2386</v>
      </c>
      <c r="J66" s="536">
        <v>41061</v>
      </c>
      <c r="K66" s="537" t="s">
        <v>2327</v>
      </c>
      <c r="L66" s="538" t="b">
        <v>1</v>
      </c>
      <c r="M66" s="240">
        <f t="shared" si="10"/>
        <v>1644</v>
      </c>
      <c r="N66" s="241">
        <f t="shared" si="11"/>
        <v>1</v>
      </c>
      <c r="O66" s="242">
        <f t="shared" ca="1" si="4"/>
        <v>236011.04</v>
      </c>
      <c r="P66" s="242">
        <f t="shared" ca="1" si="12"/>
        <v>29211.778288780279</v>
      </c>
      <c r="Q66" s="243">
        <f t="shared" ca="1" si="9"/>
        <v>206799.26171121973</v>
      </c>
      <c r="R66" s="243">
        <f t="shared" ca="1" si="6"/>
        <v>236011.04</v>
      </c>
      <c r="S66" s="245">
        <f t="shared" ca="1" si="7"/>
        <v>206799.26171121973</v>
      </c>
      <c r="T66" s="425">
        <f t="shared" ca="1" si="13"/>
        <v>40290.915282519811</v>
      </c>
    </row>
    <row r="67" spans="1:20">
      <c r="A67" s="246">
        <f t="shared" si="8"/>
        <v>57</v>
      </c>
      <c r="B67" s="530">
        <v>20132</v>
      </c>
      <c r="C67" s="531">
        <v>673</v>
      </c>
      <c r="D67" s="531">
        <v>10879</v>
      </c>
      <c r="E67" s="532">
        <v>69</v>
      </c>
      <c r="F67" s="532" t="s">
        <v>2384</v>
      </c>
      <c r="G67" s="533">
        <v>1</v>
      </c>
      <c r="H67" s="534">
        <v>1848594.47</v>
      </c>
      <c r="I67" s="535" t="s">
        <v>2387</v>
      </c>
      <c r="J67" s="536">
        <v>41163</v>
      </c>
      <c r="K67" s="537" t="s">
        <v>2327</v>
      </c>
      <c r="L67" s="538" t="b">
        <v>1</v>
      </c>
      <c r="M67" s="240">
        <f t="shared" si="10"/>
        <v>1542</v>
      </c>
      <c r="N67" s="241">
        <f t="shared" si="11"/>
        <v>1</v>
      </c>
      <c r="O67" s="242">
        <f t="shared" ca="1" si="4"/>
        <v>1848594.47</v>
      </c>
      <c r="P67" s="242">
        <f t="shared" ca="1" si="12"/>
        <v>214609.96670382249</v>
      </c>
      <c r="Q67" s="243">
        <f t="shared" ca="1" si="9"/>
        <v>1633984.5032961774</v>
      </c>
      <c r="R67" s="243">
        <f t="shared" ca="1" si="6"/>
        <v>1848594.47</v>
      </c>
      <c r="S67" s="245">
        <f t="shared" ca="1" si="7"/>
        <v>1633984.5032961774</v>
      </c>
      <c r="T67" s="425">
        <f t="shared" ca="1" si="13"/>
        <v>318350.90053266217</v>
      </c>
    </row>
    <row r="68" spans="1:20">
      <c r="A68" s="246">
        <f t="shared" si="8"/>
        <v>58</v>
      </c>
      <c r="B68" s="530">
        <v>20044</v>
      </c>
      <c r="C68" s="531">
        <v>705</v>
      </c>
      <c r="D68" s="531">
        <v>10938</v>
      </c>
      <c r="E68" s="532">
        <v>138</v>
      </c>
      <c r="F68" s="532" t="s">
        <v>2388</v>
      </c>
      <c r="G68" s="533">
        <v>1</v>
      </c>
      <c r="H68" s="534">
        <v>1136239.55</v>
      </c>
      <c r="I68" s="535" t="s">
        <v>2389</v>
      </c>
      <c r="J68" s="536">
        <v>41194</v>
      </c>
      <c r="K68" s="537" t="s">
        <v>2327</v>
      </c>
      <c r="L68" s="538" t="b">
        <v>1</v>
      </c>
      <c r="M68" s="240">
        <f t="shared" si="10"/>
        <v>1511</v>
      </c>
      <c r="N68" s="241">
        <f t="shared" si="11"/>
        <v>1</v>
      </c>
      <c r="O68" s="242">
        <f t="shared" ca="1" si="4"/>
        <v>1136239.55</v>
      </c>
      <c r="P68" s="242">
        <f t="shared" ca="1" si="12"/>
        <v>129258.2376497918</v>
      </c>
      <c r="Q68" s="243">
        <f t="shared" ca="1" si="9"/>
        <v>1006981.3123502083</v>
      </c>
      <c r="R68" s="243">
        <f t="shared" ca="1" si="6"/>
        <v>1136239.55</v>
      </c>
      <c r="S68" s="245">
        <f t="shared" ca="1" si="7"/>
        <v>1006981.3123502083</v>
      </c>
      <c r="T68" s="425">
        <f t="shared" ca="1" si="13"/>
        <v>196191.21659940455</v>
      </c>
    </row>
    <row r="69" spans="1:20" ht="26.4">
      <c r="A69" s="246">
        <f t="shared" si="8"/>
        <v>59</v>
      </c>
      <c r="B69" s="530">
        <v>200245</v>
      </c>
      <c r="C69" s="531">
        <v>844</v>
      </c>
      <c r="D69" s="531">
        <v>11113</v>
      </c>
      <c r="E69" s="532">
        <v>69</v>
      </c>
      <c r="F69" s="532" t="s">
        <v>2384</v>
      </c>
      <c r="G69" s="533">
        <v>1</v>
      </c>
      <c r="H69" s="534"/>
      <c r="I69" s="535" t="s">
        <v>2390</v>
      </c>
      <c r="J69" s="536">
        <v>42369</v>
      </c>
      <c r="K69" s="537" t="s">
        <v>2425</v>
      </c>
      <c r="L69" s="538" t="b">
        <v>0</v>
      </c>
      <c r="M69" s="240">
        <f t="shared" si="10"/>
        <v>0</v>
      </c>
      <c r="N69" s="241">
        <f t="shared" si="11"/>
        <v>1</v>
      </c>
      <c r="O69" s="242">
        <f t="shared" ca="1" si="4"/>
        <v>0</v>
      </c>
      <c r="P69" s="242">
        <f t="shared" ca="1" si="12"/>
        <v>0</v>
      </c>
      <c r="Q69" s="243">
        <f t="shared" ca="1" si="9"/>
        <v>0</v>
      </c>
      <c r="R69" s="243">
        <f t="shared" ca="1" si="6"/>
        <v>0</v>
      </c>
      <c r="S69" s="245">
        <f t="shared" ca="1" si="7"/>
        <v>0</v>
      </c>
      <c r="T69" s="425">
        <f t="shared" ca="1" si="13"/>
        <v>0</v>
      </c>
    </row>
    <row r="70" spans="1:20">
      <c r="A70" s="246">
        <f t="shared" si="8"/>
        <v>60</v>
      </c>
      <c r="B70" s="530">
        <v>20085</v>
      </c>
      <c r="C70" s="531">
        <v>845</v>
      </c>
      <c r="D70" s="531">
        <v>11114</v>
      </c>
      <c r="E70" s="532">
        <v>69</v>
      </c>
      <c r="F70" s="532" t="s">
        <v>2325</v>
      </c>
      <c r="G70" s="533">
        <v>1</v>
      </c>
      <c r="H70" s="534"/>
      <c r="I70" s="535" t="s">
        <v>2391</v>
      </c>
      <c r="J70" s="536">
        <v>40695</v>
      </c>
      <c r="K70" s="537" t="s">
        <v>2327</v>
      </c>
      <c r="L70" s="538" t="b">
        <v>0</v>
      </c>
      <c r="M70" s="240">
        <f t="shared" si="10"/>
        <v>0</v>
      </c>
      <c r="N70" s="241">
        <f t="shared" si="11"/>
        <v>1</v>
      </c>
      <c r="O70" s="242">
        <f t="shared" ca="1" si="4"/>
        <v>0</v>
      </c>
      <c r="P70" s="242">
        <f t="shared" ca="1" si="12"/>
        <v>0</v>
      </c>
      <c r="Q70" s="243">
        <f t="shared" ca="1" si="9"/>
        <v>0</v>
      </c>
      <c r="R70" s="243">
        <f t="shared" ca="1" si="6"/>
        <v>0</v>
      </c>
      <c r="S70" s="245">
        <f t="shared" ca="1" si="7"/>
        <v>0</v>
      </c>
      <c r="T70" s="425">
        <f t="shared" ca="1" si="13"/>
        <v>0</v>
      </c>
    </row>
    <row r="71" spans="1:20" ht="26.4">
      <c r="A71" s="246">
        <f t="shared" si="8"/>
        <v>61</v>
      </c>
      <c r="B71" s="530">
        <v>20132</v>
      </c>
      <c r="C71" s="531">
        <v>846</v>
      </c>
      <c r="D71" s="531">
        <v>11115</v>
      </c>
      <c r="E71" s="532">
        <v>138</v>
      </c>
      <c r="F71" s="532" t="s">
        <v>2384</v>
      </c>
      <c r="G71" s="533">
        <v>1</v>
      </c>
      <c r="H71" s="534"/>
      <c r="I71" s="535" t="s">
        <v>2392</v>
      </c>
      <c r="J71" s="536"/>
      <c r="K71" s="537" t="s">
        <v>2338</v>
      </c>
      <c r="L71" s="538" t="b">
        <v>0</v>
      </c>
      <c r="M71" s="240">
        <f t="shared" si="10"/>
        <v>0</v>
      </c>
      <c r="N71" s="241">
        <f t="shared" si="11"/>
        <v>1</v>
      </c>
      <c r="O71" s="242">
        <f t="shared" ca="1" si="4"/>
        <v>0</v>
      </c>
      <c r="P71" s="242">
        <f t="shared" ca="1" si="12"/>
        <v>0</v>
      </c>
      <c r="Q71" s="243">
        <f t="shared" ca="1" si="9"/>
        <v>0</v>
      </c>
      <c r="R71" s="243">
        <f t="shared" ca="1" si="6"/>
        <v>0</v>
      </c>
      <c r="S71" s="245">
        <f t="shared" ca="1" si="7"/>
        <v>0</v>
      </c>
      <c r="T71" s="425">
        <f t="shared" ca="1" si="13"/>
        <v>0</v>
      </c>
    </row>
    <row r="72" spans="1:20">
      <c r="A72" s="246">
        <f t="shared" si="8"/>
        <v>62</v>
      </c>
      <c r="B72" s="530">
        <v>20132</v>
      </c>
      <c r="C72" s="531">
        <v>846</v>
      </c>
      <c r="D72" s="531">
        <v>11116</v>
      </c>
      <c r="E72" s="532">
        <v>138</v>
      </c>
      <c r="F72" s="532" t="s">
        <v>2384</v>
      </c>
      <c r="G72" s="533">
        <v>1</v>
      </c>
      <c r="H72" s="534"/>
      <c r="I72" s="535" t="s">
        <v>2393</v>
      </c>
      <c r="J72" s="536">
        <v>42339</v>
      </c>
      <c r="K72" s="537" t="s">
        <v>2327</v>
      </c>
      <c r="L72" s="538" t="b">
        <v>1</v>
      </c>
      <c r="M72" s="240">
        <f t="shared" si="10"/>
        <v>366</v>
      </c>
      <c r="N72" s="241">
        <f t="shared" si="11"/>
        <v>1</v>
      </c>
      <c r="O72" s="242">
        <f t="shared" ca="1" si="4"/>
        <v>0</v>
      </c>
      <c r="P72" s="242">
        <f t="shared" ca="1" si="12"/>
        <v>0</v>
      </c>
      <c r="Q72" s="243">
        <f t="shared" ca="1" si="9"/>
        <v>0</v>
      </c>
      <c r="R72" s="243">
        <f t="shared" ca="1" si="6"/>
        <v>0</v>
      </c>
      <c r="S72" s="245">
        <f t="shared" ca="1" si="7"/>
        <v>0</v>
      </c>
      <c r="T72" s="425">
        <f t="shared" ca="1" si="13"/>
        <v>0</v>
      </c>
    </row>
    <row r="73" spans="1:20">
      <c r="A73" s="246">
        <f t="shared" si="8"/>
        <v>63</v>
      </c>
      <c r="B73" s="530">
        <v>20132</v>
      </c>
      <c r="C73" s="531">
        <v>847</v>
      </c>
      <c r="D73" s="531">
        <v>11117</v>
      </c>
      <c r="E73" s="532">
        <v>69</v>
      </c>
      <c r="F73" s="532" t="s">
        <v>2384</v>
      </c>
      <c r="G73" s="533">
        <v>1</v>
      </c>
      <c r="H73" s="534">
        <v>4039999.06</v>
      </c>
      <c r="I73" s="535" t="s">
        <v>2394</v>
      </c>
      <c r="J73" s="536">
        <v>41623</v>
      </c>
      <c r="K73" s="537" t="s">
        <v>2327</v>
      </c>
      <c r="L73" s="538" t="b">
        <v>1</v>
      </c>
      <c r="M73" s="240">
        <f t="shared" si="10"/>
        <v>1082</v>
      </c>
      <c r="N73" s="241">
        <f t="shared" si="11"/>
        <v>1</v>
      </c>
      <c r="O73" s="242">
        <f t="shared" ca="1" si="4"/>
        <v>4039999.06</v>
      </c>
      <c r="P73" s="242">
        <f t="shared" ca="1" si="12"/>
        <v>329103.41493326472</v>
      </c>
      <c r="Q73" s="243">
        <f t="shared" ca="1" si="9"/>
        <v>3710895.6450667353</v>
      </c>
      <c r="R73" s="243">
        <f t="shared" ca="1" si="6"/>
        <v>4039999.06</v>
      </c>
      <c r="S73" s="245">
        <f t="shared" ca="1" si="7"/>
        <v>3710895.6450667353</v>
      </c>
      <c r="T73" s="425">
        <f t="shared" ca="1" si="13"/>
        <v>722997.65879456082</v>
      </c>
    </row>
    <row r="74" spans="1:20">
      <c r="A74" s="246">
        <f t="shared" si="8"/>
        <v>64</v>
      </c>
      <c r="B74" s="530">
        <v>200208</v>
      </c>
      <c r="C74" s="531">
        <v>909</v>
      </c>
      <c r="D74" s="531">
        <v>11205</v>
      </c>
      <c r="E74" s="532">
        <v>138</v>
      </c>
      <c r="F74" s="532" t="s">
        <v>2384</v>
      </c>
      <c r="G74" s="533">
        <v>1</v>
      </c>
      <c r="H74" s="534">
        <v>1681800</v>
      </c>
      <c r="I74" s="535" t="s">
        <v>2395</v>
      </c>
      <c r="J74" s="536">
        <v>42272</v>
      </c>
      <c r="K74" s="537" t="s">
        <v>2344</v>
      </c>
      <c r="L74" s="538" t="b">
        <v>1</v>
      </c>
      <c r="M74" s="240">
        <f t="shared" si="10"/>
        <v>433</v>
      </c>
      <c r="N74" s="241">
        <f t="shared" si="11"/>
        <v>1</v>
      </c>
      <c r="O74" s="242">
        <f t="shared" ca="1" si="4"/>
        <v>1681800</v>
      </c>
      <c r="P74" s="242">
        <f t="shared" ca="1" si="12"/>
        <v>54825.94277260275</v>
      </c>
      <c r="Q74" s="243">
        <f t="shared" ca="1" si="9"/>
        <v>1626974.0572273973</v>
      </c>
      <c r="R74" s="243">
        <f t="shared" ca="1" si="6"/>
        <v>1681800</v>
      </c>
      <c r="S74" s="245">
        <f t="shared" ca="1" si="7"/>
        <v>1626974.0572273973</v>
      </c>
      <c r="T74" s="425">
        <f t="shared" ca="1" si="13"/>
        <v>316985.048032452</v>
      </c>
    </row>
    <row r="75" spans="1:20">
      <c r="A75" s="246">
        <f t="shared" si="8"/>
        <v>65</v>
      </c>
      <c r="B75" s="530">
        <v>20114</v>
      </c>
      <c r="C75" s="531">
        <v>1026</v>
      </c>
      <c r="D75" s="531">
        <v>11350</v>
      </c>
      <c r="E75" s="532">
        <v>69</v>
      </c>
      <c r="F75" s="532" t="s">
        <v>2384</v>
      </c>
      <c r="G75" s="533">
        <v>0.67</v>
      </c>
      <c r="H75" s="534"/>
      <c r="I75" s="535" t="s">
        <v>2396</v>
      </c>
      <c r="J75" s="536">
        <v>41426</v>
      </c>
      <c r="K75" s="537" t="s">
        <v>2344</v>
      </c>
      <c r="L75" s="538" t="b">
        <v>1</v>
      </c>
      <c r="M75" s="240">
        <f t="shared" ref="M75:M106" si="14">IF(L75,$E$174-J75-30,0)</f>
        <v>1279</v>
      </c>
      <c r="N75" s="241">
        <f t="shared" ref="N75:N106" si="15">G75</f>
        <v>0.67</v>
      </c>
      <c r="O75" s="242">
        <f t="shared" ca="1" si="4"/>
        <v>0</v>
      </c>
      <c r="P75" s="242">
        <f t="shared" ref="P75:P106" ca="1" si="16">$E$175/365*M75*O75</f>
        <v>0</v>
      </c>
      <c r="Q75" s="243">
        <f t="shared" ca="1" si="9"/>
        <v>0</v>
      </c>
      <c r="R75" s="243">
        <f t="shared" ca="1" si="6"/>
        <v>0</v>
      </c>
      <c r="S75" s="245">
        <f t="shared" ca="1" si="7"/>
        <v>0</v>
      </c>
      <c r="T75" s="425">
        <f t="shared" ref="T75:T106" ca="1" si="17">S75*$E$179</f>
        <v>0</v>
      </c>
    </row>
    <row r="76" spans="1:20" ht="26.4" hidden="1">
      <c r="A76" s="246">
        <f t="shared" si="8"/>
        <v>66</v>
      </c>
      <c r="B76" s="530">
        <v>20114</v>
      </c>
      <c r="C76" s="531">
        <v>1027</v>
      </c>
      <c r="D76" s="531">
        <v>11351</v>
      </c>
      <c r="E76" s="532">
        <v>138</v>
      </c>
      <c r="F76" s="532" t="s">
        <v>2384</v>
      </c>
      <c r="G76" s="533">
        <v>0.67</v>
      </c>
      <c r="H76" s="534"/>
      <c r="I76" s="535" t="s">
        <v>2397</v>
      </c>
      <c r="J76" s="536">
        <v>41247</v>
      </c>
      <c r="K76" s="537" t="s">
        <v>2327</v>
      </c>
      <c r="L76" s="538" t="b">
        <v>0</v>
      </c>
      <c r="M76" s="240">
        <f t="shared" si="14"/>
        <v>0</v>
      </c>
      <c r="N76" s="241">
        <f t="shared" si="15"/>
        <v>0.67</v>
      </c>
      <c r="O76" s="242">
        <f t="shared" ref="O76:O139" ca="1" si="18">IF(CELL("type",H76)="v",H76,0)*L76</f>
        <v>0</v>
      </c>
      <c r="P76" s="242">
        <f t="shared" ca="1" si="16"/>
        <v>0</v>
      </c>
      <c r="Q76" s="243">
        <f t="shared" ca="1" si="9"/>
        <v>0</v>
      </c>
      <c r="R76" s="243">
        <f t="shared" ref="R76:R116" ca="1" si="19">O76*N76</f>
        <v>0</v>
      </c>
      <c r="S76" s="245">
        <f ca="1">Q76*N76</f>
        <v>0</v>
      </c>
      <c r="T76" s="425">
        <f t="shared" ca="1" si="17"/>
        <v>0</v>
      </c>
    </row>
    <row r="77" spans="1:20">
      <c r="A77" s="246">
        <f t="shared" ref="A77:A171" si="20">A76+1</f>
        <v>67</v>
      </c>
      <c r="B77" s="530">
        <v>20132</v>
      </c>
      <c r="C77" s="531">
        <v>1084</v>
      </c>
      <c r="D77" s="531">
        <v>11424</v>
      </c>
      <c r="E77" s="532">
        <v>69</v>
      </c>
      <c r="F77" s="532" t="s">
        <v>2384</v>
      </c>
      <c r="G77" s="533">
        <v>1</v>
      </c>
      <c r="H77" s="534">
        <v>6066030.6299999999</v>
      </c>
      <c r="I77" s="535" t="s">
        <v>2398</v>
      </c>
      <c r="J77" s="536">
        <v>41726</v>
      </c>
      <c r="K77" s="537" t="s">
        <v>2344</v>
      </c>
      <c r="L77" s="538" t="b">
        <v>1</v>
      </c>
      <c r="M77" s="240">
        <f t="shared" si="14"/>
        <v>979</v>
      </c>
      <c r="N77" s="241">
        <f t="shared" si="15"/>
        <v>1</v>
      </c>
      <c r="O77" s="242">
        <f t="shared" ca="1" si="18"/>
        <v>6066030.6299999999</v>
      </c>
      <c r="P77" s="242">
        <f t="shared" ca="1" si="16"/>
        <v>447106.67604504002</v>
      </c>
      <c r="Q77" s="243">
        <f t="shared" ca="1" si="9"/>
        <v>5618923.9539549602</v>
      </c>
      <c r="R77" s="243">
        <f t="shared" ca="1" si="19"/>
        <v>6066030.6299999999</v>
      </c>
      <c r="S77" s="245">
        <f t="shared" ref="S77:S116" ca="1" si="21">Q77*N77</f>
        <v>5618923.9539549602</v>
      </c>
      <c r="T77" s="425">
        <f t="shared" ca="1" si="17"/>
        <v>1094740.7990453083</v>
      </c>
    </row>
    <row r="78" spans="1:20">
      <c r="A78" s="246">
        <f t="shared" si="20"/>
        <v>68</v>
      </c>
      <c r="B78" s="530">
        <v>200208</v>
      </c>
      <c r="C78" s="531">
        <v>909</v>
      </c>
      <c r="D78" s="531">
        <v>11425</v>
      </c>
      <c r="E78" s="532">
        <v>138</v>
      </c>
      <c r="F78" s="532" t="s">
        <v>2384</v>
      </c>
      <c r="G78" s="533">
        <v>1</v>
      </c>
      <c r="H78" s="534">
        <v>2618993</v>
      </c>
      <c r="I78" s="535" t="s">
        <v>2399</v>
      </c>
      <c r="J78" s="536">
        <v>42272</v>
      </c>
      <c r="K78" s="537" t="s">
        <v>2327</v>
      </c>
      <c r="L78" s="538" t="b">
        <v>1</v>
      </c>
      <c r="M78" s="240">
        <f t="shared" si="14"/>
        <v>433</v>
      </c>
      <c r="N78" s="241">
        <f t="shared" si="15"/>
        <v>1</v>
      </c>
      <c r="O78" s="242">
        <f t="shared" ca="1" si="18"/>
        <v>2618993</v>
      </c>
      <c r="P78" s="242">
        <f t="shared" ca="1" si="16"/>
        <v>85378.02374827399</v>
      </c>
      <c r="Q78" s="243">
        <f t="shared" ca="1" si="9"/>
        <v>2533614.976251726</v>
      </c>
      <c r="R78" s="243">
        <f t="shared" ca="1" si="19"/>
        <v>2618993</v>
      </c>
      <c r="S78" s="245">
        <f t="shared" ca="1" si="21"/>
        <v>2533614.976251726</v>
      </c>
      <c r="T78" s="425">
        <f t="shared" ca="1" si="17"/>
        <v>493626.84142089164</v>
      </c>
    </row>
    <row r="79" spans="1:20">
      <c r="A79" s="246">
        <f t="shared" si="20"/>
        <v>69</v>
      </c>
      <c r="B79" s="530">
        <v>19985</v>
      </c>
      <c r="C79" s="531">
        <v>30012</v>
      </c>
      <c r="D79" s="531">
        <v>50018</v>
      </c>
      <c r="E79" s="532">
        <v>69</v>
      </c>
      <c r="F79" s="532" t="s">
        <v>2325</v>
      </c>
      <c r="G79" s="533">
        <v>1</v>
      </c>
      <c r="H79" s="534">
        <v>258858.71</v>
      </c>
      <c r="I79" s="535" t="s">
        <v>2400</v>
      </c>
      <c r="J79" s="536">
        <v>39753</v>
      </c>
      <c r="K79" s="537" t="s">
        <v>2327</v>
      </c>
      <c r="L79" s="538" t="b">
        <v>1</v>
      </c>
      <c r="M79" s="240">
        <f t="shared" si="14"/>
        <v>2952</v>
      </c>
      <c r="N79" s="241">
        <f t="shared" si="15"/>
        <v>1</v>
      </c>
      <c r="O79" s="242">
        <f t="shared" ca="1" si="18"/>
        <v>258858.71</v>
      </c>
      <c r="P79" s="242">
        <f t="shared" ca="1" si="16"/>
        <v>57531.142628935901</v>
      </c>
      <c r="Q79" s="243">
        <f t="shared" ca="1" si="9"/>
        <v>201327.5673710641</v>
      </c>
      <c r="R79" s="243">
        <f t="shared" ca="1" si="19"/>
        <v>258858.71</v>
      </c>
      <c r="S79" s="245">
        <f t="shared" ca="1" si="21"/>
        <v>201327.5673710641</v>
      </c>
      <c r="T79" s="425">
        <f t="shared" ca="1" si="17"/>
        <v>39224.859382286908</v>
      </c>
    </row>
    <row r="80" spans="1:20" ht="18.600000000000001" customHeight="1">
      <c r="A80" s="246">
        <f t="shared" si="20"/>
        <v>70</v>
      </c>
      <c r="B80" s="530">
        <v>19985</v>
      </c>
      <c r="C80" s="531">
        <v>30013</v>
      </c>
      <c r="D80" s="531">
        <v>50019</v>
      </c>
      <c r="E80" s="532">
        <v>69</v>
      </c>
      <c r="F80" s="532" t="s">
        <v>2325</v>
      </c>
      <c r="G80" s="533">
        <v>1</v>
      </c>
      <c r="H80" s="534">
        <v>29177.599999999999</v>
      </c>
      <c r="I80" s="535" t="s">
        <v>2401</v>
      </c>
      <c r="J80" s="536">
        <v>39417</v>
      </c>
      <c r="K80" s="537" t="s">
        <v>2327</v>
      </c>
      <c r="L80" s="538" t="b">
        <v>1</v>
      </c>
      <c r="M80" s="240">
        <f t="shared" si="14"/>
        <v>3288</v>
      </c>
      <c r="N80" s="241">
        <f t="shared" si="15"/>
        <v>1</v>
      </c>
      <c r="O80" s="242">
        <f t="shared" ca="1" si="18"/>
        <v>29177.599999999999</v>
      </c>
      <c r="P80" s="242">
        <f t="shared" ca="1" si="16"/>
        <v>7222.794172668494</v>
      </c>
      <c r="Q80" s="243">
        <f t="shared" ca="1" si="9"/>
        <v>21954.805827331504</v>
      </c>
      <c r="R80" s="243">
        <f t="shared" ca="1" si="19"/>
        <v>29177.599999999999</v>
      </c>
      <c r="S80" s="245">
        <f t="shared" ca="1" si="21"/>
        <v>21954.805827331504</v>
      </c>
      <c r="T80" s="425">
        <f t="shared" ca="1" si="17"/>
        <v>4277.4776578672554</v>
      </c>
    </row>
    <row r="81" spans="1:20">
      <c r="A81" s="246">
        <f t="shared" si="20"/>
        <v>71</v>
      </c>
      <c r="B81" s="530">
        <v>20003</v>
      </c>
      <c r="C81" s="531">
        <v>30036</v>
      </c>
      <c r="D81" s="531">
        <v>50042</v>
      </c>
      <c r="E81" s="532">
        <v>138</v>
      </c>
      <c r="F81" s="532" t="s">
        <v>2325</v>
      </c>
      <c r="G81" s="533">
        <v>1</v>
      </c>
      <c r="H81" s="534">
        <v>576431.13</v>
      </c>
      <c r="I81" s="535" t="s">
        <v>2402</v>
      </c>
      <c r="J81" s="536">
        <v>39753</v>
      </c>
      <c r="K81" s="537" t="s">
        <v>2327</v>
      </c>
      <c r="L81" s="538" t="b">
        <v>1</v>
      </c>
      <c r="M81" s="240">
        <f t="shared" si="14"/>
        <v>2952</v>
      </c>
      <c r="N81" s="241">
        <f t="shared" si="15"/>
        <v>1</v>
      </c>
      <c r="O81" s="242">
        <f t="shared" ca="1" si="18"/>
        <v>576431.13</v>
      </c>
      <c r="P81" s="242">
        <f t="shared" ca="1" si="16"/>
        <v>128111.36065612276</v>
      </c>
      <c r="Q81" s="243">
        <f t="shared" ca="1" si="9"/>
        <v>448319.76934387721</v>
      </c>
      <c r="R81" s="243">
        <f t="shared" ca="1" si="19"/>
        <v>576431.13</v>
      </c>
      <c r="S81" s="245">
        <f t="shared" ca="1" si="21"/>
        <v>448319.76934387721</v>
      </c>
      <c r="T81" s="425">
        <f t="shared" ca="1" si="17"/>
        <v>87346.607026755024</v>
      </c>
    </row>
    <row r="82" spans="1:20">
      <c r="A82" s="246">
        <f t="shared" si="20"/>
        <v>72</v>
      </c>
      <c r="B82" s="530">
        <v>20003</v>
      </c>
      <c r="C82" s="531">
        <v>30037</v>
      </c>
      <c r="D82" s="531">
        <v>50043</v>
      </c>
      <c r="E82" s="532">
        <v>69</v>
      </c>
      <c r="F82" s="532" t="s">
        <v>2325</v>
      </c>
      <c r="G82" s="533">
        <v>1</v>
      </c>
      <c r="H82" s="534">
        <v>292818.36</v>
      </c>
      <c r="I82" s="535" t="s">
        <v>2403</v>
      </c>
      <c r="J82" s="536">
        <v>39508</v>
      </c>
      <c r="K82" s="537" t="s">
        <v>2327</v>
      </c>
      <c r="L82" s="538" t="b">
        <v>1</v>
      </c>
      <c r="M82" s="240">
        <f t="shared" si="14"/>
        <v>3197</v>
      </c>
      <c r="N82" s="241">
        <f t="shared" si="15"/>
        <v>1</v>
      </c>
      <c r="O82" s="242">
        <f t="shared" ca="1" si="18"/>
        <v>292818.36</v>
      </c>
      <c r="P82" s="242">
        <f t="shared" ca="1" si="16"/>
        <v>70479.822902360553</v>
      </c>
      <c r="Q82" s="243">
        <f t="shared" ca="1" si="9"/>
        <v>222338.53709763943</v>
      </c>
      <c r="R82" s="243">
        <f t="shared" ca="1" si="19"/>
        <v>292818.36</v>
      </c>
      <c r="S82" s="245">
        <f t="shared" ca="1" si="21"/>
        <v>222338.53709763943</v>
      </c>
      <c r="T82" s="425">
        <v>-62376.639999999999</v>
      </c>
    </row>
    <row r="83" spans="1:20" ht="27" customHeight="1">
      <c r="A83" s="246">
        <f t="shared" si="20"/>
        <v>73</v>
      </c>
      <c r="B83" s="530">
        <v>20030</v>
      </c>
      <c r="C83" s="531">
        <v>30039</v>
      </c>
      <c r="D83" s="531">
        <v>50045</v>
      </c>
      <c r="E83" s="532"/>
      <c r="F83" s="532"/>
      <c r="G83" s="533"/>
      <c r="H83" s="534"/>
      <c r="I83" s="535" t="s">
        <v>2404</v>
      </c>
      <c r="J83" s="536"/>
      <c r="K83" s="537" t="s">
        <v>2338</v>
      </c>
      <c r="L83" s="538" t="b">
        <v>0</v>
      </c>
      <c r="M83" s="240">
        <f t="shared" si="14"/>
        <v>0</v>
      </c>
      <c r="N83" s="241">
        <f t="shared" si="15"/>
        <v>0</v>
      </c>
      <c r="O83" s="242">
        <f t="shared" ca="1" si="18"/>
        <v>0</v>
      </c>
      <c r="P83" s="242">
        <f t="shared" ca="1" si="16"/>
        <v>0</v>
      </c>
      <c r="Q83" s="243">
        <f t="shared" ca="1" si="9"/>
        <v>0</v>
      </c>
      <c r="R83" s="243">
        <f t="shared" ca="1" si="19"/>
        <v>0</v>
      </c>
      <c r="S83" s="245">
        <f t="shared" ca="1" si="21"/>
        <v>0</v>
      </c>
      <c r="T83" s="425">
        <f t="shared" ca="1" si="17"/>
        <v>0</v>
      </c>
    </row>
    <row r="84" spans="1:20" ht="15" customHeight="1">
      <c r="A84" s="246">
        <f t="shared" si="20"/>
        <v>74</v>
      </c>
      <c r="B84" s="530">
        <v>19985</v>
      </c>
      <c r="C84" s="531">
        <v>30041</v>
      </c>
      <c r="D84" s="531">
        <v>50047</v>
      </c>
      <c r="E84" s="532">
        <v>138</v>
      </c>
      <c r="F84" s="532" t="s">
        <v>2325</v>
      </c>
      <c r="G84" s="533">
        <v>1</v>
      </c>
      <c r="H84" s="534"/>
      <c r="I84" s="535" t="s">
        <v>2405</v>
      </c>
      <c r="J84" s="536">
        <v>41061</v>
      </c>
      <c r="K84" s="537" t="s">
        <v>2327</v>
      </c>
      <c r="L84" s="538" t="b">
        <v>0</v>
      </c>
      <c r="M84" s="240">
        <f t="shared" si="14"/>
        <v>0</v>
      </c>
      <c r="N84" s="241">
        <f t="shared" si="15"/>
        <v>1</v>
      </c>
      <c r="O84" s="242">
        <f t="shared" ca="1" si="18"/>
        <v>0</v>
      </c>
      <c r="P84" s="242">
        <f t="shared" ca="1" si="16"/>
        <v>0</v>
      </c>
      <c r="Q84" s="243">
        <f t="shared" ca="1" si="9"/>
        <v>0</v>
      </c>
      <c r="R84" s="243">
        <f t="shared" ca="1" si="19"/>
        <v>0</v>
      </c>
      <c r="S84" s="245">
        <f t="shared" ca="1" si="21"/>
        <v>0</v>
      </c>
      <c r="T84" s="425">
        <f t="shared" ca="1" si="17"/>
        <v>0</v>
      </c>
    </row>
    <row r="85" spans="1:20">
      <c r="A85" s="246">
        <f t="shared" si="20"/>
        <v>75</v>
      </c>
      <c r="B85" s="530">
        <v>20003</v>
      </c>
      <c r="C85" s="531">
        <v>30043</v>
      </c>
      <c r="D85" s="531">
        <v>50049</v>
      </c>
      <c r="E85" s="532">
        <v>69</v>
      </c>
      <c r="F85" s="532" t="s">
        <v>2325</v>
      </c>
      <c r="G85" s="533">
        <v>1</v>
      </c>
      <c r="H85" s="534"/>
      <c r="I85" s="535" t="s">
        <v>2406</v>
      </c>
      <c r="J85" s="536">
        <v>39600</v>
      </c>
      <c r="K85" s="537" t="s">
        <v>2327</v>
      </c>
      <c r="L85" s="538" t="b">
        <v>1</v>
      </c>
      <c r="M85" s="240">
        <f t="shared" si="14"/>
        <v>3105</v>
      </c>
      <c r="N85" s="241">
        <f t="shared" si="15"/>
        <v>1</v>
      </c>
      <c r="O85" s="242">
        <f t="shared" ca="1" si="18"/>
        <v>0</v>
      </c>
      <c r="P85" s="242">
        <f t="shared" ca="1" si="16"/>
        <v>0</v>
      </c>
      <c r="Q85" s="243">
        <f t="shared" ca="1" si="9"/>
        <v>0</v>
      </c>
      <c r="R85" s="243">
        <f t="shared" ca="1" si="19"/>
        <v>0</v>
      </c>
      <c r="S85" s="245">
        <f t="shared" ca="1" si="21"/>
        <v>0</v>
      </c>
      <c r="T85" s="425">
        <f t="shared" ca="1" si="17"/>
        <v>0</v>
      </c>
    </row>
    <row r="86" spans="1:20">
      <c r="A86" s="246">
        <f t="shared" si="20"/>
        <v>76</v>
      </c>
      <c r="B86" s="530">
        <v>20003</v>
      </c>
      <c r="C86" s="531">
        <v>30079</v>
      </c>
      <c r="D86" s="531">
        <v>50085</v>
      </c>
      <c r="E86" s="532">
        <v>69</v>
      </c>
      <c r="F86" s="532" t="s">
        <v>2325</v>
      </c>
      <c r="G86" s="533">
        <v>1</v>
      </c>
      <c r="H86" s="534">
        <v>568368.68999999994</v>
      </c>
      <c r="I86" s="535" t="s">
        <v>2407</v>
      </c>
      <c r="J86" s="536">
        <v>42181</v>
      </c>
      <c r="K86" s="537" t="s">
        <v>2344</v>
      </c>
      <c r="L86" s="538" t="b">
        <v>1</v>
      </c>
      <c r="M86" s="240">
        <f t="shared" si="14"/>
        <v>524</v>
      </c>
      <c r="N86" s="241">
        <f t="shared" si="15"/>
        <v>1</v>
      </c>
      <c r="O86" s="242">
        <f t="shared" ca="1" si="18"/>
        <v>568368.68999999994</v>
      </c>
      <c r="P86" s="242">
        <f t="shared" ca="1" si="16"/>
        <v>22422.565257613151</v>
      </c>
      <c r="Q86" s="243">
        <f t="shared" ref="Q86:Q116" ca="1" si="22">O86-P86</f>
        <v>545946.12474238675</v>
      </c>
      <c r="R86" s="243">
        <f t="shared" ca="1" si="19"/>
        <v>568368.68999999994</v>
      </c>
      <c r="S86" s="245">
        <f t="shared" ca="1" si="21"/>
        <v>545946.12474238675</v>
      </c>
      <c r="T86" s="425">
        <f t="shared" ca="1" si="17"/>
        <v>106367.25140504737</v>
      </c>
    </row>
    <row r="87" spans="1:20">
      <c r="A87" s="246">
        <f t="shared" si="20"/>
        <v>77</v>
      </c>
      <c r="B87" s="530">
        <v>20030</v>
      </c>
      <c r="C87" s="531">
        <v>30172</v>
      </c>
      <c r="D87" s="531">
        <v>50180</v>
      </c>
      <c r="E87" s="532">
        <v>69</v>
      </c>
      <c r="F87" s="532" t="s">
        <v>2325</v>
      </c>
      <c r="G87" s="533">
        <v>1</v>
      </c>
      <c r="H87" s="534">
        <v>139346.03</v>
      </c>
      <c r="I87" s="535" t="s">
        <v>2408</v>
      </c>
      <c r="J87" s="536">
        <v>40892</v>
      </c>
      <c r="K87" s="537" t="s">
        <v>2327</v>
      </c>
      <c r="L87" s="538" t="b">
        <v>1</v>
      </c>
      <c r="M87" s="240">
        <f t="shared" si="14"/>
        <v>1813</v>
      </c>
      <c r="N87" s="241">
        <f t="shared" si="15"/>
        <v>1</v>
      </c>
      <c r="O87" s="242">
        <f t="shared" ca="1" si="18"/>
        <v>139346.03</v>
      </c>
      <c r="P87" s="242">
        <f t="shared" ca="1" si="16"/>
        <v>19020.252064869044</v>
      </c>
      <c r="Q87" s="243">
        <f t="shared" ca="1" si="22"/>
        <v>120325.77793513096</v>
      </c>
      <c r="R87" s="243">
        <f t="shared" ca="1" si="19"/>
        <v>139346.03</v>
      </c>
      <c r="S87" s="245">
        <f t="shared" ca="1" si="21"/>
        <v>120325.77793513096</v>
      </c>
      <c r="T87" s="425">
        <f t="shared" ca="1" si="17"/>
        <v>23443.19648421949</v>
      </c>
    </row>
    <row r="88" spans="1:20">
      <c r="A88" s="246">
        <f t="shared" si="20"/>
        <v>78</v>
      </c>
      <c r="B88" s="530">
        <v>20085</v>
      </c>
      <c r="C88" s="531">
        <v>30178</v>
      </c>
      <c r="D88" s="531">
        <v>50186</v>
      </c>
      <c r="E88" s="532">
        <v>69</v>
      </c>
      <c r="F88" s="532" t="s">
        <v>2325</v>
      </c>
      <c r="G88" s="533">
        <v>1</v>
      </c>
      <c r="H88" s="534">
        <v>174091.51999999999</v>
      </c>
      <c r="I88" s="535" t="s">
        <v>2409</v>
      </c>
      <c r="J88" s="536">
        <v>41152</v>
      </c>
      <c r="K88" s="537" t="s">
        <v>2344</v>
      </c>
      <c r="L88" s="538" t="b">
        <v>1</v>
      </c>
      <c r="M88" s="240">
        <f t="shared" si="14"/>
        <v>1553</v>
      </c>
      <c r="N88" s="241">
        <f t="shared" si="15"/>
        <v>1</v>
      </c>
      <c r="O88" s="242">
        <f t="shared" ca="1" si="18"/>
        <v>174091.51999999999</v>
      </c>
      <c r="P88" s="242">
        <f t="shared" ca="1" si="16"/>
        <v>20355.085774763837</v>
      </c>
      <c r="Q88" s="243">
        <f t="shared" ca="1" si="22"/>
        <v>153736.43422523615</v>
      </c>
      <c r="R88" s="243">
        <f t="shared" ca="1" si="19"/>
        <v>174091.51999999999</v>
      </c>
      <c r="S88" s="245">
        <f t="shared" ca="1" si="21"/>
        <v>153736.43422523615</v>
      </c>
      <c r="T88" s="425">
        <f t="shared" ca="1" si="17"/>
        <v>29952.629404719039</v>
      </c>
    </row>
    <row r="89" spans="1:20">
      <c r="A89" s="246">
        <f t="shared" si="20"/>
        <v>79</v>
      </c>
      <c r="B89" s="530">
        <v>20136</v>
      </c>
      <c r="C89" s="531">
        <v>30320</v>
      </c>
      <c r="D89" s="531">
        <v>50366</v>
      </c>
      <c r="E89" s="532">
        <v>69</v>
      </c>
      <c r="F89" s="532" t="s">
        <v>2384</v>
      </c>
      <c r="G89" s="533">
        <v>0.67</v>
      </c>
      <c r="H89" s="534">
        <v>3059476.95</v>
      </c>
      <c r="I89" s="535" t="s">
        <v>2410</v>
      </c>
      <c r="J89" s="536">
        <v>42292</v>
      </c>
      <c r="K89" s="537" t="s">
        <v>2327</v>
      </c>
      <c r="L89" s="538" t="b">
        <v>1</v>
      </c>
      <c r="M89" s="240">
        <f t="shared" si="14"/>
        <v>413</v>
      </c>
      <c r="N89" s="241">
        <f t="shared" si="15"/>
        <v>0.67</v>
      </c>
      <c r="O89" s="242">
        <f t="shared" ca="1" si="18"/>
        <v>3059476.95</v>
      </c>
      <c r="P89" s="242">
        <f t="shared" ca="1" si="16"/>
        <v>95130.789534295909</v>
      </c>
      <c r="Q89" s="243">
        <f t="shared" ca="1" si="22"/>
        <v>2964346.1604657043</v>
      </c>
      <c r="R89" s="243">
        <f t="shared" ca="1" si="19"/>
        <v>2049849.5565000002</v>
      </c>
      <c r="S89" s="245">
        <f t="shared" ca="1" si="21"/>
        <v>1986111.927512022</v>
      </c>
      <c r="T89" s="425">
        <f t="shared" ca="1" si="17"/>
        <v>386956.25289385382</v>
      </c>
    </row>
    <row r="90" spans="1:20" ht="26.4">
      <c r="A90" s="246">
        <f t="shared" si="20"/>
        <v>80</v>
      </c>
      <c r="B90" s="530">
        <v>20136</v>
      </c>
      <c r="C90" s="531">
        <v>30321</v>
      </c>
      <c r="D90" s="531">
        <v>50367</v>
      </c>
      <c r="E90" s="532">
        <v>69</v>
      </c>
      <c r="F90" s="532" t="s">
        <v>2384</v>
      </c>
      <c r="G90" s="533">
        <v>0.67</v>
      </c>
      <c r="H90" s="534">
        <v>787310.04</v>
      </c>
      <c r="I90" s="535" t="s">
        <v>2411</v>
      </c>
      <c r="J90" s="536">
        <v>42125</v>
      </c>
      <c r="K90" s="537" t="s">
        <v>2327</v>
      </c>
      <c r="L90" s="538" t="b">
        <v>1</v>
      </c>
      <c r="M90" s="240">
        <f t="shared" si="14"/>
        <v>580</v>
      </c>
      <c r="N90" s="241">
        <f t="shared" si="15"/>
        <v>0.67</v>
      </c>
      <c r="O90" s="242">
        <f t="shared" ca="1" si="18"/>
        <v>787310.04</v>
      </c>
      <c r="P90" s="242">
        <f t="shared" ca="1" si="16"/>
        <v>34379.348880920552</v>
      </c>
      <c r="Q90" s="243">
        <f t="shared" ca="1" si="22"/>
        <v>752930.69111907948</v>
      </c>
      <c r="R90" s="243">
        <f t="shared" ca="1" si="19"/>
        <v>527497.72680000006</v>
      </c>
      <c r="S90" s="245">
        <f t="shared" ca="1" si="21"/>
        <v>504463.56304978329</v>
      </c>
      <c r="T90" s="425">
        <f t="shared" ca="1" si="17"/>
        <v>98285.160758164231</v>
      </c>
    </row>
    <row r="91" spans="1:20" ht="26.4">
      <c r="A91" s="246">
        <f t="shared" si="20"/>
        <v>81</v>
      </c>
      <c r="B91" s="530">
        <v>200208</v>
      </c>
      <c r="C91" s="531">
        <v>909</v>
      </c>
      <c r="D91" s="531">
        <v>50579</v>
      </c>
      <c r="E91" s="532">
        <v>138</v>
      </c>
      <c r="F91" s="532" t="s">
        <v>2384</v>
      </c>
      <c r="G91" s="533">
        <v>1</v>
      </c>
      <c r="H91" s="534">
        <v>308706.81</v>
      </c>
      <c r="I91" s="535" t="s">
        <v>2412</v>
      </c>
      <c r="J91" s="536">
        <v>42272</v>
      </c>
      <c r="K91" s="537" t="s">
        <v>2327</v>
      </c>
      <c r="L91" s="538" t="b">
        <v>1</v>
      </c>
      <c r="M91" s="240">
        <f t="shared" si="14"/>
        <v>433</v>
      </c>
      <c r="N91" s="241">
        <f t="shared" si="15"/>
        <v>1</v>
      </c>
      <c r="O91" s="242">
        <f t="shared" ca="1" si="18"/>
        <v>308706.81</v>
      </c>
      <c r="P91" s="242">
        <f t="shared" ca="1" si="16"/>
        <v>10063.706682466851</v>
      </c>
      <c r="Q91" s="243">
        <f t="shared" ca="1" si="22"/>
        <v>298643.10331753315</v>
      </c>
      <c r="R91" s="243">
        <f t="shared" ca="1" si="19"/>
        <v>308706.81</v>
      </c>
      <c r="S91" s="245">
        <f t="shared" ca="1" si="21"/>
        <v>298643.10331753315</v>
      </c>
      <c r="T91" s="425">
        <f t="shared" ca="1" si="17"/>
        <v>58184.946483407679</v>
      </c>
    </row>
    <row r="92" spans="1:20">
      <c r="A92" s="246">
        <f t="shared" si="20"/>
        <v>82</v>
      </c>
      <c r="B92" s="530">
        <v>200208</v>
      </c>
      <c r="C92" s="531">
        <v>909</v>
      </c>
      <c r="D92" s="531">
        <v>50580</v>
      </c>
      <c r="E92" s="532">
        <v>138</v>
      </c>
      <c r="F92" s="532" t="s">
        <v>2384</v>
      </c>
      <c r="G92" s="533">
        <v>1</v>
      </c>
      <c r="H92" s="534">
        <v>3672718.43</v>
      </c>
      <c r="I92" s="535" t="s">
        <v>2413</v>
      </c>
      <c r="J92" s="536">
        <v>42272</v>
      </c>
      <c r="K92" s="537" t="s">
        <v>2344</v>
      </c>
      <c r="L92" s="538" t="b">
        <v>1</v>
      </c>
      <c r="M92" s="240">
        <f t="shared" si="14"/>
        <v>433</v>
      </c>
      <c r="N92" s="241">
        <f t="shared" si="15"/>
        <v>1</v>
      </c>
      <c r="O92" s="242">
        <f t="shared" ca="1" si="18"/>
        <v>3672718.43</v>
      </c>
      <c r="P92" s="242">
        <f t="shared" ca="1" si="16"/>
        <v>119729.01085923619</v>
      </c>
      <c r="Q92" s="243">
        <f t="shared" ca="1" si="22"/>
        <v>3552989.419140764</v>
      </c>
      <c r="R92" s="243">
        <f t="shared" ca="1" si="19"/>
        <v>3672718.43</v>
      </c>
      <c r="S92" s="245">
        <f t="shared" ca="1" si="21"/>
        <v>3552989.419140764</v>
      </c>
      <c r="T92" s="425">
        <f t="shared" ca="1" si="17"/>
        <v>692232.62453515385</v>
      </c>
    </row>
    <row r="93" spans="1:20">
      <c r="A93" s="246">
        <f t="shared" si="20"/>
        <v>83</v>
      </c>
      <c r="B93" s="530">
        <v>200200</v>
      </c>
      <c r="C93" s="531">
        <v>30488</v>
      </c>
      <c r="D93" s="531">
        <v>50595</v>
      </c>
      <c r="E93" s="532">
        <v>138</v>
      </c>
      <c r="F93" s="532" t="s">
        <v>2384</v>
      </c>
      <c r="G93" s="533">
        <v>1</v>
      </c>
      <c r="H93" s="534">
        <v>19194190</v>
      </c>
      <c r="I93" s="535" t="s">
        <v>2414</v>
      </c>
      <c r="J93" s="536">
        <v>41302</v>
      </c>
      <c r="K93" s="537" t="s">
        <v>2344</v>
      </c>
      <c r="L93" s="538" t="b">
        <v>1</v>
      </c>
      <c r="M93" s="240">
        <f t="shared" si="14"/>
        <v>1403</v>
      </c>
      <c r="N93" s="241">
        <f t="shared" si="15"/>
        <v>1</v>
      </c>
      <c r="O93" s="242">
        <f t="shared" ca="1" si="18"/>
        <v>19194190</v>
      </c>
      <c r="P93" s="242">
        <f t="shared" ca="1" si="16"/>
        <v>2027455.4704208223</v>
      </c>
      <c r="Q93" s="243">
        <f t="shared" ca="1" si="22"/>
        <v>17166734.529579177</v>
      </c>
      <c r="R93" s="243">
        <f t="shared" ca="1" si="19"/>
        <v>19194190</v>
      </c>
      <c r="S93" s="245">
        <f t="shared" ca="1" si="21"/>
        <v>17166734.529579177</v>
      </c>
      <c r="T93" s="425">
        <f t="shared" ca="1" si="17"/>
        <v>3344612.7461259523</v>
      </c>
    </row>
    <row r="94" spans="1:20">
      <c r="A94" s="246">
        <f t="shared" si="20"/>
        <v>84</v>
      </c>
      <c r="B94" s="530">
        <v>200200</v>
      </c>
      <c r="C94" s="531">
        <v>30488</v>
      </c>
      <c r="D94" s="531">
        <v>50596</v>
      </c>
      <c r="E94" s="532">
        <v>138</v>
      </c>
      <c r="F94" s="532" t="s">
        <v>2384</v>
      </c>
      <c r="G94" s="533">
        <v>1</v>
      </c>
      <c r="H94" s="534">
        <v>1700835</v>
      </c>
      <c r="I94" s="535" t="s">
        <v>2415</v>
      </c>
      <c r="J94" s="536">
        <v>41455</v>
      </c>
      <c r="K94" s="537" t="s">
        <v>2344</v>
      </c>
      <c r="L94" s="538" t="b">
        <v>1</v>
      </c>
      <c r="M94" s="240">
        <f t="shared" si="14"/>
        <v>1250</v>
      </c>
      <c r="N94" s="241">
        <f t="shared" si="15"/>
        <v>1</v>
      </c>
      <c r="O94" s="242">
        <f t="shared" ca="1" si="18"/>
        <v>1700835</v>
      </c>
      <c r="P94" s="242">
        <f t="shared" ca="1" si="16"/>
        <v>160064.88287671233</v>
      </c>
      <c r="Q94" s="243">
        <f t="shared" ca="1" si="22"/>
        <v>1540770.1171232876</v>
      </c>
      <c r="R94" s="243">
        <f t="shared" ca="1" si="19"/>
        <v>1700835</v>
      </c>
      <c r="S94" s="245">
        <f t="shared" ca="1" si="21"/>
        <v>1540770.1171232876</v>
      </c>
      <c r="T94" s="425">
        <f t="shared" ca="1" si="17"/>
        <v>300189.84470815666</v>
      </c>
    </row>
    <row r="95" spans="1:20">
      <c r="A95" s="246">
        <f t="shared" si="20"/>
        <v>85</v>
      </c>
      <c r="B95" s="530">
        <v>200200</v>
      </c>
      <c r="C95" s="531">
        <v>30488</v>
      </c>
      <c r="D95" s="531">
        <v>50597</v>
      </c>
      <c r="E95" s="532">
        <v>69</v>
      </c>
      <c r="F95" s="532" t="s">
        <v>2384</v>
      </c>
      <c r="G95" s="533">
        <v>1</v>
      </c>
      <c r="H95" s="534">
        <v>3247997.38</v>
      </c>
      <c r="I95" s="535" t="s">
        <v>2416</v>
      </c>
      <c r="J95" s="536">
        <v>41449</v>
      </c>
      <c r="K95" s="537" t="s">
        <v>2344</v>
      </c>
      <c r="L95" s="538" t="b">
        <v>1</v>
      </c>
      <c r="M95" s="240">
        <f t="shared" si="14"/>
        <v>1256</v>
      </c>
      <c r="N95" s="241">
        <f t="shared" si="15"/>
        <v>1</v>
      </c>
      <c r="O95" s="242">
        <f t="shared" ca="1" si="18"/>
        <v>3247997.38</v>
      </c>
      <c r="P95" s="242">
        <f t="shared" ca="1" si="16"/>
        <v>307134.90359182033</v>
      </c>
      <c r="Q95" s="243">
        <f t="shared" ca="1" si="22"/>
        <v>2940862.4764081794</v>
      </c>
      <c r="R95" s="243">
        <f t="shared" ca="1" si="19"/>
        <v>3247997.38</v>
      </c>
      <c r="S95" s="245">
        <f t="shared" ca="1" si="21"/>
        <v>2940862.4764081794</v>
      </c>
      <c r="T95" s="425">
        <f t="shared" ca="1" si="17"/>
        <v>572971.2955163552</v>
      </c>
    </row>
    <row r="96" spans="1:20">
      <c r="A96" s="246">
        <f t="shared" si="20"/>
        <v>86</v>
      </c>
      <c r="B96" s="530">
        <v>200200</v>
      </c>
      <c r="C96" s="531">
        <v>30489</v>
      </c>
      <c r="D96" s="531">
        <v>50598</v>
      </c>
      <c r="E96" s="532"/>
      <c r="F96" s="532"/>
      <c r="G96" s="533"/>
      <c r="H96" s="534"/>
      <c r="I96" s="535" t="s">
        <v>2417</v>
      </c>
      <c r="J96" s="536">
        <v>42062</v>
      </c>
      <c r="K96" s="537" t="s">
        <v>2327</v>
      </c>
      <c r="L96" s="538" t="b">
        <v>1</v>
      </c>
      <c r="M96" s="240">
        <f t="shared" si="14"/>
        <v>643</v>
      </c>
      <c r="N96" s="241">
        <f t="shared" si="15"/>
        <v>0</v>
      </c>
      <c r="O96" s="242">
        <f t="shared" ca="1" si="18"/>
        <v>0</v>
      </c>
      <c r="P96" s="242">
        <f t="shared" ca="1" si="16"/>
        <v>0</v>
      </c>
      <c r="Q96" s="243">
        <f t="shared" ca="1" si="22"/>
        <v>0</v>
      </c>
      <c r="R96" s="243">
        <f t="shared" ca="1" si="19"/>
        <v>0</v>
      </c>
      <c r="S96" s="245">
        <f t="shared" ca="1" si="21"/>
        <v>0</v>
      </c>
      <c r="T96" s="425">
        <f t="shared" ca="1" si="17"/>
        <v>0</v>
      </c>
    </row>
    <row r="97" spans="1:20">
      <c r="A97" s="246">
        <f t="shared" si="20"/>
        <v>87</v>
      </c>
      <c r="B97" s="530">
        <v>200200</v>
      </c>
      <c r="C97" s="531">
        <v>30490</v>
      </c>
      <c r="D97" s="531">
        <v>50599</v>
      </c>
      <c r="E97" s="532">
        <v>69</v>
      </c>
      <c r="F97" s="532" t="s">
        <v>2384</v>
      </c>
      <c r="G97" s="533">
        <v>1</v>
      </c>
      <c r="H97" s="534">
        <v>524345.44999999995</v>
      </c>
      <c r="I97" s="535" t="s">
        <v>2418</v>
      </c>
      <c r="J97" s="536">
        <v>42118</v>
      </c>
      <c r="K97" s="537" t="s">
        <v>2344</v>
      </c>
      <c r="L97" s="538" t="b">
        <v>1</v>
      </c>
      <c r="M97" s="240">
        <f t="shared" si="14"/>
        <v>587</v>
      </c>
      <c r="N97" s="241">
        <f t="shared" si="15"/>
        <v>1</v>
      </c>
      <c r="O97" s="242">
        <f t="shared" ca="1" si="18"/>
        <v>524345.44999999995</v>
      </c>
      <c r="P97" s="242">
        <f t="shared" ca="1" si="16"/>
        <v>23172.850989156163</v>
      </c>
      <c r="Q97" s="243">
        <f t="shared" ca="1" si="22"/>
        <v>501172.59901084378</v>
      </c>
      <c r="R97" s="243">
        <f t="shared" ca="1" si="19"/>
        <v>524345.44999999995</v>
      </c>
      <c r="S97" s="245">
        <f t="shared" ca="1" si="21"/>
        <v>501172.59901084378</v>
      </c>
      <c r="T97" s="425">
        <f t="shared" ca="1" si="17"/>
        <v>97643.978811026085</v>
      </c>
    </row>
    <row r="98" spans="1:20" ht="26.4">
      <c r="A98" s="246">
        <f t="shared" si="20"/>
        <v>88</v>
      </c>
      <c r="B98" s="530">
        <v>200200</v>
      </c>
      <c r="C98" s="531">
        <v>30491</v>
      </c>
      <c r="D98" s="531">
        <v>50600</v>
      </c>
      <c r="E98" s="532">
        <v>69</v>
      </c>
      <c r="F98" s="532" t="s">
        <v>2384</v>
      </c>
      <c r="G98" s="533">
        <v>1</v>
      </c>
      <c r="H98" s="534"/>
      <c r="I98" s="535" t="s">
        <v>2419</v>
      </c>
      <c r="J98" s="536">
        <v>42036</v>
      </c>
      <c r="K98" s="537" t="s">
        <v>2340</v>
      </c>
      <c r="L98" s="538" t="b">
        <v>0</v>
      </c>
      <c r="M98" s="240">
        <f t="shared" si="14"/>
        <v>0</v>
      </c>
      <c r="N98" s="241">
        <f t="shared" si="15"/>
        <v>1</v>
      </c>
      <c r="O98" s="242">
        <f t="shared" ca="1" si="18"/>
        <v>0</v>
      </c>
      <c r="P98" s="242">
        <f t="shared" ca="1" si="16"/>
        <v>0</v>
      </c>
      <c r="Q98" s="243">
        <f t="shared" ca="1" si="22"/>
        <v>0</v>
      </c>
      <c r="R98" s="243">
        <f t="shared" ca="1" si="19"/>
        <v>0</v>
      </c>
      <c r="S98" s="245">
        <f t="shared" ca="1" si="21"/>
        <v>0</v>
      </c>
      <c r="T98" s="425">
        <f t="shared" ca="1" si="17"/>
        <v>0</v>
      </c>
    </row>
    <row r="99" spans="1:20">
      <c r="A99" s="246">
        <f t="shared" si="20"/>
        <v>89</v>
      </c>
      <c r="B99" s="530">
        <v>200200</v>
      </c>
      <c r="C99" s="531">
        <v>30497</v>
      </c>
      <c r="D99" s="531">
        <v>50610</v>
      </c>
      <c r="E99" s="532">
        <v>69</v>
      </c>
      <c r="F99" s="532" t="s">
        <v>2384</v>
      </c>
      <c r="G99" s="533">
        <v>1</v>
      </c>
      <c r="H99" s="534">
        <v>4094378</v>
      </c>
      <c r="I99" s="535" t="s">
        <v>2420</v>
      </c>
      <c r="J99" s="536">
        <v>41992</v>
      </c>
      <c r="K99" s="537" t="s">
        <v>2344</v>
      </c>
      <c r="L99" s="538" t="b">
        <v>1</v>
      </c>
      <c r="M99" s="240">
        <f t="shared" si="14"/>
        <v>713</v>
      </c>
      <c r="N99" s="241">
        <f t="shared" si="15"/>
        <v>1</v>
      </c>
      <c r="O99" s="242">
        <f t="shared" ca="1" si="18"/>
        <v>4094378</v>
      </c>
      <c r="P99" s="242">
        <f t="shared" ca="1" si="16"/>
        <v>219786.65973895893</v>
      </c>
      <c r="Q99" s="243">
        <f t="shared" ca="1" si="22"/>
        <v>3874591.3402610412</v>
      </c>
      <c r="R99" s="243">
        <f t="shared" ca="1" si="19"/>
        <v>4094378</v>
      </c>
      <c r="S99" s="245">
        <f t="shared" ca="1" si="21"/>
        <v>3874591.3402610412</v>
      </c>
      <c r="T99" s="425">
        <f t="shared" ca="1" si="17"/>
        <v>754890.66137402377</v>
      </c>
    </row>
    <row r="100" spans="1:20">
      <c r="A100" s="246">
        <f t="shared" si="20"/>
        <v>90</v>
      </c>
      <c r="B100" s="530">
        <v>200200</v>
      </c>
      <c r="C100" s="531">
        <v>30497</v>
      </c>
      <c r="D100" s="531">
        <v>50611</v>
      </c>
      <c r="E100" s="532">
        <v>69</v>
      </c>
      <c r="F100" s="532" t="s">
        <v>2384</v>
      </c>
      <c r="G100" s="533">
        <v>1</v>
      </c>
      <c r="H100" s="534">
        <v>960410</v>
      </c>
      <c r="I100" s="535" t="s">
        <v>2421</v>
      </c>
      <c r="J100" s="536">
        <v>41992</v>
      </c>
      <c r="K100" s="537" t="s">
        <v>2344</v>
      </c>
      <c r="L100" s="538" t="b">
        <v>1</v>
      </c>
      <c r="M100" s="240">
        <f t="shared" si="14"/>
        <v>713</v>
      </c>
      <c r="N100" s="241">
        <f t="shared" si="15"/>
        <v>1</v>
      </c>
      <c r="O100" s="242">
        <f t="shared" ca="1" si="18"/>
        <v>960410</v>
      </c>
      <c r="P100" s="242">
        <f t="shared" ca="1" si="16"/>
        <v>51554.914050410967</v>
      </c>
      <c r="Q100" s="243">
        <f t="shared" ca="1" si="22"/>
        <v>908855.08594958903</v>
      </c>
      <c r="R100" s="243">
        <f t="shared" ca="1" si="19"/>
        <v>960410</v>
      </c>
      <c r="S100" s="245">
        <f t="shared" ca="1" si="21"/>
        <v>908855.08594958903</v>
      </c>
      <c r="T100" s="425">
        <f t="shared" ca="1" si="17"/>
        <v>177073.18183377941</v>
      </c>
    </row>
    <row r="101" spans="1:20" ht="26.4">
      <c r="A101" s="246">
        <f t="shared" si="20"/>
        <v>91</v>
      </c>
      <c r="B101" s="530">
        <v>200200</v>
      </c>
      <c r="C101" s="531">
        <v>30488</v>
      </c>
      <c r="D101" s="531">
        <v>50619</v>
      </c>
      <c r="E101" s="532">
        <v>138</v>
      </c>
      <c r="F101" s="532" t="s">
        <v>2384</v>
      </c>
      <c r="G101" s="533">
        <v>1</v>
      </c>
      <c r="H101" s="534">
        <v>7250930</v>
      </c>
      <c r="I101" s="535" t="s">
        <v>2422</v>
      </c>
      <c r="J101" s="536">
        <v>41759</v>
      </c>
      <c r="K101" s="537" t="s">
        <v>2344</v>
      </c>
      <c r="L101" s="538" t="b">
        <v>1</v>
      </c>
      <c r="M101" s="240">
        <f t="shared" si="14"/>
        <v>946</v>
      </c>
      <c r="N101" s="241">
        <f t="shared" si="15"/>
        <v>1</v>
      </c>
      <c r="O101" s="242">
        <f t="shared" ca="1" si="18"/>
        <v>7250930</v>
      </c>
      <c r="P101" s="242">
        <f t="shared" ca="1" si="16"/>
        <v>516426.72973808227</v>
      </c>
      <c r="Q101" s="243">
        <f t="shared" ca="1" si="22"/>
        <v>6734503.2702619173</v>
      </c>
      <c r="R101" s="243">
        <f t="shared" ca="1" si="19"/>
        <v>7250930</v>
      </c>
      <c r="S101" s="245">
        <f t="shared" ca="1" si="21"/>
        <v>6734503.2702619173</v>
      </c>
      <c r="T101" s="425">
        <f t="shared" ca="1" si="17"/>
        <v>1312090.2777248851</v>
      </c>
    </row>
    <row r="102" spans="1:20" ht="26.4">
      <c r="A102" s="246">
        <f t="shared" si="20"/>
        <v>92</v>
      </c>
      <c r="B102" s="530">
        <v>200234</v>
      </c>
      <c r="C102" s="531">
        <v>30501</v>
      </c>
      <c r="D102" s="531">
        <v>50624</v>
      </c>
      <c r="E102" s="532">
        <v>138</v>
      </c>
      <c r="F102" s="532" t="s">
        <v>2384</v>
      </c>
      <c r="G102" s="533">
        <v>1</v>
      </c>
      <c r="H102" s="534">
        <v>7430396</v>
      </c>
      <c r="I102" s="535" t="s">
        <v>2423</v>
      </c>
      <c r="J102" s="536">
        <v>42489</v>
      </c>
      <c r="K102" s="537" t="s">
        <v>2327</v>
      </c>
      <c r="L102" s="538" t="b">
        <v>1</v>
      </c>
      <c r="M102" s="240">
        <f t="shared" si="14"/>
        <v>216</v>
      </c>
      <c r="N102" s="241">
        <f t="shared" si="15"/>
        <v>1</v>
      </c>
      <c r="O102" s="242">
        <f t="shared" ca="1" si="18"/>
        <v>7430396</v>
      </c>
      <c r="P102" s="242">
        <f t="shared" ca="1" si="16"/>
        <v>120834.11761446575</v>
      </c>
      <c r="Q102" s="243">
        <f t="shared" ca="1" si="22"/>
        <v>7309561.8823855342</v>
      </c>
      <c r="R102" s="243">
        <f t="shared" ca="1" si="19"/>
        <v>7430396</v>
      </c>
      <c r="S102" s="245">
        <f t="shared" ca="1" si="21"/>
        <v>7309561.8823855342</v>
      </c>
      <c r="T102" s="425">
        <f t="shared" ca="1" si="17"/>
        <v>1424129.5453307377</v>
      </c>
    </row>
    <row r="103" spans="1:20" ht="26.4">
      <c r="A103" s="246">
        <f t="shared" si="20"/>
        <v>93</v>
      </c>
      <c r="B103" s="530">
        <v>200234</v>
      </c>
      <c r="C103" s="531">
        <v>30502</v>
      </c>
      <c r="D103" s="531">
        <v>50626</v>
      </c>
      <c r="E103" s="532">
        <v>138</v>
      </c>
      <c r="F103" s="532" t="s">
        <v>2384</v>
      </c>
      <c r="G103" s="533">
        <v>1</v>
      </c>
      <c r="H103" s="534"/>
      <c r="I103" s="535" t="s">
        <v>2424</v>
      </c>
      <c r="J103" s="536">
        <v>42887</v>
      </c>
      <c r="K103" s="537" t="s">
        <v>2425</v>
      </c>
      <c r="L103" s="538" t="b">
        <v>0</v>
      </c>
      <c r="M103" s="240">
        <f t="shared" si="14"/>
        <v>0</v>
      </c>
      <c r="N103" s="241">
        <f t="shared" si="15"/>
        <v>1</v>
      </c>
      <c r="O103" s="242">
        <f t="shared" ca="1" si="18"/>
        <v>0</v>
      </c>
      <c r="P103" s="242">
        <f t="shared" ca="1" si="16"/>
        <v>0</v>
      </c>
      <c r="Q103" s="243">
        <f t="shared" ca="1" si="22"/>
        <v>0</v>
      </c>
      <c r="R103" s="243">
        <f t="shared" ca="1" si="19"/>
        <v>0</v>
      </c>
      <c r="S103" s="245">
        <f t="shared" ca="1" si="21"/>
        <v>0</v>
      </c>
      <c r="T103" s="425">
        <f t="shared" ca="1" si="17"/>
        <v>0</v>
      </c>
    </row>
    <row r="104" spans="1:20" ht="26.4">
      <c r="A104" s="246">
        <f t="shared" si="20"/>
        <v>94</v>
      </c>
      <c r="B104" s="530">
        <v>200234</v>
      </c>
      <c r="C104" s="531">
        <v>30503</v>
      </c>
      <c r="D104" s="531">
        <v>50628</v>
      </c>
      <c r="E104" s="532">
        <v>69</v>
      </c>
      <c r="F104" s="532" t="s">
        <v>2384</v>
      </c>
      <c r="G104" s="533">
        <v>1</v>
      </c>
      <c r="H104" s="534"/>
      <c r="I104" s="535" t="s">
        <v>2426</v>
      </c>
      <c r="J104" s="536">
        <v>42887</v>
      </c>
      <c r="K104" s="537" t="s">
        <v>2425</v>
      </c>
      <c r="L104" s="538" t="b">
        <v>0</v>
      </c>
      <c r="M104" s="240">
        <f t="shared" si="14"/>
        <v>0</v>
      </c>
      <c r="N104" s="241">
        <f t="shared" si="15"/>
        <v>1</v>
      </c>
      <c r="O104" s="242">
        <f t="shared" ca="1" si="18"/>
        <v>0</v>
      </c>
      <c r="P104" s="242">
        <f t="shared" ca="1" si="16"/>
        <v>0</v>
      </c>
      <c r="Q104" s="243">
        <f t="shared" ca="1" si="22"/>
        <v>0</v>
      </c>
      <c r="R104" s="243">
        <f t="shared" ca="1" si="19"/>
        <v>0</v>
      </c>
      <c r="S104" s="245">
        <f t="shared" ca="1" si="21"/>
        <v>0</v>
      </c>
      <c r="T104" s="425">
        <f t="shared" ca="1" si="17"/>
        <v>0</v>
      </c>
    </row>
    <row r="105" spans="1:20" ht="26.4">
      <c r="A105" s="246">
        <f t="shared" si="20"/>
        <v>95</v>
      </c>
      <c r="B105" s="530">
        <v>200245</v>
      </c>
      <c r="C105" s="531">
        <v>30562</v>
      </c>
      <c r="D105" s="531">
        <v>50700</v>
      </c>
      <c r="E105" s="532"/>
      <c r="F105" s="532"/>
      <c r="G105" s="533"/>
      <c r="H105" s="534"/>
      <c r="I105" s="535" t="s">
        <v>2427</v>
      </c>
      <c r="J105" s="536"/>
      <c r="K105" s="537" t="s">
        <v>2338</v>
      </c>
      <c r="L105" s="538" t="b">
        <v>0</v>
      </c>
      <c r="M105" s="240">
        <f t="shared" si="14"/>
        <v>0</v>
      </c>
      <c r="N105" s="241">
        <f t="shared" si="15"/>
        <v>0</v>
      </c>
      <c r="O105" s="242">
        <f t="shared" ca="1" si="18"/>
        <v>0</v>
      </c>
      <c r="P105" s="242">
        <f t="shared" ca="1" si="16"/>
        <v>0</v>
      </c>
      <c r="Q105" s="243">
        <f t="shared" ca="1" si="22"/>
        <v>0</v>
      </c>
      <c r="R105" s="243">
        <f t="shared" ca="1" si="19"/>
        <v>0</v>
      </c>
      <c r="S105" s="245">
        <f t="shared" ca="1" si="21"/>
        <v>0</v>
      </c>
      <c r="T105" s="425">
        <f t="shared" ca="1" si="17"/>
        <v>0</v>
      </c>
    </row>
    <row r="106" spans="1:20" ht="26.4">
      <c r="A106" s="246">
        <f t="shared" si="20"/>
        <v>96</v>
      </c>
      <c r="B106" s="530">
        <v>200245</v>
      </c>
      <c r="C106" s="531">
        <v>30563</v>
      </c>
      <c r="D106" s="531">
        <v>50702</v>
      </c>
      <c r="E106" s="532">
        <v>138</v>
      </c>
      <c r="F106" s="532" t="s">
        <v>2384</v>
      </c>
      <c r="G106" s="533">
        <v>1</v>
      </c>
      <c r="H106" s="534"/>
      <c r="I106" s="535" t="s">
        <v>2428</v>
      </c>
      <c r="J106" s="536">
        <v>42856</v>
      </c>
      <c r="K106" s="537" t="s">
        <v>2425</v>
      </c>
      <c r="L106" s="538" t="b">
        <v>0</v>
      </c>
      <c r="M106" s="240">
        <f t="shared" si="14"/>
        <v>0</v>
      </c>
      <c r="N106" s="241">
        <f t="shared" si="15"/>
        <v>1</v>
      </c>
      <c r="O106" s="242">
        <f t="shared" ca="1" si="18"/>
        <v>0</v>
      </c>
      <c r="P106" s="242">
        <f t="shared" ca="1" si="16"/>
        <v>0</v>
      </c>
      <c r="Q106" s="243">
        <f t="shared" ca="1" si="22"/>
        <v>0</v>
      </c>
      <c r="R106" s="243">
        <f t="shared" ca="1" si="19"/>
        <v>0</v>
      </c>
      <c r="S106" s="245">
        <f t="shared" ca="1" si="21"/>
        <v>0</v>
      </c>
      <c r="T106" s="425">
        <f t="shared" ca="1" si="17"/>
        <v>0</v>
      </c>
    </row>
    <row r="107" spans="1:20">
      <c r="A107" s="246">
        <f t="shared" si="20"/>
        <v>97</v>
      </c>
      <c r="B107" s="530">
        <v>200284</v>
      </c>
      <c r="C107" s="531">
        <v>30628</v>
      </c>
      <c r="D107" s="531">
        <v>50813</v>
      </c>
      <c r="E107" s="532">
        <v>69</v>
      </c>
      <c r="F107" s="532" t="s">
        <v>2384</v>
      </c>
      <c r="G107" s="533">
        <v>1</v>
      </c>
      <c r="H107" s="534">
        <v>330386</v>
      </c>
      <c r="I107" s="535" t="s">
        <v>2429</v>
      </c>
      <c r="J107" s="536">
        <v>42156</v>
      </c>
      <c r="K107" s="537" t="s">
        <v>2344</v>
      </c>
      <c r="L107" s="538" t="b">
        <v>1</v>
      </c>
      <c r="M107" s="240">
        <f t="shared" ref="M107:M138" si="23">IF(L107,$E$174-J107-30,0)</f>
        <v>549</v>
      </c>
      <c r="N107" s="241">
        <f t="shared" ref="N107:N117" si="24">G107</f>
        <v>1</v>
      </c>
      <c r="O107" s="242">
        <f t="shared" ca="1" si="18"/>
        <v>330386</v>
      </c>
      <c r="P107" s="242">
        <f t="shared" ref="P107:P116" ca="1" si="25">$E$175/365*M107*O107</f>
        <v>13655.821908821921</v>
      </c>
      <c r="Q107" s="243">
        <f t="shared" ca="1" si="22"/>
        <v>316730.17809117807</v>
      </c>
      <c r="R107" s="243">
        <f t="shared" ca="1" si="19"/>
        <v>330386</v>
      </c>
      <c r="S107" s="245">
        <f t="shared" ca="1" si="21"/>
        <v>316730.17809117807</v>
      </c>
      <c r="T107" s="425">
        <f t="shared" ref="T107:T170" ca="1" si="26">S107*$E$179</f>
        <v>61708.870076670632</v>
      </c>
    </row>
    <row r="108" spans="1:20">
      <c r="A108" s="246">
        <f t="shared" si="20"/>
        <v>98</v>
      </c>
      <c r="B108" s="530">
        <v>200284</v>
      </c>
      <c r="C108" s="531">
        <v>30635</v>
      </c>
      <c r="D108" s="531">
        <v>50817</v>
      </c>
      <c r="E108" s="532">
        <v>69</v>
      </c>
      <c r="F108" s="532" t="s">
        <v>2384</v>
      </c>
      <c r="G108" s="533">
        <v>1</v>
      </c>
      <c r="H108" s="534"/>
      <c r="I108" s="535" t="s">
        <v>2430</v>
      </c>
      <c r="J108" s="536">
        <v>42156</v>
      </c>
      <c r="K108" s="537" t="s">
        <v>2344</v>
      </c>
      <c r="L108" s="538" t="b">
        <v>0</v>
      </c>
      <c r="M108" s="240">
        <f t="shared" si="23"/>
        <v>0</v>
      </c>
      <c r="N108" s="241">
        <f t="shared" si="24"/>
        <v>1</v>
      </c>
      <c r="O108" s="242">
        <f t="shared" ca="1" si="18"/>
        <v>0</v>
      </c>
      <c r="P108" s="242">
        <f t="shared" ca="1" si="25"/>
        <v>0</v>
      </c>
      <c r="Q108" s="243">
        <f t="shared" ca="1" si="22"/>
        <v>0</v>
      </c>
      <c r="R108" s="243">
        <f t="shared" ca="1" si="19"/>
        <v>0</v>
      </c>
      <c r="S108" s="245">
        <f t="shared" ca="1" si="21"/>
        <v>0</v>
      </c>
      <c r="T108" s="425">
        <f t="shared" ca="1" si="26"/>
        <v>0</v>
      </c>
    </row>
    <row r="109" spans="1:20" ht="26.4">
      <c r="A109" s="246">
        <f t="shared" si="20"/>
        <v>99</v>
      </c>
      <c r="B109" s="530">
        <v>200287</v>
      </c>
      <c r="C109" s="531">
        <v>30661</v>
      </c>
      <c r="D109" s="531">
        <v>50835</v>
      </c>
      <c r="E109" s="532">
        <v>138</v>
      </c>
      <c r="F109" s="532" t="s">
        <v>2384</v>
      </c>
      <c r="G109" s="533">
        <v>1</v>
      </c>
      <c r="H109" s="534"/>
      <c r="I109" s="535" t="s">
        <v>2431</v>
      </c>
      <c r="J109" s="536"/>
      <c r="K109" s="537" t="s">
        <v>2338</v>
      </c>
      <c r="L109" s="538" t="b">
        <v>0</v>
      </c>
      <c r="M109" s="240">
        <f t="shared" si="23"/>
        <v>0</v>
      </c>
      <c r="N109" s="241">
        <f t="shared" si="24"/>
        <v>1</v>
      </c>
      <c r="O109" s="242">
        <f t="shared" ca="1" si="18"/>
        <v>0</v>
      </c>
      <c r="P109" s="242">
        <f t="shared" ca="1" si="25"/>
        <v>0</v>
      </c>
      <c r="Q109" s="243">
        <f t="shared" ca="1" si="22"/>
        <v>0</v>
      </c>
      <c r="R109" s="243">
        <f t="shared" ca="1" si="19"/>
        <v>0</v>
      </c>
      <c r="S109" s="245">
        <f t="shared" ca="1" si="21"/>
        <v>0</v>
      </c>
      <c r="T109" s="425">
        <f t="shared" ca="1" si="26"/>
        <v>0</v>
      </c>
    </row>
    <row r="110" spans="1:20" ht="26.4">
      <c r="A110" s="246">
        <f t="shared" si="20"/>
        <v>100</v>
      </c>
      <c r="B110" s="530">
        <v>200287</v>
      </c>
      <c r="C110" s="531">
        <v>30661</v>
      </c>
      <c r="D110" s="531">
        <v>50855</v>
      </c>
      <c r="E110" s="532">
        <v>69</v>
      </c>
      <c r="F110" s="532" t="s">
        <v>2384</v>
      </c>
      <c r="G110" s="533">
        <v>1</v>
      </c>
      <c r="H110" s="534"/>
      <c r="I110" s="535" t="s">
        <v>2432</v>
      </c>
      <c r="J110" s="536"/>
      <c r="K110" s="537" t="s">
        <v>2338</v>
      </c>
      <c r="L110" s="538" t="b">
        <v>0</v>
      </c>
      <c r="M110" s="240">
        <f t="shared" si="23"/>
        <v>0</v>
      </c>
      <c r="N110" s="241">
        <f t="shared" si="24"/>
        <v>1</v>
      </c>
      <c r="O110" s="242">
        <f t="shared" ca="1" si="18"/>
        <v>0</v>
      </c>
      <c r="P110" s="242">
        <f t="shared" ca="1" si="25"/>
        <v>0</v>
      </c>
      <c r="Q110" s="243">
        <f t="shared" ca="1" si="22"/>
        <v>0</v>
      </c>
      <c r="R110" s="243">
        <f t="shared" ca="1" si="19"/>
        <v>0</v>
      </c>
      <c r="S110" s="245">
        <f t="shared" ca="1" si="21"/>
        <v>0</v>
      </c>
      <c r="T110" s="425">
        <f t="shared" ca="1" si="26"/>
        <v>0</v>
      </c>
    </row>
    <row r="111" spans="1:20" ht="26.4">
      <c r="A111" s="246">
        <f t="shared" si="20"/>
        <v>101</v>
      </c>
      <c r="B111" s="530">
        <v>200287</v>
      </c>
      <c r="C111" s="531">
        <v>30661</v>
      </c>
      <c r="D111" s="531">
        <v>50856</v>
      </c>
      <c r="E111" s="532">
        <v>69</v>
      </c>
      <c r="F111" s="532" t="s">
        <v>2384</v>
      </c>
      <c r="G111" s="533">
        <v>1</v>
      </c>
      <c r="H111" s="534"/>
      <c r="I111" s="535" t="s">
        <v>2433</v>
      </c>
      <c r="J111" s="536"/>
      <c r="K111" s="537" t="s">
        <v>2338</v>
      </c>
      <c r="L111" s="538" t="b">
        <v>0</v>
      </c>
      <c r="M111" s="240">
        <f t="shared" si="23"/>
        <v>0</v>
      </c>
      <c r="N111" s="241">
        <f t="shared" si="24"/>
        <v>1</v>
      </c>
      <c r="O111" s="242">
        <f t="shared" ca="1" si="18"/>
        <v>0</v>
      </c>
      <c r="P111" s="242">
        <f t="shared" ca="1" si="25"/>
        <v>0</v>
      </c>
      <c r="Q111" s="243">
        <f t="shared" ca="1" si="22"/>
        <v>0</v>
      </c>
      <c r="R111" s="243">
        <f t="shared" ca="1" si="19"/>
        <v>0</v>
      </c>
      <c r="S111" s="245">
        <f t="shared" ca="1" si="21"/>
        <v>0</v>
      </c>
      <c r="T111" s="425">
        <f t="shared" ca="1" si="26"/>
        <v>0</v>
      </c>
    </row>
    <row r="112" spans="1:20" ht="26.4">
      <c r="A112" s="246">
        <f t="shared" si="20"/>
        <v>102</v>
      </c>
      <c r="B112" s="530">
        <v>200287</v>
      </c>
      <c r="C112" s="531">
        <v>30661</v>
      </c>
      <c r="D112" s="531">
        <v>50857</v>
      </c>
      <c r="E112" s="532">
        <v>138</v>
      </c>
      <c r="F112" s="532" t="s">
        <v>2384</v>
      </c>
      <c r="G112" s="533">
        <v>1</v>
      </c>
      <c r="H112" s="534"/>
      <c r="I112" s="535" t="s">
        <v>2434</v>
      </c>
      <c r="J112" s="536"/>
      <c r="K112" s="537" t="s">
        <v>2338</v>
      </c>
      <c r="L112" s="538" t="b">
        <v>0</v>
      </c>
      <c r="M112" s="240">
        <f t="shared" si="23"/>
        <v>0</v>
      </c>
      <c r="N112" s="241">
        <f t="shared" si="24"/>
        <v>1</v>
      </c>
      <c r="O112" s="242">
        <f t="shared" ca="1" si="18"/>
        <v>0</v>
      </c>
      <c r="P112" s="242">
        <f t="shared" ca="1" si="25"/>
        <v>0</v>
      </c>
      <c r="Q112" s="243">
        <f t="shared" ca="1" si="22"/>
        <v>0</v>
      </c>
      <c r="R112" s="243">
        <f t="shared" ca="1" si="19"/>
        <v>0</v>
      </c>
      <c r="S112" s="245">
        <f t="shared" ca="1" si="21"/>
        <v>0</v>
      </c>
      <c r="T112" s="425">
        <f t="shared" ca="1" si="26"/>
        <v>0</v>
      </c>
    </row>
    <row r="113" spans="1:20" ht="26.4">
      <c r="A113" s="246">
        <f t="shared" si="20"/>
        <v>103</v>
      </c>
      <c r="B113" s="530">
        <v>200287</v>
      </c>
      <c r="C113" s="531">
        <v>30661</v>
      </c>
      <c r="D113" s="531">
        <v>50888</v>
      </c>
      <c r="E113" s="532">
        <v>138</v>
      </c>
      <c r="F113" s="532" t="s">
        <v>2384</v>
      </c>
      <c r="G113" s="533">
        <v>1</v>
      </c>
      <c r="H113" s="534"/>
      <c r="I113" s="535" t="s">
        <v>2435</v>
      </c>
      <c r="J113" s="536"/>
      <c r="K113" s="537" t="s">
        <v>2338</v>
      </c>
      <c r="L113" s="538" t="b">
        <v>0</v>
      </c>
      <c r="M113" s="240">
        <f t="shared" si="23"/>
        <v>0</v>
      </c>
      <c r="N113" s="241">
        <f t="shared" si="24"/>
        <v>1</v>
      </c>
      <c r="O113" s="242">
        <f t="shared" ca="1" si="18"/>
        <v>0</v>
      </c>
      <c r="P113" s="242">
        <f t="shared" ca="1" si="25"/>
        <v>0</v>
      </c>
      <c r="Q113" s="243">
        <f t="shared" ca="1" si="22"/>
        <v>0</v>
      </c>
      <c r="R113" s="243">
        <f t="shared" ca="1" si="19"/>
        <v>0</v>
      </c>
      <c r="S113" s="245">
        <f t="shared" ca="1" si="21"/>
        <v>0</v>
      </c>
      <c r="T113" s="425">
        <f t="shared" ca="1" si="26"/>
        <v>0</v>
      </c>
    </row>
    <row r="114" spans="1:20" ht="26.4">
      <c r="A114" s="246">
        <f t="shared" si="20"/>
        <v>104</v>
      </c>
      <c r="B114" s="530">
        <v>200271</v>
      </c>
      <c r="C114" s="531">
        <v>30597</v>
      </c>
      <c r="D114" s="531">
        <v>51030</v>
      </c>
      <c r="E114" s="532">
        <v>138</v>
      </c>
      <c r="F114" s="532" t="s">
        <v>2384</v>
      </c>
      <c r="G114" s="533">
        <v>1</v>
      </c>
      <c r="H114" s="534"/>
      <c r="I114" s="535" t="s">
        <v>2436</v>
      </c>
      <c r="J114" s="536">
        <v>43617</v>
      </c>
      <c r="K114" s="537" t="s">
        <v>2340</v>
      </c>
      <c r="L114" s="538" t="b">
        <v>0</v>
      </c>
      <c r="M114" s="240">
        <f t="shared" si="23"/>
        <v>0</v>
      </c>
      <c r="N114" s="241">
        <f t="shared" si="24"/>
        <v>1</v>
      </c>
      <c r="O114" s="242">
        <f t="shared" ca="1" si="18"/>
        <v>0</v>
      </c>
      <c r="P114" s="242">
        <f t="shared" ca="1" si="25"/>
        <v>0</v>
      </c>
      <c r="Q114" s="243">
        <f t="shared" ca="1" si="22"/>
        <v>0</v>
      </c>
      <c r="R114" s="243">
        <f t="shared" ca="1" si="19"/>
        <v>0</v>
      </c>
      <c r="S114" s="245">
        <f t="shared" ca="1" si="21"/>
        <v>0</v>
      </c>
      <c r="T114" s="425">
        <f t="shared" ca="1" si="26"/>
        <v>0</v>
      </c>
    </row>
    <row r="115" spans="1:20" ht="26.4">
      <c r="A115" s="246">
        <f t="shared" si="20"/>
        <v>105</v>
      </c>
      <c r="B115" s="530">
        <v>200322</v>
      </c>
      <c r="C115" s="531">
        <v>30903</v>
      </c>
      <c r="D115" s="531">
        <v>51223</v>
      </c>
      <c r="E115" s="532">
        <v>69</v>
      </c>
      <c r="F115" s="532" t="s">
        <v>2384</v>
      </c>
      <c r="G115" s="533">
        <v>1</v>
      </c>
      <c r="H115" s="534"/>
      <c r="I115" s="535" t="s">
        <v>2437</v>
      </c>
      <c r="J115" s="536"/>
      <c r="K115" s="537" t="s">
        <v>2338</v>
      </c>
      <c r="L115" s="538" t="b">
        <v>0</v>
      </c>
      <c r="M115" s="240">
        <f t="shared" si="23"/>
        <v>0</v>
      </c>
      <c r="N115" s="241">
        <f t="shared" si="24"/>
        <v>1</v>
      </c>
      <c r="O115" s="242">
        <f t="shared" ca="1" si="18"/>
        <v>0</v>
      </c>
      <c r="P115" s="242">
        <f t="shared" ca="1" si="25"/>
        <v>0</v>
      </c>
      <c r="Q115" s="243">
        <f t="shared" ca="1" si="22"/>
        <v>0</v>
      </c>
      <c r="R115" s="243">
        <f t="shared" ca="1" si="19"/>
        <v>0</v>
      </c>
      <c r="S115" s="245">
        <f t="shared" ca="1" si="21"/>
        <v>0</v>
      </c>
      <c r="T115" s="425">
        <f t="shared" ca="1" si="26"/>
        <v>0</v>
      </c>
    </row>
    <row r="116" spans="1:20" ht="26.4">
      <c r="A116" s="246">
        <f t="shared" si="20"/>
        <v>106</v>
      </c>
      <c r="B116" s="530">
        <v>200322</v>
      </c>
      <c r="C116" s="531">
        <v>30905</v>
      </c>
      <c r="D116" s="531">
        <v>51225</v>
      </c>
      <c r="E116" s="532">
        <v>69</v>
      </c>
      <c r="F116" s="532" t="s">
        <v>2384</v>
      </c>
      <c r="G116" s="533">
        <v>1</v>
      </c>
      <c r="H116" s="534"/>
      <c r="I116" s="535" t="s">
        <v>2438</v>
      </c>
      <c r="J116" s="536"/>
      <c r="K116" s="537" t="s">
        <v>2338</v>
      </c>
      <c r="L116" s="538" t="b">
        <v>0</v>
      </c>
      <c r="M116" s="240">
        <f t="shared" si="23"/>
        <v>0</v>
      </c>
      <c r="N116" s="241">
        <f t="shared" si="24"/>
        <v>1</v>
      </c>
      <c r="O116" s="242">
        <f t="shared" ca="1" si="18"/>
        <v>0</v>
      </c>
      <c r="P116" s="242">
        <f t="shared" ca="1" si="25"/>
        <v>0</v>
      </c>
      <c r="Q116" s="243">
        <f t="shared" ca="1" si="22"/>
        <v>0</v>
      </c>
      <c r="R116" s="243">
        <f t="shared" ca="1" si="19"/>
        <v>0</v>
      </c>
      <c r="S116" s="245">
        <f t="shared" ca="1" si="21"/>
        <v>0</v>
      </c>
      <c r="T116" s="425">
        <f t="shared" ca="1" si="26"/>
        <v>0</v>
      </c>
    </row>
    <row r="117" spans="1:20" ht="26.4">
      <c r="A117" s="246">
        <f t="shared" si="20"/>
        <v>107</v>
      </c>
      <c r="B117" s="530">
        <v>200397</v>
      </c>
      <c r="C117" s="531">
        <v>31002</v>
      </c>
      <c r="D117" s="531">
        <v>51145</v>
      </c>
      <c r="E117" s="532">
        <v>138</v>
      </c>
      <c r="F117" s="532" t="s">
        <v>2384</v>
      </c>
      <c r="G117" s="533">
        <v>1</v>
      </c>
      <c r="H117" s="534"/>
      <c r="I117" s="535" t="s">
        <v>2444</v>
      </c>
      <c r="J117" s="536">
        <v>42948</v>
      </c>
      <c r="K117" s="537" t="s">
        <v>2340</v>
      </c>
      <c r="L117" s="538" t="b">
        <v>0</v>
      </c>
      <c r="M117" s="240">
        <f t="shared" si="23"/>
        <v>0</v>
      </c>
      <c r="N117" s="241">
        <f t="shared" si="24"/>
        <v>1</v>
      </c>
      <c r="O117" s="242">
        <f t="shared" ca="1" si="18"/>
        <v>0</v>
      </c>
      <c r="P117" s="242">
        <f t="shared" ref="P117:P170" ca="1" si="27">$E$175/365*M117*O117</f>
        <v>0</v>
      </c>
      <c r="Q117" s="242">
        <f t="shared" ref="Q117:Q170" ca="1" si="28">O117-P117</f>
        <v>0</v>
      </c>
      <c r="R117" s="242">
        <f t="shared" ref="R117:R170" ca="1" si="29">O117*N117</f>
        <v>0</v>
      </c>
      <c r="S117" s="242">
        <f t="shared" ref="S117:S170" ca="1" si="30">Q117*N117</f>
        <v>0</v>
      </c>
      <c r="T117" s="425">
        <f t="shared" ca="1" si="26"/>
        <v>0</v>
      </c>
    </row>
    <row r="118" spans="1:20">
      <c r="A118" s="246">
        <f t="shared" si="20"/>
        <v>108</v>
      </c>
      <c r="B118" s="540"/>
      <c r="C118" s="531"/>
      <c r="D118" s="541"/>
      <c r="E118" s="541"/>
      <c r="F118" s="541"/>
      <c r="G118" s="542"/>
      <c r="H118" s="534"/>
      <c r="I118" s="543"/>
      <c r="J118" s="546"/>
      <c r="K118" s="541"/>
      <c r="L118" s="547"/>
      <c r="M118" s="240">
        <f t="shared" si="23"/>
        <v>0</v>
      </c>
      <c r="N118" s="242"/>
      <c r="O118" s="242">
        <f t="shared" ca="1" si="18"/>
        <v>0</v>
      </c>
      <c r="P118" s="242">
        <f t="shared" ca="1" si="27"/>
        <v>0</v>
      </c>
      <c r="Q118" s="242">
        <f t="shared" ca="1" si="28"/>
        <v>0</v>
      </c>
      <c r="R118" s="242">
        <f t="shared" ca="1" si="29"/>
        <v>0</v>
      </c>
      <c r="S118" s="242">
        <f t="shared" ca="1" si="30"/>
        <v>0</v>
      </c>
      <c r="T118" s="425">
        <f t="shared" ca="1" si="26"/>
        <v>0</v>
      </c>
    </row>
    <row r="119" spans="1:20">
      <c r="A119" s="246">
        <f t="shared" si="20"/>
        <v>109</v>
      </c>
      <c r="B119" s="540"/>
      <c r="C119" s="531"/>
      <c r="D119" s="541"/>
      <c r="E119" s="541"/>
      <c r="F119" s="541"/>
      <c r="G119" s="542"/>
      <c r="H119" s="534"/>
      <c r="I119" s="543"/>
      <c r="J119" s="546"/>
      <c r="K119" s="541"/>
      <c r="L119" s="547"/>
      <c r="M119" s="240">
        <f t="shared" si="23"/>
        <v>0</v>
      </c>
      <c r="N119" s="242"/>
      <c r="O119" s="242">
        <f t="shared" ca="1" si="18"/>
        <v>0</v>
      </c>
      <c r="P119" s="242">
        <f t="shared" ca="1" si="27"/>
        <v>0</v>
      </c>
      <c r="Q119" s="242">
        <f t="shared" ca="1" si="28"/>
        <v>0</v>
      </c>
      <c r="R119" s="242">
        <f t="shared" ca="1" si="29"/>
        <v>0</v>
      </c>
      <c r="S119" s="242">
        <f t="shared" ca="1" si="30"/>
        <v>0</v>
      </c>
      <c r="T119" s="425">
        <f t="shared" ca="1" si="26"/>
        <v>0</v>
      </c>
    </row>
    <row r="120" spans="1:20">
      <c r="A120" s="246">
        <f t="shared" si="20"/>
        <v>110</v>
      </c>
      <c r="B120" s="540"/>
      <c r="C120" s="531"/>
      <c r="D120" s="541"/>
      <c r="E120" s="541"/>
      <c r="F120" s="541"/>
      <c r="G120" s="542"/>
      <c r="H120" s="534"/>
      <c r="I120" s="543"/>
      <c r="J120" s="546"/>
      <c r="K120" s="541"/>
      <c r="L120" s="547"/>
      <c r="M120" s="240">
        <f t="shared" si="23"/>
        <v>0</v>
      </c>
      <c r="N120" s="242"/>
      <c r="O120" s="242">
        <f t="shared" ca="1" si="18"/>
        <v>0</v>
      </c>
      <c r="P120" s="242">
        <f t="shared" ca="1" si="27"/>
        <v>0</v>
      </c>
      <c r="Q120" s="242">
        <f t="shared" ca="1" si="28"/>
        <v>0</v>
      </c>
      <c r="R120" s="242">
        <f t="shared" ca="1" si="29"/>
        <v>0</v>
      </c>
      <c r="S120" s="242">
        <f t="shared" ca="1" si="30"/>
        <v>0</v>
      </c>
      <c r="T120" s="425">
        <f t="shared" ca="1" si="26"/>
        <v>0</v>
      </c>
    </row>
    <row r="121" spans="1:20">
      <c r="A121" s="246">
        <f t="shared" si="20"/>
        <v>111</v>
      </c>
      <c r="B121" s="540"/>
      <c r="C121" s="531"/>
      <c r="D121" s="541"/>
      <c r="E121" s="541"/>
      <c r="F121" s="541"/>
      <c r="G121" s="542"/>
      <c r="H121" s="534"/>
      <c r="I121" s="543"/>
      <c r="J121" s="546"/>
      <c r="K121" s="541"/>
      <c r="L121" s="548"/>
      <c r="M121" s="240">
        <f t="shared" si="23"/>
        <v>0</v>
      </c>
      <c r="N121" s="240"/>
      <c r="O121" s="242">
        <f t="shared" ca="1" si="18"/>
        <v>0</v>
      </c>
      <c r="P121" s="242">
        <f t="shared" ca="1" si="27"/>
        <v>0</v>
      </c>
      <c r="Q121" s="242">
        <f t="shared" ca="1" si="28"/>
        <v>0</v>
      </c>
      <c r="R121" s="242">
        <f t="shared" ca="1" si="29"/>
        <v>0</v>
      </c>
      <c r="S121" s="242">
        <f t="shared" ca="1" si="30"/>
        <v>0</v>
      </c>
      <c r="T121" s="425">
        <f t="shared" ca="1" si="26"/>
        <v>0</v>
      </c>
    </row>
    <row r="122" spans="1:20">
      <c r="A122" s="246">
        <f t="shared" si="20"/>
        <v>112</v>
      </c>
      <c r="B122" s="540"/>
      <c r="C122" s="531"/>
      <c r="D122" s="541"/>
      <c r="E122" s="541"/>
      <c r="F122" s="541"/>
      <c r="G122" s="542"/>
      <c r="H122" s="534"/>
      <c r="I122" s="543"/>
      <c r="J122" s="546"/>
      <c r="K122" s="541"/>
      <c r="L122" s="548"/>
      <c r="M122" s="240">
        <f t="shared" si="23"/>
        <v>0</v>
      </c>
      <c r="N122" s="240"/>
      <c r="O122" s="242">
        <f t="shared" ca="1" si="18"/>
        <v>0</v>
      </c>
      <c r="P122" s="242">
        <f t="shared" ca="1" si="27"/>
        <v>0</v>
      </c>
      <c r="Q122" s="242">
        <f t="shared" ca="1" si="28"/>
        <v>0</v>
      </c>
      <c r="R122" s="242">
        <f t="shared" ca="1" si="29"/>
        <v>0</v>
      </c>
      <c r="S122" s="242">
        <f t="shared" ca="1" si="30"/>
        <v>0</v>
      </c>
      <c r="T122" s="425">
        <f t="shared" ca="1" si="26"/>
        <v>0</v>
      </c>
    </row>
    <row r="123" spans="1:20">
      <c r="A123" s="246">
        <f t="shared" si="20"/>
        <v>113</v>
      </c>
      <c r="B123" s="540"/>
      <c r="C123" s="531"/>
      <c r="D123" s="541"/>
      <c r="E123" s="541"/>
      <c r="F123" s="541"/>
      <c r="G123" s="542"/>
      <c r="H123" s="534"/>
      <c r="I123" s="543"/>
      <c r="J123" s="546"/>
      <c r="K123" s="541"/>
      <c r="L123" s="548"/>
      <c r="M123" s="240">
        <f t="shared" si="23"/>
        <v>0</v>
      </c>
      <c r="N123" s="240"/>
      <c r="O123" s="242">
        <f t="shared" ca="1" si="18"/>
        <v>0</v>
      </c>
      <c r="P123" s="242">
        <f t="shared" ca="1" si="27"/>
        <v>0</v>
      </c>
      <c r="Q123" s="242">
        <f t="shared" ca="1" si="28"/>
        <v>0</v>
      </c>
      <c r="R123" s="242">
        <f t="shared" ca="1" si="29"/>
        <v>0</v>
      </c>
      <c r="S123" s="242">
        <f t="shared" ca="1" si="30"/>
        <v>0</v>
      </c>
      <c r="T123" s="425">
        <f t="shared" ca="1" si="26"/>
        <v>0</v>
      </c>
    </row>
    <row r="124" spans="1:20">
      <c r="A124" s="246">
        <f t="shared" si="20"/>
        <v>114</v>
      </c>
      <c r="B124" s="540"/>
      <c r="C124" s="531"/>
      <c r="D124" s="541"/>
      <c r="E124" s="541"/>
      <c r="F124" s="541"/>
      <c r="G124" s="542"/>
      <c r="H124" s="534"/>
      <c r="I124" s="543"/>
      <c r="J124" s="546"/>
      <c r="K124" s="541"/>
      <c r="L124" s="548"/>
      <c r="M124" s="240">
        <f t="shared" si="23"/>
        <v>0</v>
      </c>
      <c r="N124" s="240"/>
      <c r="O124" s="242">
        <f t="shared" ca="1" si="18"/>
        <v>0</v>
      </c>
      <c r="P124" s="242">
        <f t="shared" ca="1" si="27"/>
        <v>0</v>
      </c>
      <c r="Q124" s="242">
        <f t="shared" ca="1" si="28"/>
        <v>0</v>
      </c>
      <c r="R124" s="242">
        <f t="shared" ca="1" si="29"/>
        <v>0</v>
      </c>
      <c r="S124" s="242">
        <f t="shared" ca="1" si="30"/>
        <v>0</v>
      </c>
      <c r="T124" s="425">
        <f t="shared" ca="1" si="26"/>
        <v>0</v>
      </c>
    </row>
    <row r="125" spans="1:20">
      <c r="A125" s="246">
        <f t="shared" si="20"/>
        <v>115</v>
      </c>
      <c r="B125" s="540"/>
      <c r="C125" s="531"/>
      <c r="D125" s="541"/>
      <c r="E125" s="541"/>
      <c r="F125" s="541"/>
      <c r="G125" s="542"/>
      <c r="H125" s="534"/>
      <c r="I125" s="543"/>
      <c r="J125" s="546"/>
      <c r="K125" s="541"/>
      <c r="L125" s="548"/>
      <c r="M125" s="240">
        <f t="shared" si="23"/>
        <v>0</v>
      </c>
      <c r="N125" s="240"/>
      <c r="O125" s="242">
        <f t="shared" ca="1" si="18"/>
        <v>0</v>
      </c>
      <c r="P125" s="242">
        <f t="shared" ca="1" si="27"/>
        <v>0</v>
      </c>
      <c r="Q125" s="242">
        <f t="shared" ca="1" si="28"/>
        <v>0</v>
      </c>
      <c r="R125" s="242">
        <f t="shared" ca="1" si="29"/>
        <v>0</v>
      </c>
      <c r="S125" s="242">
        <f t="shared" ca="1" si="30"/>
        <v>0</v>
      </c>
      <c r="T125" s="425">
        <f t="shared" ca="1" si="26"/>
        <v>0</v>
      </c>
    </row>
    <row r="126" spans="1:20">
      <c r="A126" s="246">
        <f t="shared" si="20"/>
        <v>116</v>
      </c>
      <c r="B126" s="540"/>
      <c r="C126" s="531"/>
      <c r="D126" s="541"/>
      <c r="E126" s="541"/>
      <c r="F126" s="541"/>
      <c r="G126" s="542"/>
      <c r="H126" s="534"/>
      <c r="I126" s="543"/>
      <c r="J126" s="546"/>
      <c r="K126" s="541"/>
      <c r="L126" s="548"/>
      <c r="M126" s="240">
        <f t="shared" si="23"/>
        <v>0</v>
      </c>
      <c r="N126" s="240"/>
      <c r="O126" s="242">
        <f t="shared" ca="1" si="18"/>
        <v>0</v>
      </c>
      <c r="P126" s="242">
        <f t="shared" ca="1" si="27"/>
        <v>0</v>
      </c>
      <c r="Q126" s="242">
        <f t="shared" ca="1" si="28"/>
        <v>0</v>
      </c>
      <c r="R126" s="242">
        <f t="shared" ca="1" si="29"/>
        <v>0</v>
      </c>
      <c r="S126" s="242">
        <f t="shared" ca="1" si="30"/>
        <v>0</v>
      </c>
      <c r="T126" s="425">
        <f t="shared" ca="1" si="26"/>
        <v>0</v>
      </c>
    </row>
    <row r="127" spans="1:20">
      <c r="A127" s="246">
        <f t="shared" si="20"/>
        <v>117</v>
      </c>
      <c r="B127" s="540"/>
      <c r="C127" s="531"/>
      <c r="D127" s="541"/>
      <c r="E127" s="541"/>
      <c r="F127" s="541"/>
      <c r="G127" s="542"/>
      <c r="H127" s="534"/>
      <c r="I127" s="543"/>
      <c r="J127" s="546"/>
      <c r="K127" s="541"/>
      <c r="L127" s="548"/>
      <c r="M127" s="240">
        <f t="shared" si="23"/>
        <v>0</v>
      </c>
      <c r="N127" s="240"/>
      <c r="O127" s="242">
        <f t="shared" ca="1" si="18"/>
        <v>0</v>
      </c>
      <c r="P127" s="242">
        <f t="shared" ca="1" si="27"/>
        <v>0</v>
      </c>
      <c r="Q127" s="242">
        <f t="shared" ca="1" si="28"/>
        <v>0</v>
      </c>
      <c r="R127" s="242">
        <f t="shared" ca="1" si="29"/>
        <v>0</v>
      </c>
      <c r="S127" s="242">
        <f t="shared" ca="1" si="30"/>
        <v>0</v>
      </c>
      <c r="T127" s="425">
        <f t="shared" ca="1" si="26"/>
        <v>0</v>
      </c>
    </row>
    <row r="128" spans="1:20">
      <c r="A128" s="246">
        <f t="shared" si="20"/>
        <v>118</v>
      </c>
      <c r="B128" s="540"/>
      <c r="C128" s="531"/>
      <c r="D128" s="541"/>
      <c r="E128" s="541"/>
      <c r="F128" s="541"/>
      <c r="G128" s="542"/>
      <c r="H128" s="534"/>
      <c r="I128" s="543"/>
      <c r="J128" s="546"/>
      <c r="K128" s="541"/>
      <c r="L128" s="548"/>
      <c r="M128" s="240">
        <f t="shared" si="23"/>
        <v>0</v>
      </c>
      <c r="N128" s="240"/>
      <c r="O128" s="242">
        <f t="shared" ca="1" si="18"/>
        <v>0</v>
      </c>
      <c r="P128" s="242">
        <f t="shared" ca="1" si="27"/>
        <v>0</v>
      </c>
      <c r="Q128" s="242">
        <f t="shared" ca="1" si="28"/>
        <v>0</v>
      </c>
      <c r="R128" s="242">
        <f t="shared" ca="1" si="29"/>
        <v>0</v>
      </c>
      <c r="S128" s="242">
        <f t="shared" ca="1" si="30"/>
        <v>0</v>
      </c>
      <c r="T128" s="425">
        <f t="shared" ca="1" si="26"/>
        <v>0</v>
      </c>
    </row>
    <row r="129" spans="1:20">
      <c r="A129" s="246">
        <f t="shared" si="20"/>
        <v>119</v>
      </c>
      <c r="B129" s="540"/>
      <c r="C129" s="531"/>
      <c r="D129" s="541"/>
      <c r="E129" s="541"/>
      <c r="F129" s="541"/>
      <c r="G129" s="542"/>
      <c r="H129" s="534"/>
      <c r="I129" s="543"/>
      <c r="J129" s="546"/>
      <c r="K129" s="541"/>
      <c r="L129" s="548"/>
      <c r="M129" s="240">
        <f t="shared" si="23"/>
        <v>0</v>
      </c>
      <c r="N129" s="240"/>
      <c r="O129" s="242">
        <f t="shared" ca="1" si="18"/>
        <v>0</v>
      </c>
      <c r="P129" s="242">
        <f t="shared" ca="1" si="27"/>
        <v>0</v>
      </c>
      <c r="Q129" s="242">
        <f t="shared" ca="1" si="28"/>
        <v>0</v>
      </c>
      <c r="R129" s="242">
        <f t="shared" ca="1" si="29"/>
        <v>0</v>
      </c>
      <c r="S129" s="242">
        <f t="shared" ca="1" si="30"/>
        <v>0</v>
      </c>
      <c r="T129" s="425">
        <f t="shared" ca="1" si="26"/>
        <v>0</v>
      </c>
    </row>
    <row r="130" spans="1:20">
      <c r="A130" s="246">
        <f t="shared" si="20"/>
        <v>120</v>
      </c>
      <c r="B130" s="540"/>
      <c r="C130" s="531"/>
      <c r="D130" s="541"/>
      <c r="E130" s="541"/>
      <c r="F130" s="541"/>
      <c r="G130" s="542"/>
      <c r="H130" s="534"/>
      <c r="I130" s="543"/>
      <c r="J130" s="544"/>
      <c r="K130" s="541"/>
      <c r="L130" s="545"/>
      <c r="M130" s="240">
        <f t="shared" si="23"/>
        <v>0</v>
      </c>
      <c r="N130" s="240"/>
      <c r="O130" s="242">
        <f t="shared" ca="1" si="18"/>
        <v>0</v>
      </c>
      <c r="P130" s="242">
        <f t="shared" ca="1" si="27"/>
        <v>0</v>
      </c>
      <c r="Q130" s="242">
        <f t="shared" ca="1" si="28"/>
        <v>0</v>
      </c>
      <c r="R130" s="242">
        <f t="shared" ca="1" si="29"/>
        <v>0</v>
      </c>
      <c r="S130" s="242">
        <f t="shared" ca="1" si="30"/>
        <v>0</v>
      </c>
      <c r="T130" s="425">
        <f t="shared" ca="1" si="26"/>
        <v>0</v>
      </c>
    </row>
    <row r="131" spans="1:20">
      <c r="A131" s="246">
        <f t="shared" si="20"/>
        <v>121</v>
      </c>
      <c r="B131" s="540"/>
      <c r="C131" s="531"/>
      <c r="D131" s="541"/>
      <c r="E131" s="541"/>
      <c r="F131" s="541"/>
      <c r="G131" s="542"/>
      <c r="H131" s="534"/>
      <c r="I131" s="543"/>
      <c r="J131" s="546"/>
      <c r="K131" s="541"/>
      <c r="L131" s="547"/>
      <c r="M131" s="240">
        <f t="shared" si="23"/>
        <v>0</v>
      </c>
      <c r="N131" s="242"/>
      <c r="O131" s="242">
        <f t="shared" ca="1" si="18"/>
        <v>0</v>
      </c>
      <c r="P131" s="242">
        <f t="shared" ca="1" si="27"/>
        <v>0</v>
      </c>
      <c r="Q131" s="242">
        <f t="shared" ca="1" si="28"/>
        <v>0</v>
      </c>
      <c r="R131" s="242">
        <f t="shared" ca="1" si="29"/>
        <v>0</v>
      </c>
      <c r="S131" s="242">
        <f t="shared" ca="1" si="30"/>
        <v>0</v>
      </c>
      <c r="T131" s="425">
        <f t="shared" ca="1" si="26"/>
        <v>0</v>
      </c>
    </row>
    <row r="132" spans="1:20">
      <c r="A132" s="246">
        <f t="shared" si="20"/>
        <v>122</v>
      </c>
      <c r="B132" s="540"/>
      <c r="C132" s="531"/>
      <c r="D132" s="541"/>
      <c r="E132" s="541"/>
      <c r="F132" s="541"/>
      <c r="G132" s="542"/>
      <c r="H132" s="534"/>
      <c r="I132" s="543"/>
      <c r="J132" s="546"/>
      <c r="K132" s="541"/>
      <c r="L132" s="547"/>
      <c r="M132" s="240">
        <f t="shared" si="23"/>
        <v>0</v>
      </c>
      <c r="N132" s="242"/>
      <c r="O132" s="242">
        <f t="shared" ca="1" si="18"/>
        <v>0</v>
      </c>
      <c r="P132" s="242">
        <f t="shared" ca="1" si="27"/>
        <v>0</v>
      </c>
      <c r="Q132" s="242">
        <f t="shared" ca="1" si="28"/>
        <v>0</v>
      </c>
      <c r="R132" s="242">
        <f t="shared" ca="1" si="29"/>
        <v>0</v>
      </c>
      <c r="S132" s="242">
        <f t="shared" ca="1" si="30"/>
        <v>0</v>
      </c>
      <c r="T132" s="425">
        <f t="shared" ca="1" si="26"/>
        <v>0</v>
      </c>
    </row>
    <row r="133" spans="1:20">
      <c r="A133" s="246">
        <f t="shared" si="20"/>
        <v>123</v>
      </c>
      <c r="B133" s="540"/>
      <c r="C133" s="531"/>
      <c r="D133" s="541"/>
      <c r="E133" s="541"/>
      <c r="F133" s="541"/>
      <c r="G133" s="542"/>
      <c r="H133" s="534"/>
      <c r="I133" s="543"/>
      <c r="J133" s="546"/>
      <c r="K133" s="541"/>
      <c r="L133" s="547"/>
      <c r="M133" s="240">
        <f t="shared" si="23"/>
        <v>0</v>
      </c>
      <c r="N133" s="242"/>
      <c r="O133" s="242">
        <f t="shared" ca="1" si="18"/>
        <v>0</v>
      </c>
      <c r="P133" s="242">
        <f t="shared" ca="1" si="27"/>
        <v>0</v>
      </c>
      <c r="Q133" s="242">
        <f t="shared" ca="1" si="28"/>
        <v>0</v>
      </c>
      <c r="R133" s="242">
        <f t="shared" ca="1" si="29"/>
        <v>0</v>
      </c>
      <c r="S133" s="242">
        <f t="shared" ca="1" si="30"/>
        <v>0</v>
      </c>
      <c r="T133" s="425">
        <f t="shared" ca="1" si="26"/>
        <v>0</v>
      </c>
    </row>
    <row r="134" spans="1:20">
      <c r="A134" s="246">
        <f t="shared" si="20"/>
        <v>124</v>
      </c>
      <c r="B134" s="540"/>
      <c r="C134" s="531"/>
      <c r="D134" s="541"/>
      <c r="E134" s="541"/>
      <c r="F134" s="541"/>
      <c r="G134" s="542"/>
      <c r="H134" s="534"/>
      <c r="I134" s="543"/>
      <c r="J134" s="546"/>
      <c r="K134" s="541"/>
      <c r="L134" s="548"/>
      <c r="M134" s="240">
        <f t="shared" si="23"/>
        <v>0</v>
      </c>
      <c r="N134" s="240"/>
      <c r="O134" s="242">
        <f t="shared" ca="1" si="18"/>
        <v>0</v>
      </c>
      <c r="P134" s="242">
        <f t="shared" ca="1" si="27"/>
        <v>0</v>
      </c>
      <c r="Q134" s="242">
        <f t="shared" ca="1" si="28"/>
        <v>0</v>
      </c>
      <c r="R134" s="242">
        <f t="shared" ca="1" si="29"/>
        <v>0</v>
      </c>
      <c r="S134" s="242">
        <f t="shared" ca="1" si="30"/>
        <v>0</v>
      </c>
      <c r="T134" s="425">
        <f t="shared" ca="1" si="26"/>
        <v>0</v>
      </c>
    </row>
    <row r="135" spans="1:20">
      <c r="A135" s="246">
        <f t="shared" si="20"/>
        <v>125</v>
      </c>
      <c r="B135" s="540"/>
      <c r="C135" s="541"/>
      <c r="D135" s="541"/>
      <c r="E135" s="541"/>
      <c r="F135" s="541"/>
      <c r="G135" s="542"/>
      <c r="H135" s="534"/>
      <c r="I135" s="543"/>
      <c r="J135" s="546"/>
      <c r="K135" s="541"/>
      <c r="L135" s="548"/>
      <c r="M135" s="240">
        <f t="shared" si="23"/>
        <v>0</v>
      </c>
      <c r="N135" s="240"/>
      <c r="O135" s="242">
        <f t="shared" ca="1" si="18"/>
        <v>0</v>
      </c>
      <c r="P135" s="242">
        <f t="shared" ca="1" si="27"/>
        <v>0</v>
      </c>
      <c r="Q135" s="242">
        <f t="shared" ca="1" si="28"/>
        <v>0</v>
      </c>
      <c r="R135" s="242">
        <f t="shared" ca="1" si="29"/>
        <v>0</v>
      </c>
      <c r="S135" s="242">
        <f t="shared" ca="1" si="30"/>
        <v>0</v>
      </c>
      <c r="T135" s="425">
        <f t="shared" ca="1" si="26"/>
        <v>0</v>
      </c>
    </row>
    <row r="136" spans="1:20">
      <c r="A136" s="246">
        <f t="shared" si="20"/>
        <v>126</v>
      </c>
      <c r="B136" s="540"/>
      <c r="C136" s="541"/>
      <c r="D136" s="541"/>
      <c r="E136" s="541"/>
      <c r="F136" s="541"/>
      <c r="G136" s="542"/>
      <c r="H136" s="534"/>
      <c r="I136" s="543"/>
      <c r="J136" s="546"/>
      <c r="K136" s="541"/>
      <c r="L136" s="548"/>
      <c r="M136" s="240">
        <f t="shared" si="23"/>
        <v>0</v>
      </c>
      <c r="N136" s="240"/>
      <c r="O136" s="242">
        <f t="shared" ca="1" si="18"/>
        <v>0</v>
      </c>
      <c r="P136" s="242">
        <f t="shared" ca="1" si="27"/>
        <v>0</v>
      </c>
      <c r="Q136" s="242">
        <f t="shared" ca="1" si="28"/>
        <v>0</v>
      </c>
      <c r="R136" s="242">
        <f t="shared" ca="1" si="29"/>
        <v>0</v>
      </c>
      <c r="S136" s="242">
        <f t="shared" ca="1" si="30"/>
        <v>0</v>
      </c>
      <c r="T136" s="425">
        <f t="shared" ca="1" si="26"/>
        <v>0</v>
      </c>
    </row>
    <row r="137" spans="1:20">
      <c r="A137" s="246">
        <f t="shared" si="20"/>
        <v>127</v>
      </c>
      <c r="B137" s="540"/>
      <c r="C137" s="541"/>
      <c r="D137" s="541"/>
      <c r="E137" s="541"/>
      <c r="F137" s="541"/>
      <c r="G137" s="542"/>
      <c r="H137" s="534"/>
      <c r="I137" s="543"/>
      <c r="J137" s="546"/>
      <c r="K137" s="541"/>
      <c r="L137" s="548"/>
      <c r="M137" s="240">
        <f t="shared" si="23"/>
        <v>0</v>
      </c>
      <c r="N137" s="240"/>
      <c r="O137" s="242">
        <f t="shared" ca="1" si="18"/>
        <v>0</v>
      </c>
      <c r="P137" s="242">
        <f t="shared" ca="1" si="27"/>
        <v>0</v>
      </c>
      <c r="Q137" s="242">
        <f t="shared" ca="1" si="28"/>
        <v>0</v>
      </c>
      <c r="R137" s="242">
        <f t="shared" ca="1" si="29"/>
        <v>0</v>
      </c>
      <c r="S137" s="242">
        <f t="shared" ca="1" si="30"/>
        <v>0</v>
      </c>
      <c r="T137" s="425">
        <f t="shared" ca="1" si="26"/>
        <v>0</v>
      </c>
    </row>
    <row r="138" spans="1:20">
      <c r="A138" s="246">
        <f t="shared" si="20"/>
        <v>128</v>
      </c>
      <c r="B138" s="540"/>
      <c r="C138" s="541"/>
      <c r="D138" s="541"/>
      <c r="E138" s="541"/>
      <c r="F138" s="541"/>
      <c r="G138" s="542"/>
      <c r="H138" s="534"/>
      <c r="I138" s="543"/>
      <c r="J138" s="546"/>
      <c r="K138" s="541"/>
      <c r="L138" s="548"/>
      <c r="M138" s="240">
        <f t="shared" si="23"/>
        <v>0</v>
      </c>
      <c r="N138" s="240"/>
      <c r="O138" s="242">
        <f t="shared" ca="1" si="18"/>
        <v>0</v>
      </c>
      <c r="P138" s="242">
        <f t="shared" ca="1" si="27"/>
        <v>0</v>
      </c>
      <c r="Q138" s="242">
        <f t="shared" ca="1" si="28"/>
        <v>0</v>
      </c>
      <c r="R138" s="242">
        <f t="shared" ca="1" si="29"/>
        <v>0</v>
      </c>
      <c r="S138" s="242">
        <f t="shared" ca="1" si="30"/>
        <v>0</v>
      </c>
      <c r="T138" s="425">
        <f t="shared" ca="1" si="26"/>
        <v>0</v>
      </c>
    </row>
    <row r="139" spans="1:20">
      <c r="A139" s="246">
        <f t="shared" si="20"/>
        <v>129</v>
      </c>
      <c r="B139" s="540"/>
      <c r="C139" s="541"/>
      <c r="D139" s="541"/>
      <c r="E139" s="541"/>
      <c r="F139" s="541"/>
      <c r="G139" s="542"/>
      <c r="H139" s="534"/>
      <c r="I139" s="543"/>
      <c r="J139" s="546"/>
      <c r="K139" s="541"/>
      <c r="L139" s="548"/>
      <c r="M139" s="240">
        <f t="shared" ref="M139:M170" si="31">IF(L139,$E$174-J139-30,0)</f>
        <v>0</v>
      </c>
      <c r="N139" s="240"/>
      <c r="O139" s="242">
        <f t="shared" ca="1" si="18"/>
        <v>0</v>
      </c>
      <c r="P139" s="242">
        <f t="shared" ca="1" si="27"/>
        <v>0</v>
      </c>
      <c r="Q139" s="242">
        <f t="shared" ca="1" si="28"/>
        <v>0</v>
      </c>
      <c r="R139" s="242">
        <f t="shared" ca="1" si="29"/>
        <v>0</v>
      </c>
      <c r="S139" s="242">
        <f t="shared" ca="1" si="30"/>
        <v>0</v>
      </c>
      <c r="T139" s="425">
        <f t="shared" ca="1" si="26"/>
        <v>0</v>
      </c>
    </row>
    <row r="140" spans="1:20">
      <c r="A140" s="246">
        <f t="shared" si="20"/>
        <v>130</v>
      </c>
      <c r="B140" s="540"/>
      <c r="C140" s="541"/>
      <c r="D140" s="541"/>
      <c r="E140" s="541"/>
      <c r="F140" s="541"/>
      <c r="G140" s="542"/>
      <c r="H140" s="534"/>
      <c r="I140" s="543"/>
      <c r="J140" s="546"/>
      <c r="K140" s="541"/>
      <c r="L140" s="548"/>
      <c r="M140" s="240">
        <f t="shared" si="31"/>
        <v>0</v>
      </c>
      <c r="N140" s="240"/>
      <c r="O140" s="242">
        <f t="shared" ref="O140:O170" ca="1" si="32">IF(CELL("type",H140)="v",H140,0)*L140</f>
        <v>0</v>
      </c>
      <c r="P140" s="242">
        <f t="shared" ca="1" si="27"/>
        <v>0</v>
      </c>
      <c r="Q140" s="242">
        <f t="shared" ca="1" si="28"/>
        <v>0</v>
      </c>
      <c r="R140" s="242">
        <f t="shared" ca="1" si="29"/>
        <v>0</v>
      </c>
      <c r="S140" s="242">
        <f t="shared" ca="1" si="30"/>
        <v>0</v>
      </c>
      <c r="T140" s="425">
        <f t="shared" ca="1" si="26"/>
        <v>0</v>
      </c>
    </row>
    <row r="141" spans="1:20">
      <c r="A141" s="246">
        <f t="shared" si="20"/>
        <v>131</v>
      </c>
      <c r="B141" s="540"/>
      <c r="C141" s="541"/>
      <c r="D141" s="541"/>
      <c r="E141" s="541"/>
      <c r="F141" s="541"/>
      <c r="G141" s="542"/>
      <c r="H141" s="534"/>
      <c r="I141" s="543"/>
      <c r="J141" s="546"/>
      <c r="K141" s="541"/>
      <c r="L141" s="548"/>
      <c r="M141" s="240">
        <f t="shared" si="31"/>
        <v>0</v>
      </c>
      <c r="N141" s="240"/>
      <c r="O141" s="242">
        <f t="shared" ca="1" si="32"/>
        <v>0</v>
      </c>
      <c r="P141" s="242">
        <f t="shared" ca="1" si="27"/>
        <v>0</v>
      </c>
      <c r="Q141" s="242">
        <f t="shared" ca="1" si="28"/>
        <v>0</v>
      </c>
      <c r="R141" s="242">
        <f t="shared" ca="1" si="29"/>
        <v>0</v>
      </c>
      <c r="S141" s="242">
        <f t="shared" ca="1" si="30"/>
        <v>0</v>
      </c>
      <c r="T141" s="425">
        <f t="shared" ca="1" si="26"/>
        <v>0</v>
      </c>
    </row>
    <row r="142" spans="1:20">
      <c r="A142" s="246">
        <f t="shared" si="20"/>
        <v>132</v>
      </c>
      <c r="B142" s="540"/>
      <c r="C142" s="541"/>
      <c r="D142" s="541"/>
      <c r="E142" s="541"/>
      <c r="F142" s="541"/>
      <c r="G142" s="542"/>
      <c r="H142" s="534"/>
      <c r="I142" s="543"/>
      <c r="J142" s="546"/>
      <c r="K142" s="541"/>
      <c r="L142" s="548"/>
      <c r="M142" s="240">
        <f t="shared" si="31"/>
        <v>0</v>
      </c>
      <c r="N142" s="240"/>
      <c r="O142" s="242">
        <f t="shared" ca="1" si="32"/>
        <v>0</v>
      </c>
      <c r="P142" s="242">
        <f t="shared" ca="1" si="27"/>
        <v>0</v>
      </c>
      <c r="Q142" s="242">
        <f t="shared" ca="1" si="28"/>
        <v>0</v>
      </c>
      <c r="R142" s="242">
        <f t="shared" ca="1" si="29"/>
        <v>0</v>
      </c>
      <c r="S142" s="242">
        <f t="shared" ca="1" si="30"/>
        <v>0</v>
      </c>
      <c r="T142" s="425">
        <f t="shared" ca="1" si="26"/>
        <v>0</v>
      </c>
    </row>
    <row r="143" spans="1:20">
      <c r="A143" s="246">
        <f t="shared" si="20"/>
        <v>133</v>
      </c>
      <c r="B143" s="540"/>
      <c r="C143" s="541"/>
      <c r="D143" s="541"/>
      <c r="E143" s="541"/>
      <c r="F143" s="541"/>
      <c r="G143" s="542"/>
      <c r="H143" s="534"/>
      <c r="I143" s="543"/>
      <c r="J143" s="546"/>
      <c r="K143" s="541"/>
      <c r="L143" s="548"/>
      <c r="M143" s="240">
        <f t="shared" si="31"/>
        <v>0</v>
      </c>
      <c r="N143" s="240"/>
      <c r="O143" s="242">
        <f t="shared" ca="1" si="32"/>
        <v>0</v>
      </c>
      <c r="P143" s="242">
        <f t="shared" ca="1" si="27"/>
        <v>0</v>
      </c>
      <c r="Q143" s="242">
        <f t="shared" ca="1" si="28"/>
        <v>0</v>
      </c>
      <c r="R143" s="242">
        <f t="shared" ca="1" si="29"/>
        <v>0</v>
      </c>
      <c r="S143" s="242">
        <f t="shared" ca="1" si="30"/>
        <v>0</v>
      </c>
      <c r="T143" s="425">
        <f t="shared" ca="1" si="26"/>
        <v>0</v>
      </c>
    </row>
    <row r="144" spans="1:20">
      <c r="A144" s="246">
        <f t="shared" si="20"/>
        <v>134</v>
      </c>
      <c r="B144" s="549"/>
      <c r="C144" s="550"/>
      <c r="D144" s="550"/>
      <c r="E144" s="550"/>
      <c r="F144" s="550"/>
      <c r="G144" s="551"/>
      <c r="H144" s="552"/>
      <c r="I144" s="553"/>
      <c r="J144" s="554"/>
      <c r="K144" s="550"/>
      <c r="L144" s="555"/>
      <c r="M144" s="384">
        <f t="shared" si="31"/>
        <v>0</v>
      </c>
      <c r="N144" s="384"/>
      <c r="O144" s="385">
        <f t="shared" ca="1" si="32"/>
        <v>0</v>
      </c>
      <c r="P144" s="385">
        <f t="shared" ca="1" si="27"/>
        <v>0</v>
      </c>
      <c r="Q144" s="385">
        <f t="shared" ca="1" si="28"/>
        <v>0</v>
      </c>
      <c r="R144" s="385">
        <f t="shared" ca="1" si="29"/>
        <v>0</v>
      </c>
      <c r="S144" s="385">
        <f t="shared" ca="1" si="30"/>
        <v>0</v>
      </c>
      <c r="T144" s="425">
        <f t="shared" ca="1" si="26"/>
        <v>0</v>
      </c>
    </row>
    <row r="145" spans="1:20">
      <c r="A145" s="246">
        <f t="shared" si="20"/>
        <v>135</v>
      </c>
      <c r="B145" s="540"/>
      <c r="C145" s="541"/>
      <c r="D145" s="541"/>
      <c r="E145" s="541"/>
      <c r="F145" s="541"/>
      <c r="G145" s="542"/>
      <c r="H145" s="534"/>
      <c r="I145" s="543"/>
      <c r="J145" s="546"/>
      <c r="K145" s="541"/>
      <c r="L145" s="547"/>
      <c r="M145" s="240">
        <f t="shared" si="31"/>
        <v>0</v>
      </c>
      <c r="N145" s="242"/>
      <c r="O145" s="242">
        <f t="shared" ca="1" si="32"/>
        <v>0</v>
      </c>
      <c r="P145" s="242">
        <f t="shared" ca="1" si="27"/>
        <v>0</v>
      </c>
      <c r="Q145" s="242">
        <f t="shared" ca="1" si="28"/>
        <v>0</v>
      </c>
      <c r="R145" s="242">
        <f t="shared" ca="1" si="29"/>
        <v>0</v>
      </c>
      <c r="S145" s="242">
        <f t="shared" ca="1" si="30"/>
        <v>0</v>
      </c>
      <c r="T145" s="425">
        <f t="shared" ca="1" si="26"/>
        <v>0</v>
      </c>
    </row>
    <row r="146" spans="1:20">
      <c r="A146" s="246">
        <f t="shared" si="20"/>
        <v>136</v>
      </c>
      <c r="B146" s="540"/>
      <c r="C146" s="541"/>
      <c r="D146" s="541"/>
      <c r="E146" s="541"/>
      <c r="F146" s="541"/>
      <c r="G146" s="542"/>
      <c r="H146" s="534"/>
      <c r="I146" s="543"/>
      <c r="J146" s="546"/>
      <c r="K146" s="541"/>
      <c r="L146" s="547"/>
      <c r="M146" s="240">
        <f t="shared" si="31"/>
        <v>0</v>
      </c>
      <c r="N146" s="242"/>
      <c r="O146" s="242">
        <f t="shared" ca="1" si="32"/>
        <v>0</v>
      </c>
      <c r="P146" s="242">
        <f t="shared" ca="1" si="27"/>
        <v>0</v>
      </c>
      <c r="Q146" s="242">
        <f t="shared" ca="1" si="28"/>
        <v>0</v>
      </c>
      <c r="R146" s="242">
        <f t="shared" ca="1" si="29"/>
        <v>0</v>
      </c>
      <c r="S146" s="242">
        <f t="shared" ca="1" si="30"/>
        <v>0</v>
      </c>
      <c r="T146" s="425">
        <f t="shared" ca="1" si="26"/>
        <v>0</v>
      </c>
    </row>
    <row r="147" spans="1:20">
      <c r="A147" s="246">
        <f t="shared" si="20"/>
        <v>137</v>
      </c>
      <c r="B147" s="540"/>
      <c r="C147" s="541"/>
      <c r="D147" s="541"/>
      <c r="E147" s="541"/>
      <c r="F147" s="541"/>
      <c r="G147" s="542"/>
      <c r="H147" s="534"/>
      <c r="I147" s="543"/>
      <c r="J147" s="546"/>
      <c r="K147" s="541"/>
      <c r="L147" s="547"/>
      <c r="M147" s="240">
        <f t="shared" si="31"/>
        <v>0</v>
      </c>
      <c r="N147" s="242"/>
      <c r="O147" s="242">
        <f t="shared" ca="1" si="32"/>
        <v>0</v>
      </c>
      <c r="P147" s="242">
        <f t="shared" ca="1" si="27"/>
        <v>0</v>
      </c>
      <c r="Q147" s="242">
        <f t="shared" ca="1" si="28"/>
        <v>0</v>
      </c>
      <c r="R147" s="242">
        <f t="shared" ca="1" si="29"/>
        <v>0</v>
      </c>
      <c r="S147" s="242">
        <f t="shared" ca="1" si="30"/>
        <v>0</v>
      </c>
      <c r="T147" s="425">
        <f t="shared" ca="1" si="26"/>
        <v>0</v>
      </c>
    </row>
    <row r="148" spans="1:20">
      <c r="A148" s="246">
        <f t="shared" si="20"/>
        <v>138</v>
      </c>
      <c r="B148" s="540"/>
      <c r="C148" s="541"/>
      <c r="D148" s="541"/>
      <c r="E148" s="541"/>
      <c r="F148" s="541"/>
      <c r="G148" s="542"/>
      <c r="H148" s="534"/>
      <c r="I148" s="543"/>
      <c r="J148" s="546"/>
      <c r="K148" s="541"/>
      <c r="L148" s="548"/>
      <c r="M148" s="240">
        <f t="shared" si="31"/>
        <v>0</v>
      </c>
      <c r="N148" s="240"/>
      <c r="O148" s="242">
        <f t="shared" ca="1" si="32"/>
        <v>0</v>
      </c>
      <c r="P148" s="242">
        <f t="shared" ca="1" si="27"/>
        <v>0</v>
      </c>
      <c r="Q148" s="242">
        <f t="shared" ca="1" si="28"/>
        <v>0</v>
      </c>
      <c r="R148" s="242">
        <f t="shared" ca="1" si="29"/>
        <v>0</v>
      </c>
      <c r="S148" s="242">
        <f t="shared" ca="1" si="30"/>
        <v>0</v>
      </c>
      <c r="T148" s="425">
        <f t="shared" ca="1" si="26"/>
        <v>0</v>
      </c>
    </row>
    <row r="149" spans="1:20">
      <c r="A149" s="246">
        <f t="shared" si="20"/>
        <v>139</v>
      </c>
      <c r="B149" s="540"/>
      <c r="C149" s="541"/>
      <c r="D149" s="541"/>
      <c r="E149" s="541"/>
      <c r="F149" s="541"/>
      <c r="G149" s="542"/>
      <c r="H149" s="534"/>
      <c r="I149" s="543"/>
      <c r="J149" s="546"/>
      <c r="K149" s="541"/>
      <c r="L149" s="548"/>
      <c r="M149" s="240">
        <f t="shared" si="31"/>
        <v>0</v>
      </c>
      <c r="N149" s="240"/>
      <c r="O149" s="242">
        <f t="shared" ca="1" si="32"/>
        <v>0</v>
      </c>
      <c r="P149" s="242">
        <f t="shared" ca="1" si="27"/>
        <v>0</v>
      </c>
      <c r="Q149" s="242">
        <f t="shared" ca="1" si="28"/>
        <v>0</v>
      </c>
      <c r="R149" s="242">
        <f t="shared" ca="1" si="29"/>
        <v>0</v>
      </c>
      <c r="S149" s="242">
        <f t="shared" ca="1" si="30"/>
        <v>0</v>
      </c>
      <c r="T149" s="425">
        <f t="shared" ca="1" si="26"/>
        <v>0</v>
      </c>
    </row>
    <row r="150" spans="1:20">
      <c r="A150" s="246">
        <f t="shared" si="20"/>
        <v>140</v>
      </c>
      <c r="B150" s="540"/>
      <c r="C150" s="541"/>
      <c r="D150" s="541"/>
      <c r="E150" s="541"/>
      <c r="F150" s="541"/>
      <c r="G150" s="542"/>
      <c r="H150" s="534"/>
      <c r="I150" s="543"/>
      <c r="J150" s="546"/>
      <c r="K150" s="541"/>
      <c r="L150" s="548"/>
      <c r="M150" s="240">
        <f t="shared" si="31"/>
        <v>0</v>
      </c>
      <c r="N150" s="240"/>
      <c r="O150" s="242">
        <f t="shared" ca="1" si="32"/>
        <v>0</v>
      </c>
      <c r="P150" s="242">
        <f t="shared" ca="1" si="27"/>
        <v>0</v>
      </c>
      <c r="Q150" s="242">
        <f t="shared" ca="1" si="28"/>
        <v>0</v>
      </c>
      <c r="R150" s="242">
        <f t="shared" ca="1" si="29"/>
        <v>0</v>
      </c>
      <c r="S150" s="242">
        <f t="shared" ca="1" si="30"/>
        <v>0</v>
      </c>
      <c r="T150" s="425">
        <f t="shared" ca="1" si="26"/>
        <v>0</v>
      </c>
    </row>
    <row r="151" spans="1:20">
      <c r="A151" s="246">
        <f t="shared" si="20"/>
        <v>141</v>
      </c>
      <c r="B151" s="540"/>
      <c r="C151" s="541"/>
      <c r="D151" s="541"/>
      <c r="E151" s="541"/>
      <c r="F151" s="541"/>
      <c r="G151" s="542"/>
      <c r="H151" s="534"/>
      <c r="I151" s="543"/>
      <c r="J151" s="546"/>
      <c r="K151" s="541"/>
      <c r="L151" s="548"/>
      <c r="M151" s="240">
        <f t="shared" si="31"/>
        <v>0</v>
      </c>
      <c r="N151" s="240"/>
      <c r="O151" s="242">
        <f t="shared" ca="1" si="32"/>
        <v>0</v>
      </c>
      <c r="P151" s="242">
        <f t="shared" ca="1" si="27"/>
        <v>0</v>
      </c>
      <c r="Q151" s="242">
        <f t="shared" ca="1" si="28"/>
        <v>0</v>
      </c>
      <c r="R151" s="242">
        <f t="shared" ca="1" si="29"/>
        <v>0</v>
      </c>
      <c r="S151" s="242">
        <f t="shared" ca="1" si="30"/>
        <v>0</v>
      </c>
      <c r="T151" s="425">
        <f t="shared" ca="1" si="26"/>
        <v>0</v>
      </c>
    </row>
    <row r="152" spans="1:20">
      <c r="A152" s="246">
        <f t="shared" si="20"/>
        <v>142</v>
      </c>
      <c r="B152" s="540"/>
      <c r="C152" s="541"/>
      <c r="D152" s="541"/>
      <c r="E152" s="541"/>
      <c r="F152" s="541"/>
      <c r="G152" s="542"/>
      <c r="H152" s="534"/>
      <c r="I152" s="543"/>
      <c r="J152" s="546"/>
      <c r="K152" s="541"/>
      <c r="L152" s="548"/>
      <c r="M152" s="240">
        <f t="shared" si="31"/>
        <v>0</v>
      </c>
      <c r="N152" s="240"/>
      <c r="O152" s="242">
        <f t="shared" ca="1" si="32"/>
        <v>0</v>
      </c>
      <c r="P152" s="242">
        <f t="shared" ca="1" si="27"/>
        <v>0</v>
      </c>
      <c r="Q152" s="242">
        <f t="shared" ca="1" si="28"/>
        <v>0</v>
      </c>
      <c r="R152" s="242">
        <f t="shared" ca="1" si="29"/>
        <v>0</v>
      </c>
      <c r="S152" s="242">
        <f t="shared" ca="1" si="30"/>
        <v>0</v>
      </c>
      <c r="T152" s="425">
        <f t="shared" ca="1" si="26"/>
        <v>0</v>
      </c>
    </row>
    <row r="153" spans="1:20">
      <c r="A153" s="246">
        <f t="shared" si="20"/>
        <v>143</v>
      </c>
      <c r="B153" s="540"/>
      <c r="C153" s="541"/>
      <c r="D153" s="541"/>
      <c r="E153" s="541"/>
      <c r="F153" s="541"/>
      <c r="G153" s="542"/>
      <c r="H153" s="534"/>
      <c r="I153" s="543"/>
      <c r="J153" s="546"/>
      <c r="K153" s="541"/>
      <c r="L153" s="548"/>
      <c r="M153" s="240">
        <f t="shared" si="31"/>
        <v>0</v>
      </c>
      <c r="N153" s="240"/>
      <c r="O153" s="242">
        <f t="shared" ca="1" si="32"/>
        <v>0</v>
      </c>
      <c r="P153" s="242">
        <f t="shared" ca="1" si="27"/>
        <v>0</v>
      </c>
      <c r="Q153" s="242">
        <f t="shared" ca="1" si="28"/>
        <v>0</v>
      </c>
      <c r="R153" s="242">
        <f t="shared" ca="1" si="29"/>
        <v>0</v>
      </c>
      <c r="S153" s="242">
        <f t="shared" ca="1" si="30"/>
        <v>0</v>
      </c>
      <c r="T153" s="425">
        <f t="shared" ca="1" si="26"/>
        <v>0</v>
      </c>
    </row>
    <row r="154" spans="1:20">
      <c r="A154" s="246">
        <f t="shared" si="20"/>
        <v>144</v>
      </c>
      <c r="B154" s="540"/>
      <c r="C154" s="541"/>
      <c r="D154" s="541"/>
      <c r="E154" s="541"/>
      <c r="F154" s="541"/>
      <c r="G154" s="542"/>
      <c r="H154" s="534"/>
      <c r="I154" s="543"/>
      <c r="J154" s="546"/>
      <c r="K154" s="541"/>
      <c r="L154" s="548"/>
      <c r="M154" s="240">
        <f t="shared" si="31"/>
        <v>0</v>
      </c>
      <c r="N154" s="240"/>
      <c r="O154" s="242">
        <f t="shared" ca="1" si="32"/>
        <v>0</v>
      </c>
      <c r="P154" s="242">
        <f t="shared" ca="1" si="27"/>
        <v>0</v>
      </c>
      <c r="Q154" s="242">
        <f t="shared" ca="1" si="28"/>
        <v>0</v>
      </c>
      <c r="R154" s="242">
        <f t="shared" ca="1" si="29"/>
        <v>0</v>
      </c>
      <c r="S154" s="242">
        <f t="shared" ca="1" si="30"/>
        <v>0</v>
      </c>
      <c r="T154" s="425">
        <f t="shared" ca="1" si="26"/>
        <v>0</v>
      </c>
    </row>
    <row r="155" spans="1:20">
      <c r="A155" s="246">
        <f t="shared" si="20"/>
        <v>145</v>
      </c>
      <c r="B155" s="540"/>
      <c r="C155" s="541"/>
      <c r="D155" s="541"/>
      <c r="E155" s="541"/>
      <c r="F155" s="541"/>
      <c r="G155" s="542"/>
      <c r="H155" s="534"/>
      <c r="I155" s="543"/>
      <c r="J155" s="546"/>
      <c r="K155" s="541"/>
      <c r="L155" s="548"/>
      <c r="M155" s="240">
        <f t="shared" si="31"/>
        <v>0</v>
      </c>
      <c r="N155" s="240"/>
      <c r="O155" s="242">
        <f t="shared" ca="1" si="32"/>
        <v>0</v>
      </c>
      <c r="P155" s="242">
        <f t="shared" ca="1" si="27"/>
        <v>0</v>
      </c>
      <c r="Q155" s="242">
        <f t="shared" ca="1" si="28"/>
        <v>0</v>
      </c>
      <c r="R155" s="242">
        <f t="shared" ca="1" si="29"/>
        <v>0</v>
      </c>
      <c r="S155" s="242">
        <f t="shared" ca="1" si="30"/>
        <v>0</v>
      </c>
      <c r="T155" s="425">
        <f t="shared" ca="1" si="26"/>
        <v>0</v>
      </c>
    </row>
    <row r="156" spans="1:20">
      <c r="A156" s="246">
        <f t="shared" si="20"/>
        <v>146</v>
      </c>
      <c r="B156" s="540"/>
      <c r="C156" s="541"/>
      <c r="D156" s="541"/>
      <c r="E156" s="541"/>
      <c r="F156" s="541"/>
      <c r="G156" s="542"/>
      <c r="H156" s="534"/>
      <c r="I156" s="543"/>
      <c r="J156" s="546"/>
      <c r="K156" s="541"/>
      <c r="L156" s="548"/>
      <c r="M156" s="240">
        <f t="shared" si="31"/>
        <v>0</v>
      </c>
      <c r="N156" s="240"/>
      <c r="O156" s="242">
        <f t="shared" ca="1" si="32"/>
        <v>0</v>
      </c>
      <c r="P156" s="242">
        <f t="shared" ca="1" si="27"/>
        <v>0</v>
      </c>
      <c r="Q156" s="242">
        <f t="shared" ca="1" si="28"/>
        <v>0</v>
      </c>
      <c r="R156" s="242">
        <f t="shared" ca="1" si="29"/>
        <v>0</v>
      </c>
      <c r="S156" s="242">
        <f t="shared" ca="1" si="30"/>
        <v>0</v>
      </c>
      <c r="T156" s="425">
        <f t="shared" ca="1" si="26"/>
        <v>0</v>
      </c>
    </row>
    <row r="157" spans="1:20">
      <c r="A157" s="246">
        <f t="shared" si="20"/>
        <v>147</v>
      </c>
      <c r="B157" s="540"/>
      <c r="C157" s="541"/>
      <c r="D157" s="541"/>
      <c r="E157" s="541"/>
      <c r="F157" s="541"/>
      <c r="G157" s="542"/>
      <c r="H157" s="534"/>
      <c r="I157" s="543"/>
      <c r="J157" s="544"/>
      <c r="K157" s="541"/>
      <c r="L157" s="545"/>
      <c r="M157" s="240">
        <f t="shared" si="31"/>
        <v>0</v>
      </c>
      <c r="N157" s="240"/>
      <c r="O157" s="242">
        <f t="shared" ca="1" si="32"/>
        <v>0</v>
      </c>
      <c r="P157" s="242">
        <f t="shared" ca="1" si="27"/>
        <v>0</v>
      </c>
      <c r="Q157" s="242">
        <f t="shared" ca="1" si="28"/>
        <v>0</v>
      </c>
      <c r="R157" s="242">
        <f t="shared" ca="1" si="29"/>
        <v>0</v>
      </c>
      <c r="S157" s="242">
        <f t="shared" ca="1" si="30"/>
        <v>0</v>
      </c>
      <c r="T157" s="425">
        <f t="shared" ca="1" si="26"/>
        <v>0</v>
      </c>
    </row>
    <row r="158" spans="1:20">
      <c r="A158" s="246">
        <f t="shared" si="20"/>
        <v>148</v>
      </c>
      <c r="B158" s="540"/>
      <c r="C158" s="541"/>
      <c r="D158" s="541"/>
      <c r="E158" s="541"/>
      <c r="F158" s="541"/>
      <c r="G158" s="542"/>
      <c r="H158" s="534"/>
      <c r="I158" s="543"/>
      <c r="J158" s="546"/>
      <c r="K158" s="541"/>
      <c r="L158" s="547"/>
      <c r="M158" s="240">
        <f t="shared" si="31"/>
        <v>0</v>
      </c>
      <c r="N158" s="242"/>
      <c r="O158" s="242">
        <f t="shared" ca="1" si="32"/>
        <v>0</v>
      </c>
      <c r="P158" s="242">
        <f t="shared" ca="1" si="27"/>
        <v>0</v>
      </c>
      <c r="Q158" s="242">
        <f t="shared" ca="1" si="28"/>
        <v>0</v>
      </c>
      <c r="R158" s="242">
        <f t="shared" ca="1" si="29"/>
        <v>0</v>
      </c>
      <c r="S158" s="242">
        <f t="shared" ca="1" si="30"/>
        <v>0</v>
      </c>
      <c r="T158" s="425">
        <f t="shared" ca="1" si="26"/>
        <v>0</v>
      </c>
    </row>
    <row r="159" spans="1:20">
      <c r="A159" s="246">
        <f t="shared" si="20"/>
        <v>149</v>
      </c>
      <c r="B159" s="540"/>
      <c r="C159" s="541"/>
      <c r="D159" s="541"/>
      <c r="E159" s="541"/>
      <c r="F159" s="541"/>
      <c r="G159" s="542"/>
      <c r="H159" s="534"/>
      <c r="I159" s="543"/>
      <c r="J159" s="546"/>
      <c r="K159" s="541"/>
      <c r="L159" s="547"/>
      <c r="M159" s="240">
        <f t="shared" si="31"/>
        <v>0</v>
      </c>
      <c r="N159" s="242"/>
      <c r="O159" s="242">
        <f t="shared" ca="1" si="32"/>
        <v>0</v>
      </c>
      <c r="P159" s="242">
        <f t="shared" ca="1" si="27"/>
        <v>0</v>
      </c>
      <c r="Q159" s="242">
        <f t="shared" ca="1" si="28"/>
        <v>0</v>
      </c>
      <c r="R159" s="242">
        <f t="shared" ca="1" si="29"/>
        <v>0</v>
      </c>
      <c r="S159" s="242">
        <f t="shared" ca="1" si="30"/>
        <v>0</v>
      </c>
      <c r="T159" s="425">
        <f t="shared" ca="1" si="26"/>
        <v>0</v>
      </c>
    </row>
    <row r="160" spans="1:20">
      <c r="A160" s="246">
        <f t="shared" si="20"/>
        <v>150</v>
      </c>
      <c r="B160" s="540"/>
      <c r="C160" s="541"/>
      <c r="D160" s="541"/>
      <c r="E160" s="541"/>
      <c r="F160" s="541"/>
      <c r="G160" s="542"/>
      <c r="H160" s="534"/>
      <c r="I160" s="543"/>
      <c r="J160" s="546"/>
      <c r="K160" s="541"/>
      <c r="L160" s="547"/>
      <c r="M160" s="240">
        <f t="shared" si="31"/>
        <v>0</v>
      </c>
      <c r="N160" s="242"/>
      <c r="O160" s="242">
        <f t="shared" ca="1" si="32"/>
        <v>0</v>
      </c>
      <c r="P160" s="242">
        <f t="shared" ca="1" si="27"/>
        <v>0</v>
      </c>
      <c r="Q160" s="242">
        <f t="shared" ca="1" si="28"/>
        <v>0</v>
      </c>
      <c r="R160" s="242">
        <f t="shared" ca="1" si="29"/>
        <v>0</v>
      </c>
      <c r="S160" s="242">
        <f t="shared" ca="1" si="30"/>
        <v>0</v>
      </c>
      <c r="T160" s="425">
        <f t="shared" ca="1" si="26"/>
        <v>0</v>
      </c>
    </row>
    <row r="161" spans="1:20">
      <c r="A161" s="246">
        <f t="shared" si="20"/>
        <v>151</v>
      </c>
      <c r="B161" s="540"/>
      <c r="C161" s="541"/>
      <c r="D161" s="541"/>
      <c r="E161" s="541"/>
      <c r="F161" s="541"/>
      <c r="G161" s="542"/>
      <c r="H161" s="534"/>
      <c r="I161" s="543"/>
      <c r="J161" s="546"/>
      <c r="K161" s="541"/>
      <c r="L161" s="548"/>
      <c r="M161" s="240">
        <f t="shared" si="31"/>
        <v>0</v>
      </c>
      <c r="N161" s="240"/>
      <c r="O161" s="242">
        <f t="shared" ca="1" si="32"/>
        <v>0</v>
      </c>
      <c r="P161" s="242">
        <f t="shared" ca="1" si="27"/>
        <v>0</v>
      </c>
      <c r="Q161" s="242">
        <f t="shared" ca="1" si="28"/>
        <v>0</v>
      </c>
      <c r="R161" s="242">
        <f t="shared" ca="1" si="29"/>
        <v>0</v>
      </c>
      <c r="S161" s="242">
        <f t="shared" ca="1" si="30"/>
        <v>0</v>
      </c>
      <c r="T161" s="425">
        <f t="shared" ca="1" si="26"/>
        <v>0</v>
      </c>
    </row>
    <row r="162" spans="1:20">
      <c r="A162" s="246">
        <f t="shared" si="20"/>
        <v>152</v>
      </c>
      <c r="B162" s="540"/>
      <c r="C162" s="541"/>
      <c r="D162" s="541"/>
      <c r="E162" s="541"/>
      <c r="F162" s="541"/>
      <c r="G162" s="542"/>
      <c r="H162" s="534"/>
      <c r="I162" s="543"/>
      <c r="J162" s="546"/>
      <c r="K162" s="541"/>
      <c r="L162" s="548"/>
      <c r="M162" s="240">
        <f t="shared" si="31"/>
        <v>0</v>
      </c>
      <c r="N162" s="240"/>
      <c r="O162" s="242">
        <f t="shared" ca="1" si="32"/>
        <v>0</v>
      </c>
      <c r="P162" s="242">
        <f t="shared" ca="1" si="27"/>
        <v>0</v>
      </c>
      <c r="Q162" s="242">
        <f t="shared" ca="1" si="28"/>
        <v>0</v>
      </c>
      <c r="R162" s="242">
        <f t="shared" ca="1" si="29"/>
        <v>0</v>
      </c>
      <c r="S162" s="242">
        <f t="shared" ca="1" si="30"/>
        <v>0</v>
      </c>
      <c r="T162" s="425">
        <f t="shared" ca="1" si="26"/>
        <v>0</v>
      </c>
    </row>
    <row r="163" spans="1:20">
      <c r="A163" s="246">
        <f t="shared" si="20"/>
        <v>153</v>
      </c>
      <c r="B163" s="540"/>
      <c r="C163" s="541"/>
      <c r="D163" s="541"/>
      <c r="E163" s="541"/>
      <c r="F163" s="541"/>
      <c r="G163" s="542"/>
      <c r="H163" s="534"/>
      <c r="I163" s="543"/>
      <c r="J163" s="546"/>
      <c r="K163" s="541"/>
      <c r="L163" s="548"/>
      <c r="M163" s="240">
        <f t="shared" si="31"/>
        <v>0</v>
      </c>
      <c r="N163" s="240"/>
      <c r="O163" s="242">
        <f t="shared" ca="1" si="32"/>
        <v>0</v>
      </c>
      <c r="P163" s="242">
        <f t="shared" ca="1" si="27"/>
        <v>0</v>
      </c>
      <c r="Q163" s="242">
        <f t="shared" ca="1" si="28"/>
        <v>0</v>
      </c>
      <c r="R163" s="242">
        <f t="shared" ca="1" si="29"/>
        <v>0</v>
      </c>
      <c r="S163" s="242">
        <f t="shared" ca="1" si="30"/>
        <v>0</v>
      </c>
      <c r="T163" s="425">
        <f t="shared" ca="1" si="26"/>
        <v>0</v>
      </c>
    </row>
    <row r="164" spans="1:20">
      <c r="A164" s="246">
        <f t="shared" si="20"/>
        <v>154</v>
      </c>
      <c r="B164" s="540"/>
      <c r="C164" s="541"/>
      <c r="D164" s="541"/>
      <c r="E164" s="541"/>
      <c r="F164" s="541"/>
      <c r="G164" s="542"/>
      <c r="H164" s="534"/>
      <c r="I164" s="543"/>
      <c r="J164" s="546"/>
      <c r="K164" s="541"/>
      <c r="L164" s="548"/>
      <c r="M164" s="240">
        <f t="shared" si="31"/>
        <v>0</v>
      </c>
      <c r="N164" s="240"/>
      <c r="O164" s="242">
        <f t="shared" ca="1" si="32"/>
        <v>0</v>
      </c>
      <c r="P164" s="242">
        <f t="shared" ca="1" si="27"/>
        <v>0</v>
      </c>
      <c r="Q164" s="242">
        <f t="shared" ca="1" si="28"/>
        <v>0</v>
      </c>
      <c r="R164" s="242">
        <f t="shared" ca="1" si="29"/>
        <v>0</v>
      </c>
      <c r="S164" s="242">
        <f t="shared" ca="1" si="30"/>
        <v>0</v>
      </c>
      <c r="T164" s="425">
        <f t="shared" ca="1" si="26"/>
        <v>0</v>
      </c>
    </row>
    <row r="165" spans="1:20">
      <c r="A165" s="246">
        <f t="shared" si="20"/>
        <v>155</v>
      </c>
      <c r="B165" s="540"/>
      <c r="C165" s="541"/>
      <c r="D165" s="541"/>
      <c r="E165" s="541"/>
      <c r="F165" s="541"/>
      <c r="G165" s="542"/>
      <c r="H165" s="534"/>
      <c r="I165" s="543"/>
      <c r="J165" s="546"/>
      <c r="K165" s="541"/>
      <c r="L165" s="548"/>
      <c r="M165" s="240">
        <f t="shared" si="31"/>
        <v>0</v>
      </c>
      <c r="N165" s="240"/>
      <c r="O165" s="242">
        <f t="shared" ca="1" si="32"/>
        <v>0</v>
      </c>
      <c r="P165" s="242">
        <f t="shared" ca="1" si="27"/>
        <v>0</v>
      </c>
      <c r="Q165" s="242">
        <f t="shared" ca="1" si="28"/>
        <v>0</v>
      </c>
      <c r="R165" s="242">
        <f t="shared" ca="1" si="29"/>
        <v>0</v>
      </c>
      <c r="S165" s="242">
        <f t="shared" ca="1" si="30"/>
        <v>0</v>
      </c>
      <c r="T165" s="425">
        <f t="shared" ca="1" si="26"/>
        <v>0</v>
      </c>
    </row>
    <row r="166" spans="1:20">
      <c r="A166" s="246">
        <f t="shared" si="20"/>
        <v>156</v>
      </c>
      <c r="B166" s="540"/>
      <c r="C166" s="541"/>
      <c r="D166" s="541"/>
      <c r="E166" s="541"/>
      <c r="F166" s="541"/>
      <c r="G166" s="542"/>
      <c r="H166" s="534"/>
      <c r="I166" s="543"/>
      <c r="J166" s="546"/>
      <c r="K166" s="541"/>
      <c r="L166" s="548"/>
      <c r="M166" s="240">
        <f t="shared" si="31"/>
        <v>0</v>
      </c>
      <c r="N166" s="240"/>
      <c r="O166" s="242">
        <f t="shared" ca="1" si="32"/>
        <v>0</v>
      </c>
      <c r="P166" s="242">
        <f t="shared" ca="1" si="27"/>
        <v>0</v>
      </c>
      <c r="Q166" s="242">
        <f t="shared" ca="1" si="28"/>
        <v>0</v>
      </c>
      <c r="R166" s="242">
        <f t="shared" ca="1" si="29"/>
        <v>0</v>
      </c>
      <c r="S166" s="242">
        <f t="shared" ca="1" si="30"/>
        <v>0</v>
      </c>
      <c r="T166" s="425">
        <f t="shared" ca="1" si="26"/>
        <v>0</v>
      </c>
    </row>
    <row r="167" spans="1:20">
      <c r="A167" s="246">
        <f t="shared" si="20"/>
        <v>157</v>
      </c>
      <c r="B167" s="540"/>
      <c r="C167" s="541"/>
      <c r="D167" s="541"/>
      <c r="E167" s="541"/>
      <c r="F167" s="541"/>
      <c r="G167" s="542"/>
      <c r="H167" s="534"/>
      <c r="I167" s="543"/>
      <c r="J167" s="546"/>
      <c r="K167" s="541"/>
      <c r="L167" s="548"/>
      <c r="M167" s="240">
        <f t="shared" si="31"/>
        <v>0</v>
      </c>
      <c r="N167" s="240"/>
      <c r="O167" s="242">
        <f t="shared" ca="1" si="32"/>
        <v>0</v>
      </c>
      <c r="P167" s="242">
        <f t="shared" ca="1" si="27"/>
        <v>0</v>
      </c>
      <c r="Q167" s="242">
        <f t="shared" ca="1" si="28"/>
        <v>0</v>
      </c>
      <c r="R167" s="242">
        <f t="shared" ca="1" si="29"/>
        <v>0</v>
      </c>
      <c r="S167" s="242">
        <f t="shared" ca="1" si="30"/>
        <v>0</v>
      </c>
      <c r="T167" s="425">
        <f t="shared" ca="1" si="26"/>
        <v>0</v>
      </c>
    </row>
    <row r="168" spans="1:20">
      <c r="A168" s="246">
        <f t="shared" si="20"/>
        <v>158</v>
      </c>
      <c r="B168" s="540"/>
      <c r="C168" s="541"/>
      <c r="D168" s="541"/>
      <c r="E168" s="541"/>
      <c r="F168" s="541"/>
      <c r="G168" s="542"/>
      <c r="H168" s="534"/>
      <c r="I168" s="543"/>
      <c r="J168" s="546"/>
      <c r="K168" s="541"/>
      <c r="L168" s="548"/>
      <c r="M168" s="240">
        <f t="shared" si="31"/>
        <v>0</v>
      </c>
      <c r="N168" s="240"/>
      <c r="O168" s="242">
        <f t="shared" ca="1" si="32"/>
        <v>0</v>
      </c>
      <c r="P168" s="242">
        <f t="shared" ca="1" si="27"/>
        <v>0</v>
      </c>
      <c r="Q168" s="242">
        <f t="shared" ca="1" si="28"/>
        <v>0</v>
      </c>
      <c r="R168" s="242">
        <f t="shared" ca="1" si="29"/>
        <v>0</v>
      </c>
      <c r="S168" s="242">
        <f t="shared" ca="1" si="30"/>
        <v>0</v>
      </c>
      <c r="T168" s="425">
        <f t="shared" ca="1" si="26"/>
        <v>0</v>
      </c>
    </row>
    <row r="169" spans="1:20" ht="14.4" customHeight="1">
      <c r="A169" s="246">
        <f t="shared" si="20"/>
        <v>159</v>
      </c>
      <c r="B169" s="540"/>
      <c r="C169" s="541"/>
      <c r="D169" s="541"/>
      <c r="E169" s="541"/>
      <c r="F169" s="541"/>
      <c r="G169" s="542"/>
      <c r="H169" s="534"/>
      <c r="I169" s="543"/>
      <c r="J169" s="546"/>
      <c r="K169" s="541"/>
      <c r="L169" s="548"/>
      <c r="M169" s="240">
        <f t="shared" si="31"/>
        <v>0</v>
      </c>
      <c r="N169" s="240"/>
      <c r="O169" s="242">
        <f t="shared" ca="1" si="32"/>
        <v>0</v>
      </c>
      <c r="P169" s="242">
        <f t="shared" ca="1" si="27"/>
        <v>0</v>
      </c>
      <c r="Q169" s="242">
        <f t="shared" ca="1" si="28"/>
        <v>0</v>
      </c>
      <c r="R169" s="242">
        <f t="shared" ca="1" si="29"/>
        <v>0</v>
      </c>
      <c r="S169" s="242">
        <f t="shared" ca="1" si="30"/>
        <v>0</v>
      </c>
      <c r="T169" s="425">
        <f t="shared" ca="1" si="26"/>
        <v>0</v>
      </c>
    </row>
    <row r="170" spans="1:20" ht="16.8" customHeight="1" thickBot="1">
      <c r="A170" s="247">
        <f t="shared" si="20"/>
        <v>160</v>
      </c>
      <c r="B170" s="556"/>
      <c r="C170" s="557"/>
      <c r="D170" s="557"/>
      <c r="E170" s="557"/>
      <c r="F170" s="557"/>
      <c r="G170" s="558"/>
      <c r="H170" s="558"/>
      <c r="I170" s="559"/>
      <c r="J170" s="560"/>
      <c r="K170" s="557"/>
      <c r="L170" s="561"/>
      <c r="M170" s="240">
        <f t="shared" si="31"/>
        <v>0</v>
      </c>
      <c r="N170" s="248"/>
      <c r="O170" s="249">
        <f t="shared" ca="1" si="32"/>
        <v>0</v>
      </c>
      <c r="P170" s="249">
        <f t="shared" ca="1" si="27"/>
        <v>0</v>
      </c>
      <c r="Q170" s="249">
        <f t="shared" ca="1" si="28"/>
        <v>0</v>
      </c>
      <c r="R170" s="249">
        <f t="shared" ca="1" si="29"/>
        <v>0</v>
      </c>
      <c r="S170" s="249">
        <f t="shared" ca="1" si="30"/>
        <v>0</v>
      </c>
      <c r="T170" s="425">
        <f t="shared" ca="1" si="26"/>
        <v>0</v>
      </c>
    </row>
    <row r="171" spans="1:20">
      <c r="A171" s="2">
        <f t="shared" si="20"/>
        <v>161</v>
      </c>
      <c r="B171" s="2" t="s">
        <v>54</v>
      </c>
      <c r="G171" s="9"/>
      <c r="H171" s="250">
        <f>SUM(H11:H170)</f>
        <v>164996724.25999999</v>
      </c>
      <c r="N171" s="9"/>
      <c r="O171" s="9">
        <f ca="1">SUM(O11:O170)</f>
        <v>164996724.25999999</v>
      </c>
      <c r="P171" s="9">
        <f t="shared" ref="P171:T171" ca="1" si="33">SUM(P11:P170)</f>
        <v>16833349.54635619</v>
      </c>
      <c r="Q171" s="9">
        <f t="shared" ca="1" si="33"/>
        <v>148163374.71364379</v>
      </c>
      <c r="R171" s="250">
        <f t="shared" ca="1" si="33"/>
        <v>162606740.71329996</v>
      </c>
      <c r="S171" s="250">
        <f t="shared" ca="1" si="33"/>
        <v>146078077.05060861</v>
      </c>
      <c r="T171" s="250">
        <f t="shared" ca="1" si="33"/>
        <v>28354848.621295009</v>
      </c>
    </row>
    <row r="172" spans="1:20">
      <c r="A172" s="2">
        <f t="shared" ref="A172:A175" si="34">A171+1</f>
        <v>162</v>
      </c>
      <c r="C172" s="2" t="s">
        <v>17</v>
      </c>
      <c r="G172" s="9"/>
      <c r="N172" s="9"/>
      <c r="O172" s="9"/>
      <c r="P172" s="9"/>
      <c r="Q172" s="9"/>
      <c r="R172" s="9"/>
      <c r="S172" s="250"/>
      <c r="T172" s="250"/>
    </row>
    <row r="173" spans="1:20">
      <c r="A173" s="2">
        <f t="shared" si="34"/>
        <v>163</v>
      </c>
      <c r="B173" s="2" t="s">
        <v>1354</v>
      </c>
      <c r="E173" s="219">
        <f>_xlfn.NUMBERVALUE(RIGHT(TRIM(A7),4))</f>
        <v>2016</v>
      </c>
      <c r="G173" s="9"/>
      <c r="H173" s="306"/>
      <c r="N173" s="9"/>
      <c r="O173" s="9"/>
      <c r="P173" s="9"/>
      <c r="Q173" s="9"/>
      <c r="R173" s="238"/>
      <c r="S173" s="238"/>
      <c r="T173" s="250"/>
    </row>
    <row r="174" spans="1:20">
      <c r="A174" s="2">
        <f t="shared" si="34"/>
        <v>164</v>
      </c>
      <c r="B174" s="2" t="s">
        <v>1353</v>
      </c>
      <c r="E174" s="390">
        <f>DATE($E$173,12,31)</f>
        <v>42735</v>
      </c>
      <c r="G174" s="9"/>
      <c r="N174" s="9"/>
      <c r="O174" s="9"/>
      <c r="P174" s="9"/>
      <c r="Q174" s="9"/>
      <c r="R174" s="238"/>
      <c r="S174" s="238"/>
      <c r="T174" s="250"/>
    </row>
    <row r="175" spans="1:20">
      <c r="A175" s="2">
        <f t="shared" si="34"/>
        <v>165</v>
      </c>
      <c r="B175" s="2" t="s">
        <v>1352</v>
      </c>
      <c r="C175" s="2" t="str">
        <f>'Worksheet J, Depr Rates'!L2&amp;", Line "&amp;'Worksheet J, Depr Rates'!A24&amp;", Col "&amp;'Worksheet J, Depr Rates'!J9</f>
        <v>Worksheet J, Line 14, Col H</v>
      </c>
      <c r="E175" s="313">
        <f>'Worksheet J, Depr Rates'!$J$24</f>
        <v>2.7480000000000001E-2</v>
      </c>
      <c r="G175" s="9"/>
      <c r="H175" s="238"/>
      <c r="N175" s="9"/>
      <c r="O175" s="9"/>
      <c r="P175" s="9"/>
      <c r="Q175" s="9"/>
      <c r="R175" s="9"/>
      <c r="S175" s="9"/>
      <c r="T175" s="250"/>
    </row>
    <row r="176" spans="1:20">
      <c r="E176" s="313"/>
      <c r="G176" s="9"/>
      <c r="H176" s="238"/>
      <c r="N176" s="9"/>
      <c r="O176" s="9"/>
      <c r="P176" s="9"/>
      <c r="Q176" s="9"/>
      <c r="R176" s="9"/>
      <c r="S176" s="250"/>
      <c r="T176" s="250"/>
    </row>
    <row r="177" spans="1:19">
      <c r="A177" s="2">
        <f>A175+1</f>
        <v>166</v>
      </c>
      <c r="B177" s="2" t="s">
        <v>429</v>
      </c>
      <c r="C177" s="2" t="str">
        <f>'Summary ATRR'!K2&amp;", Line "&amp;'Summary ATRR'!B29&amp;", Col "&amp;'Summary ATRR'!I9</f>
        <v>Summary ATRR, Line 16, Col H</v>
      </c>
      <c r="D177" s="236"/>
      <c r="E177" s="9">
        <f>'Summary ATRR'!I29</f>
        <v>40982432.188813061</v>
      </c>
      <c r="G177" s="23"/>
      <c r="H177" s="238"/>
      <c r="J177" s="23"/>
      <c r="N177" s="219"/>
    </row>
    <row r="178" spans="1:19">
      <c r="A178" s="2">
        <f>A177+1</f>
        <v>167</v>
      </c>
      <c r="B178" s="2" t="s">
        <v>1387</v>
      </c>
      <c r="C178" s="2" t="str">
        <f>'Worksheet A, Rate Base'!$N$2&amp;", Line "&amp;'Worksheet A, Rate Base'!B61&amp;", Col "&amp;'Worksheet A, Rate Base'!$K$9</f>
        <v>Worksheet A, Line 42, Col J</v>
      </c>
      <c r="D178" s="237"/>
      <c r="E178" s="9">
        <f>'Worksheet A, Rate Base'!K61</f>
        <v>210348577.59743178</v>
      </c>
      <c r="H178" s="238"/>
      <c r="K178" s="9"/>
      <c r="O178" s="390"/>
    </row>
    <row r="179" spans="1:19">
      <c r="A179" s="2">
        <f>A178+1</f>
        <v>168</v>
      </c>
      <c r="B179" s="2" t="s">
        <v>1407</v>
      </c>
      <c r="C179" s="2" t="str">
        <f>"Line "&amp;A177&amp;" / Line "&amp;A178</f>
        <v>Line 166 / Line 167</v>
      </c>
      <c r="D179" s="237"/>
      <c r="E179" s="238">
        <f>E177/E178</f>
        <v>0.1948310402518901</v>
      </c>
      <c r="H179" s="238"/>
      <c r="K179" s="9"/>
      <c r="O179" s="390"/>
    </row>
    <row r="180" spans="1:19">
      <c r="A180" s="2">
        <f t="shared" ref="A180:A182" si="35">A179+1</f>
        <v>169</v>
      </c>
      <c r="D180" s="239"/>
      <c r="E180" s="426"/>
      <c r="H180" s="238"/>
      <c r="K180" s="9"/>
      <c r="O180" s="390"/>
    </row>
    <row r="181" spans="1:19">
      <c r="A181" s="2">
        <f t="shared" si="35"/>
        <v>170</v>
      </c>
      <c r="B181" s="2" t="s">
        <v>1408</v>
      </c>
      <c r="C181" s="2" t="str">
        <f>"Line "&amp;$A$171&amp;", Col "&amp;S$9</f>
        <v>Line 161, Col S</v>
      </c>
      <c r="D181" s="239"/>
      <c r="E181" s="427">
        <f ca="1">S171</f>
        <v>146078077.05060861</v>
      </c>
      <c r="H181" s="238"/>
      <c r="K181" s="9"/>
      <c r="O181" s="390"/>
    </row>
    <row r="182" spans="1:19">
      <c r="A182" s="2">
        <f t="shared" si="35"/>
        <v>171</v>
      </c>
      <c r="B182" s="2" t="s">
        <v>1409</v>
      </c>
      <c r="C182" s="2" t="str">
        <f>"Line "&amp;A181&amp;" * Line "&amp;A179</f>
        <v>Line 170 * Line 168</v>
      </c>
      <c r="D182" s="239"/>
      <c r="E182" s="427">
        <f ca="1">E179*E181</f>
        <v>28460543.709765829</v>
      </c>
      <c r="H182" s="238"/>
      <c r="K182" s="9"/>
    </row>
    <row r="183" spans="1:19">
      <c r="G183" s="9"/>
      <c r="L183" s="9"/>
      <c r="M183" s="9"/>
      <c r="N183" s="9"/>
      <c r="S183" s="250"/>
    </row>
    <row r="184" spans="1:19">
      <c r="A184" s="2">
        <f>A182+1</f>
        <v>172</v>
      </c>
      <c r="B184" s="2" t="s">
        <v>1490</v>
      </c>
    </row>
    <row r="185" spans="1:19">
      <c r="A185" s="2">
        <f t="shared" ref="A185:A191" si="36">A184+1</f>
        <v>173</v>
      </c>
      <c r="B185" s="2" t="s">
        <v>1491</v>
      </c>
    </row>
    <row r="186" spans="1:19">
      <c r="A186" s="2">
        <f t="shared" si="36"/>
        <v>174</v>
      </c>
      <c r="B186" s="2" t="s">
        <v>1492</v>
      </c>
    </row>
    <row r="187" spans="1:19">
      <c r="A187" s="2">
        <f t="shared" si="36"/>
        <v>175</v>
      </c>
      <c r="B187" s="83" t="s">
        <v>1493</v>
      </c>
    </row>
    <row r="188" spans="1:19">
      <c r="A188" s="2">
        <f t="shared" si="36"/>
        <v>176</v>
      </c>
      <c r="B188" s="83" t="s">
        <v>1494</v>
      </c>
    </row>
    <row r="189" spans="1:19">
      <c r="A189" s="2">
        <f t="shared" si="36"/>
        <v>177</v>
      </c>
      <c r="B189" s="83" t="s">
        <v>1495</v>
      </c>
    </row>
    <row r="190" spans="1:19">
      <c r="A190" s="2">
        <f t="shared" si="36"/>
        <v>178</v>
      </c>
      <c r="B190" s="83" t="s">
        <v>1496</v>
      </c>
    </row>
    <row r="191" spans="1:19">
      <c r="A191" s="2">
        <f t="shared" si="36"/>
        <v>179</v>
      </c>
      <c r="B191" s="83" t="s">
        <v>1497</v>
      </c>
    </row>
  </sheetData>
  <autoFilter ref="A10:W175">
    <filterColumn colId="11">
      <filters>
        <filter val="TRUE"/>
      </filters>
    </filterColumn>
  </autoFilter>
  <conditionalFormatting sqref="A1:XFD1048576">
    <cfRule type="containsErrors" dxfId="3" priority="1">
      <formula>ISERROR(A1)</formula>
    </cfRule>
  </conditionalFormatting>
  <printOptions horizontalCentered="1"/>
  <pageMargins left="0.7" right="0.7" top="0.75" bottom="0.75" header="0.3" footer="0.3"/>
  <pageSetup scale="39" fitToHeight="0" orientation="landscape" horizontalDpi="1200" verticalDpi="1200" r:id="rId1"/>
  <headerFooter>
    <oddHeader xml:space="preserve">&amp;RPage &amp;P
Workpaper H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O84"/>
  <sheetViews>
    <sheetView zoomScaleNormal="100" workbookViewId="0">
      <selection activeCell="P40" sqref="P40"/>
    </sheetView>
  </sheetViews>
  <sheetFormatPr defaultColWidth="8" defaultRowHeight="13.2"/>
  <cols>
    <col min="1" max="1" width="8" style="231"/>
    <col min="2" max="2" width="9.3984375" style="231" customWidth="1"/>
    <col min="3" max="3" width="9.8984375" style="231" customWidth="1"/>
    <col min="4" max="4" width="10.69921875" style="231" customWidth="1"/>
    <col min="5" max="5" width="10.59765625" style="231" bestFit="1" customWidth="1"/>
    <col min="6" max="6" width="11.8984375" style="231" customWidth="1"/>
    <col min="7" max="7" width="12.5" style="231" customWidth="1"/>
    <col min="8" max="8" width="12.3984375" style="231" customWidth="1"/>
    <col min="9" max="9" width="12.19921875" style="231" customWidth="1"/>
    <col min="10" max="10" width="16.59765625" style="231" customWidth="1"/>
    <col min="11" max="11" width="15.5" style="231" bestFit="1" customWidth="1"/>
    <col min="12" max="12" width="18.59765625" style="231" customWidth="1"/>
    <col min="13" max="13" width="10.59765625" style="231" customWidth="1"/>
    <col min="14" max="14" width="10.8984375" style="231" customWidth="1"/>
    <col min="15" max="16384" width="8" style="231"/>
  </cols>
  <sheetData>
    <row r="2" spans="1:15">
      <c r="N2" s="159"/>
      <c r="O2" s="231" t="s">
        <v>430</v>
      </c>
    </row>
    <row r="3" spans="1:15">
      <c r="N3" s="159"/>
    </row>
    <row r="4" spans="1:15" ht="13.8">
      <c r="A4" s="376" t="s">
        <v>1</v>
      </c>
    </row>
    <row r="5" spans="1:15" ht="21">
      <c r="A5" s="2"/>
      <c r="B5" s="160"/>
      <c r="C5" s="161"/>
      <c r="D5" s="161"/>
      <c r="E5" s="161"/>
      <c r="F5" s="161"/>
      <c r="G5" s="161"/>
      <c r="H5" s="161"/>
      <c r="I5" s="161"/>
      <c r="J5" s="161"/>
      <c r="K5" s="161"/>
      <c r="L5" s="161"/>
      <c r="M5" s="161"/>
      <c r="N5" s="161"/>
    </row>
    <row r="6" spans="1:15" ht="13.8">
      <c r="A6" s="1" t="s">
        <v>431</v>
      </c>
    </row>
    <row r="7" spans="1:15" ht="21">
      <c r="A7" s="376" t="str">
        <f>'Worksheet H SPP Upgrade Proj.'!A7</f>
        <v>Year Ending December 31, 2016</v>
      </c>
      <c r="B7" s="162"/>
      <c r="C7" s="160"/>
      <c r="D7" s="160"/>
      <c r="E7" s="160"/>
      <c r="F7" s="160"/>
      <c r="G7" s="160"/>
      <c r="H7" s="160"/>
      <c r="I7" s="160"/>
      <c r="J7" s="160"/>
      <c r="K7" s="160"/>
      <c r="L7" s="160"/>
      <c r="M7" s="160"/>
      <c r="N7" s="160"/>
      <c r="O7" s="163"/>
    </row>
    <row r="8" spans="1:15" ht="16.8">
      <c r="B8" s="30"/>
      <c r="C8" s="30"/>
      <c r="D8" s="30"/>
      <c r="E8" s="30"/>
      <c r="F8" s="30"/>
      <c r="G8" s="30"/>
      <c r="H8" s="30"/>
      <c r="I8" s="30"/>
      <c r="J8" s="30"/>
      <c r="K8" s="30"/>
      <c r="L8" s="30"/>
      <c r="M8" s="30"/>
      <c r="N8" s="30"/>
      <c r="O8" s="30"/>
    </row>
    <row r="9" spans="1:15" ht="13.8">
      <c r="A9" s="164" t="s">
        <v>3</v>
      </c>
      <c r="B9" s="165"/>
      <c r="C9" s="164" t="s">
        <v>4</v>
      </c>
      <c r="D9" s="165"/>
      <c r="E9" s="164" t="s">
        <v>5</v>
      </c>
      <c r="F9" s="164" t="s">
        <v>9</v>
      </c>
      <c r="G9" s="164" t="s">
        <v>10</v>
      </c>
      <c r="H9" s="164" t="s">
        <v>11</v>
      </c>
      <c r="I9" s="164" t="s">
        <v>12</v>
      </c>
      <c r="J9" s="164" t="s">
        <v>13</v>
      </c>
      <c r="K9" s="164" t="s">
        <v>14</v>
      </c>
      <c r="L9" s="164" t="s">
        <v>15</v>
      </c>
    </row>
    <row r="10" spans="1:15" ht="13.8">
      <c r="A10" s="166" t="s">
        <v>432</v>
      </c>
      <c r="B10" s="121"/>
      <c r="C10" s="121"/>
      <c r="D10" s="121"/>
      <c r="E10" s="121"/>
      <c r="F10" s="121"/>
      <c r="G10" s="121"/>
      <c r="H10" s="121"/>
      <c r="I10" s="121"/>
      <c r="J10" s="121"/>
      <c r="K10" s="121"/>
      <c r="L10" s="121"/>
    </row>
    <row r="11" spans="1:15" ht="13.8">
      <c r="A11" s="121"/>
      <c r="B11" s="121"/>
      <c r="C11" s="121"/>
      <c r="D11" s="121"/>
      <c r="E11" s="121"/>
      <c r="F11" s="121"/>
      <c r="G11" s="121"/>
      <c r="H11" s="121"/>
      <c r="I11" s="121"/>
      <c r="J11" s="121"/>
      <c r="K11" s="121"/>
      <c r="L11" s="121"/>
    </row>
    <row r="12" spans="1:15" ht="20.25" customHeight="1">
      <c r="A12" s="623" t="s">
        <v>427</v>
      </c>
      <c r="B12" s="641" t="s">
        <v>433</v>
      </c>
      <c r="C12" s="626"/>
      <c r="D12" s="627"/>
      <c r="E12" s="621" t="s">
        <v>434</v>
      </c>
      <c r="F12" s="621" t="s">
        <v>1311</v>
      </c>
      <c r="G12" s="621" t="s">
        <v>435</v>
      </c>
      <c r="H12" s="621" t="s">
        <v>436</v>
      </c>
      <c r="I12" s="621" t="s">
        <v>437</v>
      </c>
      <c r="J12" s="621" t="s">
        <v>438</v>
      </c>
      <c r="K12" s="621" t="s">
        <v>1312</v>
      </c>
      <c r="L12" s="621" t="s">
        <v>439</v>
      </c>
    </row>
    <row r="13" spans="1:15" ht="27.75" customHeight="1">
      <c r="A13" s="624"/>
      <c r="B13" s="628"/>
      <c r="C13" s="628"/>
      <c r="D13" s="629"/>
      <c r="E13" s="630"/>
      <c r="F13" s="630"/>
      <c r="G13" s="630"/>
      <c r="H13" s="630"/>
      <c r="I13" s="630"/>
      <c r="J13" s="622"/>
      <c r="K13" s="622"/>
      <c r="L13" s="622"/>
    </row>
    <row r="14" spans="1:15" ht="13.8">
      <c r="A14" s="125"/>
      <c r="B14" s="31"/>
      <c r="C14" s="31"/>
      <c r="D14" s="31"/>
      <c r="E14" s="31"/>
      <c r="F14" s="123"/>
      <c r="G14" s="124"/>
      <c r="H14" s="124"/>
      <c r="I14" s="124"/>
      <c r="J14" s="124"/>
      <c r="K14" s="124"/>
      <c r="L14" s="167" t="s">
        <v>0</v>
      </c>
    </row>
    <row r="15" spans="1:15" ht="13.8">
      <c r="A15" s="125"/>
      <c r="B15" s="31"/>
      <c r="C15" s="31"/>
      <c r="D15" s="31"/>
      <c r="E15" s="31"/>
      <c r="F15" s="123"/>
      <c r="G15" s="124"/>
      <c r="H15" s="124"/>
      <c r="I15" s="124"/>
      <c r="J15" s="124"/>
      <c r="K15" s="124"/>
      <c r="L15" s="168"/>
    </row>
    <row r="16" spans="1:15" ht="13.8">
      <c r="A16" s="631">
        <v>1</v>
      </c>
      <c r="B16" s="635"/>
      <c r="C16" s="636"/>
      <c r="D16" s="636"/>
      <c r="E16" s="637"/>
      <c r="F16" s="639"/>
      <c r="G16" s="413"/>
      <c r="H16" s="414"/>
      <c r="I16" s="414"/>
      <c r="J16" s="414"/>
      <c r="K16" s="414"/>
      <c r="L16" s="414"/>
    </row>
    <row r="17" spans="1:12" ht="13.8">
      <c r="A17" s="632"/>
      <c r="B17" s="636"/>
      <c r="C17" s="636"/>
      <c r="D17" s="636"/>
      <c r="E17" s="638"/>
      <c r="F17" s="640"/>
      <c r="G17" s="569"/>
      <c r="H17" s="569"/>
      <c r="I17" s="355">
        <f>H17-G17</f>
        <v>0</v>
      </c>
      <c r="J17" s="570"/>
      <c r="K17" s="355">
        <f>$J$76</f>
        <v>0</v>
      </c>
      <c r="L17" s="355">
        <f>J17+K17</f>
        <v>0</v>
      </c>
    </row>
    <row r="18" spans="1:12" ht="13.8">
      <c r="A18" s="33"/>
      <c r="B18" s="121"/>
      <c r="C18" s="121"/>
      <c r="D18" s="121"/>
      <c r="E18" s="121"/>
      <c r="F18" s="121"/>
      <c r="G18" s="121"/>
      <c r="H18" s="121"/>
      <c r="I18" s="121"/>
      <c r="J18" s="121"/>
      <c r="K18" s="121"/>
      <c r="L18" s="34"/>
    </row>
    <row r="19" spans="1:12" ht="13.8">
      <c r="A19" s="631">
        <v>2</v>
      </c>
      <c r="B19" s="633"/>
      <c r="C19" s="634"/>
      <c r="D19" s="634"/>
      <c r="E19" s="619"/>
      <c r="F19" s="619"/>
      <c r="G19" s="32"/>
      <c r="H19" s="33"/>
      <c r="I19" s="33"/>
      <c r="J19" s="33"/>
      <c r="K19" s="33"/>
      <c r="L19" s="35"/>
    </row>
    <row r="20" spans="1:12" ht="13.8">
      <c r="A20" s="632"/>
      <c r="B20" s="634"/>
      <c r="C20" s="634"/>
      <c r="D20" s="634"/>
      <c r="E20" s="620"/>
      <c r="F20" s="620"/>
      <c r="G20" s="571"/>
      <c r="H20" s="572"/>
      <c r="I20" s="355">
        <f>H20-G20</f>
        <v>0</v>
      </c>
      <c r="J20" s="573"/>
      <c r="K20" s="355">
        <f>$J$76</f>
        <v>0</v>
      </c>
      <c r="L20" s="232">
        <f>J20+K20</f>
        <v>0</v>
      </c>
    </row>
    <row r="21" spans="1:12" ht="13.8">
      <c r="A21" s="33"/>
      <c r="B21" s="121"/>
      <c r="C21" s="121"/>
      <c r="D21" s="121"/>
      <c r="E21" s="121"/>
      <c r="F21" s="121"/>
      <c r="G21" s="121"/>
      <c r="H21" s="121"/>
      <c r="I21" s="121"/>
      <c r="J21" s="121"/>
      <c r="K21" s="121"/>
      <c r="L21" s="34"/>
    </row>
    <row r="22" spans="1:12" ht="13.8">
      <c r="A22" s="631">
        <v>3</v>
      </c>
      <c r="B22" s="633"/>
      <c r="C22" s="634"/>
      <c r="D22" s="634"/>
      <c r="E22" s="619"/>
      <c r="F22" s="619"/>
      <c r="G22" s="32"/>
      <c r="H22" s="33"/>
      <c r="I22" s="33"/>
      <c r="J22" s="33"/>
      <c r="K22" s="33"/>
      <c r="L22" s="35"/>
    </row>
    <row r="23" spans="1:12" ht="13.8">
      <c r="A23" s="632"/>
      <c r="B23" s="634"/>
      <c r="C23" s="634"/>
      <c r="D23" s="634"/>
      <c r="E23" s="620"/>
      <c r="F23" s="620"/>
      <c r="G23" s="571"/>
      <c r="H23" s="572"/>
      <c r="I23" s="355">
        <f>H23-G23</f>
        <v>0</v>
      </c>
      <c r="J23" s="573"/>
      <c r="K23" s="355">
        <f>$J$76</f>
        <v>0</v>
      </c>
      <c r="L23" s="232">
        <f>J23+K23</f>
        <v>0</v>
      </c>
    </row>
    <row r="24" spans="1:12" ht="13.8">
      <c r="A24" s="33"/>
      <c r="B24" s="121"/>
      <c r="C24" s="121"/>
      <c r="D24" s="121"/>
      <c r="E24" s="121"/>
      <c r="F24" s="121"/>
      <c r="G24" s="121"/>
      <c r="H24" s="121"/>
      <c r="I24" s="121"/>
      <c r="J24" s="121"/>
      <c r="K24" s="121"/>
      <c r="L24" s="34"/>
    </row>
    <row r="25" spans="1:12" ht="13.8">
      <c r="A25" s="631">
        <v>4</v>
      </c>
      <c r="B25" s="633"/>
      <c r="C25" s="634"/>
      <c r="D25" s="634"/>
      <c r="E25" s="619"/>
      <c r="F25" s="619"/>
      <c r="G25" s="32"/>
      <c r="H25" s="33"/>
      <c r="I25" s="33"/>
      <c r="J25" s="33"/>
      <c r="K25" s="33"/>
      <c r="L25" s="35"/>
    </row>
    <row r="26" spans="1:12" ht="13.8">
      <c r="A26" s="632"/>
      <c r="B26" s="634"/>
      <c r="C26" s="634"/>
      <c r="D26" s="634"/>
      <c r="E26" s="620"/>
      <c r="F26" s="620"/>
      <c r="G26" s="571"/>
      <c r="H26" s="572"/>
      <c r="I26" s="355">
        <f>H26-G26</f>
        <v>0</v>
      </c>
      <c r="J26" s="573"/>
      <c r="K26" s="355">
        <f>$J$76</f>
        <v>0</v>
      </c>
      <c r="L26" s="232">
        <f>J26+K26</f>
        <v>0</v>
      </c>
    </row>
    <row r="27" spans="1:12" ht="13.8">
      <c r="A27" s="33"/>
      <c r="B27" s="121"/>
      <c r="C27" s="121"/>
      <c r="D27" s="121"/>
      <c r="E27" s="121"/>
      <c r="F27" s="121"/>
      <c r="G27" s="121"/>
      <c r="H27" s="121"/>
      <c r="I27" s="121"/>
      <c r="J27" s="121"/>
      <c r="K27" s="121"/>
      <c r="L27" s="34"/>
    </row>
    <row r="28" spans="1:12" ht="13.8">
      <c r="A28" s="631">
        <v>5</v>
      </c>
      <c r="B28" s="633"/>
      <c r="C28" s="634"/>
      <c r="D28" s="634"/>
      <c r="E28" s="619"/>
      <c r="F28" s="619"/>
      <c r="G28" s="32"/>
      <c r="H28" s="33"/>
      <c r="I28" s="33"/>
      <c r="J28" s="33"/>
      <c r="K28" s="33"/>
      <c r="L28" s="35"/>
    </row>
    <row r="29" spans="1:12" ht="13.8">
      <c r="A29" s="632"/>
      <c r="B29" s="634"/>
      <c r="C29" s="634"/>
      <c r="D29" s="634"/>
      <c r="E29" s="620"/>
      <c r="F29" s="620"/>
      <c r="G29" s="571"/>
      <c r="H29" s="572"/>
      <c r="I29" s="355">
        <f>H29-G29</f>
        <v>0</v>
      </c>
      <c r="J29" s="573"/>
      <c r="K29" s="355">
        <f>$J$76</f>
        <v>0</v>
      </c>
      <c r="L29" s="232">
        <f>J29+K29</f>
        <v>0</v>
      </c>
    </row>
    <row r="30" spans="1:12" ht="13.8">
      <c r="A30" s="125"/>
      <c r="B30" s="122"/>
      <c r="C30" s="122"/>
      <c r="D30" s="122"/>
      <c r="E30" s="122"/>
      <c r="F30" s="122"/>
      <c r="G30" s="32"/>
      <c r="H30" s="36"/>
      <c r="I30" s="33"/>
      <c r="J30" s="233"/>
      <c r="K30" s="37"/>
      <c r="L30" s="233"/>
    </row>
    <row r="31" spans="1:12" ht="14.4" thickBot="1">
      <c r="A31" s="125"/>
      <c r="B31" s="122"/>
      <c r="C31" s="122"/>
      <c r="D31" s="122"/>
      <c r="E31" s="122"/>
      <c r="F31" s="122"/>
      <c r="G31" s="32"/>
      <c r="H31" s="36"/>
      <c r="I31" s="33"/>
      <c r="J31" s="233"/>
      <c r="K31" s="37"/>
      <c r="L31" s="233"/>
    </row>
    <row r="32" spans="1:12" ht="14.4" thickBot="1">
      <c r="A32" s="365">
        <v>6</v>
      </c>
      <c r="B32" s="609" t="s">
        <v>440</v>
      </c>
      <c r="C32" s="610"/>
      <c r="D32" s="610"/>
      <c r="E32" s="610"/>
      <c r="F32" s="610"/>
      <c r="G32" s="610"/>
      <c r="H32" s="610"/>
      <c r="I32" s="610"/>
      <c r="J32" s="610"/>
      <c r="K32" s="37"/>
      <c r="L32" s="234">
        <f>L17+L20+L23+L26+L29</f>
        <v>0</v>
      </c>
    </row>
    <row r="33" spans="1:12" ht="13.8">
      <c r="A33" s="125"/>
      <c r="B33" s="122"/>
      <c r="C33" s="122"/>
      <c r="D33" s="122"/>
      <c r="E33" s="122"/>
      <c r="F33" s="122"/>
      <c r="G33" s="32"/>
      <c r="H33" s="36"/>
      <c r="I33" s="33"/>
      <c r="J33" s="233"/>
      <c r="K33" s="37"/>
      <c r="L33" s="233"/>
    </row>
    <row r="34" spans="1:12" ht="13.8">
      <c r="A34" s="125"/>
      <c r="B34" s="122"/>
      <c r="C34" s="122"/>
      <c r="D34" s="122"/>
      <c r="E34" s="122"/>
      <c r="F34" s="122"/>
      <c r="G34" s="32"/>
      <c r="H34" s="36"/>
      <c r="I34" s="33"/>
      <c r="J34" s="233"/>
      <c r="K34" s="37"/>
      <c r="L34" s="233"/>
    </row>
    <row r="35" spans="1:12" ht="13.8">
      <c r="A35" s="166" t="s">
        <v>441</v>
      </c>
      <c r="B35" s="121"/>
      <c r="C35" s="121"/>
      <c r="D35" s="121"/>
      <c r="E35" s="121"/>
      <c r="F35" s="121"/>
      <c r="G35" s="121"/>
      <c r="H35" s="121"/>
      <c r="I35" s="121"/>
      <c r="J35" s="121"/>
      <c r="K35" s="121"/>
      <c r="L35" s="121"/>
    </row>
    <row r="36" spans="1:12" ht="13.8">
      <c r="A36" s="121"/>
      <c r="B36" s="121"/>
      <c r="C36" s="121"/>
      <c r="D36" s="121"/>
      <c r="E36" s="121"/>
      <c r="F36" s="121"/>
      <c r="G36" s="121"/>
      <c r="H36" s="121"/>
      <c r="I36" s="121"/>
      <c r="J36" s="121"/>
      <c r="K36" s="121"/>
      <c r="L36" s="121"/>
    </row>
    <row r="37" spans="1:12" ht="20.25" customHeight="1">
      <c r="A37" s="623" t="s">
        <v>427</v>
      </c>
      <c r="B37" s="625" t="s">
        <v>433</v>
      </c>
      <c r="C37" s="626"/>
      <c r="D37" s="627"/>
      <c r="E37" s="621" t="s">
        <v>434</v>
      </c>
      <c r="F37" s="621" t="s">
        <v>1311</v>
      </c>
      <c r="G37" s="621" t="s">
        <v>435</v>
      </c>
      <c r="H37" s="621" t="s">
        <v>436</v>
      </c>
      <c r="I37" s="621" t="s">
        <v>437</v>
      </c>
      <c r="J37" s="621" t="s">
        <v>438</v>
      </c>
      <c r="K37" s="621" t="s">
        <v>1312</v>
      </c>
      <c r="L37" s="621" t="s">
        <v>439</v>
      </c>
    </row>
    <row r="38" spans="1:12" ht="24" customHeight="1">
      <c r="A38" s="624"/>
      <c r="B38" s="612"/>
      <c r="C38" s="628"/>
      <c r="D38" s="629"/>
      <c r="E38" s="630"/>
      <c r="F38" s="630"/>
      <c r="G38" s="630"/>
      <c r="H38" s="630"/>
      <c r="I38" s="630"/>
      <c r="J38" s="622"/>
      <c r="K38" s="622"/>
      <c r="L38" s="622"/>
    </row>
    <row r="39" spans="1:12" ht="13.8">
      <c r="A39" s="125"/>
      <c r="B39" s="31"/>
      <c r="C39" s="31"/>
      <c r="D39" s="31"/>
      <c r="E39" s="31"/>
      <c r="F39" s="123"/>
      <c r="G39" s="124"/>
      <c r="H39" s="124"/>
      <c r="I39" s="124"/>
      <c r="J39" s="124"/>
      <c r="K39" s="124"/>
      <c r="L39" s="169" t="s">
        <v>0</v>
      </c>
    </row>
    <row r="40" spans="1:12" ht="13.8">
      <c r="A40" s="121"/>
      <c r="B40" s="121"/>
      <c r="C40" s="121"/>
      <c r="D40" s="121"/>
      <c r="E40" s="121"/>
      <c r="F40" s="121"/>
      <c r="G40" s="121"/>
      <c r="H40" s="121"/>
      <c r="I40" s="121"/>
      <c r="J40" s="121"/>
      <c r="K40" s="121"/>
      <c r="L40" s="170"/>
    </row>
    <row r="41" spans="1:12" ht="13.8">
      <c r="A41" s="611">
        <v>7</v>
      </c>
      <c r="B41" s="613"/>
      <c r="C41" s="614"/>
      <c r="D41" s="615"/>
      <c r="E41" s="619"/>
      <c r="F41" s="619"/>
      <c r="G41" s="32"/>
      <c r="H41" s="33"/>
      <c r="I41" s="33"/>
      <c r="J41" s="33"/>
      <c r="K41" s="33"/>
      <c r="L41" s="33"/>
    </row>
    <row r="42" spans="1:12" ht="13.8">
      <c r="A42" s="612"/>
      <c r="B42" s="616"/>
      <c r="C42" s="617"/>
      <c r="D42" s="618"/>
      <c r="E42" s="620"/>
      <c r="F42" s="620"/>
      <c r="G42" s="571"/>
      <c r="H42" s="572"/>
      <c r="I42" s="355">
        <f>H42-G42</f>
        <v>0</v>
      </c>
      <c r="J42" s="573"/>
      <c r="K42" s="355">
        <f>$J$76</f>
        <v>0</v>
      </c>
      <c r="L42" s="232">
        <f>J42+K42</f>
        <v>0</v>
      </c>
    </row>
    <row r="43" spans="1:12" ht="13.8">
      <c r="A43" s="121"/>
      <c r="B43" s="121"/>
      <c r="C43" s="121"/>
      <c r="D43" s="121"/>
      <c r="E43" s="121"/>
      <c r="F43" s="121"/>
      <c r="G43" s="121"/>
      <c r="H43" s="121"/>
      <c r="I43" s="121"/>
      <c r="J43" s="121"/>
      <c r="K43" s="121"/>
      <c r="L43" s="34"/>
    </row>
    <row r="44" spans="1:12" ht="13.8">
      <c r="A44" s="611">
        <v>8</v>
      </c>
      <c r="B44" s="613"/>
      <c r="C44" s="614"/>
      <c r="D44" s="615"/>
      <c r="E44" s="619"/>
      <c r="F44" s="619"/>
      <c r="G44" s="32"/>
      <c r="H44" s="33"/>
      <c r="I44" s="33"/>
      <c r="J44" s="33"/>
      <c r="K44" s="33"/>
      <c r="L44" s="35"/>
    </row>
    <row r="45" spans="1:12" ht="13.8">
      <c r="A45" s="612"/>
      <c r="B45" s="616"/>
      <c r="C45" s="617"/>
      <c r="D45" s="618"/>
      <c r="E45" s="620"/>
      <c r="F45" s="620"/>
      <c r="G45" s="571"/>
      <c r="H45" s="572"/>
      <c r="I45" s="355">
        <f>H45-G45</f>
        <v>0</v>
      </c>
      <c r="J45" s="573"/>
      <c r="K45" s="355">
        <f>$J$76</f>
        <v>0</v>
      </c>
      <c r="L45" s="232">
        <f>J45+K45</f>
        <v>0</v>
      </c>
    </row>
    <row r="46" spans="1:12" ht="13.8">
      <c r="A46" s="121"/>
      <c r="B46" s="121"/>
      <c r="C46" s="121"/>
      <c r="D46" s="121"/>
      <c r="E46" s="121"/>
      <c r="F46" s="121"/>
      <c r="G46" s="121"/>
      <c r="H46" s="121"/>
      <c r="I46" s="121"/>
      <c r="J46" s="121"/>
      <c r="K46" s="121"/>
      <c r="L46" s="34"/>
    </row>
    <row r="47" spans="1:12" ht="13.8">
      <c r="A47" s="611">
        <v>9</v>
      </c>
      <c r="B47" s="613"/>
      <c r="C47" s="614"/>
      <c r="D47" s="615"/>
      <c r="E47" s="619"/>
      <c r="F47" s="619"/>
      <c r="G47" s="32"/>
      <c r="H47" s="33"/>
      <c r="I47" s="33"/>
      <c r="J47" s="33"/>
      <c r="K47" s="33"/>
      <c r="L47" s="35"/>
    </row>
    <row r="48" spans="1:12" ht="13.8">
      <c r="A48" s="612"/>
      <c r="B48" s="616"/>
      <c r="C48" s="617"/>
      <c r="D48" s="618"/>
      <c r="E48" s="620"/>
      <c r="F48" s="620"/>
      <c r="G48" s="571"/>
      <c r="H48" s="572"/>
      <c r="I48" s="355">
        <f>H48-G48</f>
        <v>0</v>
      </c>
      <c r="J48" s="573"/>
      <c r="K48" s="355">
        <f>$J$76</f>
        <v>0</v>
      </c>
      <c r="L48" s="232">
        <f>J48+K48</f>
        <v>0</v>
      </c>
    </row>
    <row r="49" spans="1:12" ht="13.8">
      <c r="A49" s="121"/>
      <c r="B49" s="121"/>
      <c r="C49" s="121"/>
      <c r="D49" s="121"/>
      <c r="E49" s="121"/>
      <c r="F49" s="121"/>
      <c r="G49" s="121"/>
      <c r="H49" s="121"/>
      <c r="I49" s="121"/>
      <c r="J49" s="121"/>
      <c r="K49" s="121"/>
      <c r="L49" s="34"/>
    </row>
    <row r="50" spans="1:12" ht="13.8">
      <c r="A50" s="611">
        <v>10</v>
      </c>
      <c r="B50" s="613"/>
      <c r="C50" s="614"/>
      <c r="D50" s="615"/>
      <c r="E50" s="619"/>
      <c r="F50" s="619"/>
      <c r="G50" s="32"/>
      <c r="H50" s="33"/>
      <c r="I50" s="33"/>
      <c r="J50" s="33"/>
      <c r="K50" s="33"/>
      <c r="L50" s="35"/>
    </row>
    <row r="51" spans="1:12" ht="13.8">
      <c r="A51" s="612"/>
      <c r="B51" s="616"/>
      <c r="C51" s="617"/>
      <c r="D51" s="618"/>
      <c r="E51" s="620"/>
      <c r="F51" s="620"/>
      <c r="G51" s="571"/>
      <c r="H51" s="572"/>
      <c r="I51" s="355">
        <f>H51-G51</f>
        <v>0</v>
      </c>
      <c r="J51" s="573"/>
      <c r="K51" s="355">
        <f>$J$76</f>
        <v>0</v>
      </c>
      <c r="L51" s="232">
        <f>J51+K51</f>
        <v>0</v>
      </c>
    </row>
    <row r="52" spans="1:12" ht="13.8">
      <c r="A52" s="121"/>
      <c r="B52" s="121"/>
      <c r="C52" s="121"/>
      <c r="D52" s="121"/>
      <c r="E52" s="121"/>
      <c r="F52" s="121"/>
      <c r="G52" s="121"/>
      <c r="H52" s="121"/>
      <c r="I52" s="121"/>
      <c r="J52" s="121"/>
      <c r="K52" s="121"/>
      <c r="L52" s="34"/>
    </row>
    <row r="53" spans="1:12" ht="13.8">
      <c r="A53" s="611">
        <v>11</v>
      </c>
      <c r="B53" s="613"/>
      <c r="C53" s="614"/>
      <c r="D53" s="615"/>
      <c r="E53" s="619"/>
      <c r="F53" s="619"/>
      <c r="G53" s="32"/>
      <c r="H53" s="33"/>
      <c r="I53" s="33"/>
      <c r="J53" s="33"/>
      <c r="K53" s="33"/>
      <c r="L53" s="35"/>
    </row>
    <row r="54" spans="1:12" ht="13.8">
      <c r="A54" s="612"/>
      <c r="B54" s="616"/>
      <c r="C54" s="617"/>
      <c r="D54" s="618"/>
      <c r="E54" s="620"/>
      <c r="F54" s="620"/>
      <c r="G54" s="571"/>
      <c r="H54" s="572"/>
      <c r="I54" s="355">
        <f>H54-G54</f>
        <v>0</v>
      </c>
      <c r="J54" s="573"/>
      <c r="K54" s="355">
        <f>$J$76</f>
        <v>0</v>
      </c>
      <c r="L54" s="232">
        <f>J54+K54</f>
        <v>0</v>
      </c>
    </row>
    <row r="55" spans="1:12" ht="13.8">
      <c r="A55" s="125"/>
      <c r="B55" s="122"/>
      <c r="C55" s="122"/>
      <c r="D55" s="122"/>
      <c r="E55" s="122"/>
      <c r="F55" s="122"/>
      <c r="G55" s="32"/>
      <c r="H55" s="36"/>
      <c r="I55" s="33"/>
      <c r="J55" s="233"/>
      <c r="K55" s="37"/>
      <c r="L55" s="35"/>
    </row>
    <row r="56" spans="1:12" ht="14.4" thickBot="1">
      <c r="A56" s="121"/>
      <c r="B56" s="121"/>
      <c r="C56" s="121"/>
      <c r="D56" s="121"/>
      <c r="E56" s="121"/>
      <c r="F56" s="121"/>
      <c r="G56" s="121"/>
      <c r="H56" s="121"/>
      <c r="I56" s="121"/>
      <c r="J56" s="121"/>
      <c r="K56" s="121"/>
      <c r="L56" s="34"/>
    </row>
    <row r="57" spans="1:12" ht="14.4" thickBot="1">
      <c r="A57" s="171" t="s">
        <v>442</v>
      </c>
      <c r="B57" s="609" t="s">
        <v>443</v>
      </c>
      <c r="C57" s="610"/>
      <c r="D57" s="610"/>
      <c r="E57" s="610"/>
      <c r="F57" s="610"/>
      <c r="G57" s="610"/>
      <c r="H57" s="610"/>
      <c r="I57" s="610"/>
      <c r="J57" s="610"/>
      <c r="K57" s="121"/>
      <c r="L57" s="234">
        <f>L42+L45+L48+L51+L54</f>
        <v>0</v>
      </c>
    </row>
    <row r="58" spans="1:12" ht="13.8">
      <c r="A58" s="121"/>
      <c r="B58" s="121"/>
      <c r="C58" s="121"/>
      <c r="D58" s="121"/>
      <c r="E58" s="121"/>
      <c r="F58" s="121"/>
      <c r="G58" s="121"/>
      <c r="H58" s="121"/>
      <c r="I58" s="121"/>
      <c r="J58" s="121"/>
      <c r="K58" s="121"/>
      <c r="L58" s="121"/>
    </row>
    <row r="59" spans="1:12" ht="13.8">
      <c r="B59" s="121"/>
      <c r="C59" s="121"/>
      <c r="D59" s="121"/>
      <c r="E59" s="121"/>
      <c r="F59" s="121"/>
      <c r="G59" s="121"/>
      <c r="H59" s="121"/>
      <c r="I59" s="121"/>
      <c r="J59" s="121"/>
      <c r="K59" s="121"/>
      <c r="L59" s="121"/>
    </row>
    <row r="60" spans="1:12" ht="13.8">
      <c r="A60" s="379"/>
      <c r="C60" s="379"/>
      <c r="E60" s="379"/>
      <c r="F60" s="379"/>
      <c r="G60" s="379"/>
      <c r="H60" s="379"/>
      <c r="I60" s="379"/>
      <c r="J60" s="379"/>
      <c r="K60" s="379"/>
      <c r="L60" s="121"/>
    </row>
    <row r="61" spans="1:12" ht="27.6">
      <c r="A61" s="381">
        <f>A57+1</f>
        <v>13</v>
      </c>
      <c r="C61" s="406" t="s">
        <v>1392</v>
      </c>
      <c r="D61" s="417"/>
      <c r="E61" s="406" t="s">
        <v>1393</v>
      </c>
      <c r="F61" s="406" t="s">
        <v>1404</v>
      </c>
      <c r="G61" s="406" t="s">
        <v>1394</v>
      </c>
      <c r="H61" s="406" t="s">
        <v>1395</v>
      </c>
      <c r="I61" s="406" t="s">
        <v>1396</v>
      </c>
      <c r="J61" s="406" t="s">
        <v>1397</v>
      </c>
      <c r="K61" s="406" t="s">
        <v>1398</v>
      </c>
      <c r="L61" s="121"/>
    </row>
    <row r="62" spans="1:12" ht="13.8">
      <c r="A62" s="381"/>
      <c r="C62"/>
      <c r="E62"/>
      <c r="F62" s="381"/>
      <c r="G62" s="406"/>
      <c r="H62" s="406"/>
      <c r="I62" s="406"/>
      <c r="J62" s="406"/>
      <c r="K62" s="406"/>
      <c r="L62" s="121"/>
    </row>
    <row r="63" spans="1:12" ht="13.8">
      <c r="A63" s="407" t="s">
        <v>1399</v>
      </c>
      <c r="C63"/>
      <c r="E63"/>
      <c r="F63" s="381"/>
      <c r="G63" s="406"/>
      <c r="H63" s="406"/>
      <c r="I63" s="406"/>
      <c r="J63" s="406"/>
      <c r="K63" s="406"/>
      <c r="L63" s="121"/>
    </row>
    <row r="64" spans="1:12" ht="13.8">
      <c r="A64" s="381">
        <f>A61+1</f>
        <v>14</v>
      </c>
      <c r="C64" s="509"/>
      <c r="D64" s="509"/>
      <c r="E64" s="510"/>
      <c r="F64" s="472" t="s">
        <v>1400</v>
      </c>
      <c r="G64" s="475"/>
      <c r="H64" s="471">
        <f>J$17/4</f>
        <v>0</v>
      </c>
      <c r="I64" s="514"/>
      <c r="J64" s="468">
        <f t="shared" ref="J64:J75" si="0">(G64+H64)*I64/4</f>
        <v>0</v>
      </c>
      <c r="K64" s="469">
        <f t="shared" ref="K64:K75" si="1">G64+H64+J64</f>
        <v>0</v>
      </c>
      <c r="L64" s="121"/>
    </row>
    <row r="65" spans="1:12" ht="13.8">
      <c r="A65" s="381">
        <f t="shared" ref="A65:A83" si="2">A64+1</f>
        <v>15</v>
      </c>
      <c r="C65" s="509"/>
      <c r="D65" s="509"/>
      <c r="E65" s="510"/>
      <c r="F65" s="472" t="str">
        <f>F64</f>
        <v>Rate Year</v>
      </c>
      <c r="G65" s="513">
        <f t="shared" ref="G65:G75" si="3">K64</f>
        <v>0</v>
      </c>
      <c r="H65" s="471">
        <f>J$17/4</f>
        <v>0</v>
      </c>
      <c r="I65" s="514"/>
      <c r="J65" s="468">
        <f t="shared" si="0"/>
        <v>0</v>
      </c>
      <c r="K65" s="469">
        <f t="shared" si="1"/>
        <v>0</v>
      </c>
      <c r="L65" s="121"/>
    </row>
    <row r="66" spans="1:12" ht="13.8">
      <c r="A66" s="381">
        <f t="shared" si="2"/>
        <v>16</v>
      </c>
      <c r="C66" s="509"/>
      <c r="D66" s="509"/>
      <c r="E66" s="510"/>
      <c r="F66" s="472" t="str">
        <f>F65</f>
        <v>Rate Year</v>
      </c>
      <c r="G66" s="513">
        <f t="shared" si="3"/>
        <v>0</v>
      </c>
      <c r="H66" s="471">
        <f>J$17/4</f>
        <v>0</v>
      </c>
      <c r="I66" s="514"/>
      <c r="J66" s="468">
        <f t="shared" si="0"/>
        <v>0</v>
      </c>
      <c r="K66" s="469">
        <f t="shared" si="1"/>
        <v>0</v>
      </c>
      <c r="L66" s="121"/>
    </row>
    <row r="67" spans="1:12" ht="13.8">
      <c r="A67" s="381">
        <f t="shared" si="2"/>
        <v>17</v>
      </c>
      <c r="C67" s="509"/>
      <c r="D67" s="509"/>
      <c r="E67" s="510"/>
      <c r="F67" s="472" t="str">
        <f>F66</f>
        <v>Rate Year</v>
      </c>
      <c r="G67" s="513">
        <f t="shared" si="3"/>
        <v>0</v>
      </c>
      <c r="H67" s="471">
        <f>J$17/4</f>
        <v>0</v>
      </c>
      <c r="I67" s="514"/>
      <c r="J67" s="468">
        <f t="shared" si="0"/>
        <v>0</v>
      </c>
      <c r="K67" s="469">
        <f t="shared" si="1"/>
        <v>0</v>
      </c>
      <c r="L67" s="121"/>
    </row>
    <row r="68" spans="1:12" ht="13.8">
      <c r="A68" s="381">
        <f t="shared" si="2"/>
        <v>18</v>
      </c>
      <c r="C68" s="408"/>
      <c r="D68" s="408"/>
      <c r="E68" s="409"/>
      <c r="F68" s="476"/>
      <c r="G68" s="513">
        <f t="shared" si="3"/>
        <v>0</v>
      </c>
      <c r="H68" s="471"/>
      <c r="I68" s="415"/>
      <c r="J68" s="468">
        <f t="shared" si="0"/>
        <v>0</v>
      </c>
      <c r="K68" s="469">
        <f t="shared" si="1"/>
        <v>0</v>
      </c>
      <c r="L68" s="121"/>
    </row>
    <row r="69" spans="1:12" ht="13.8">
      <c r="A69" s="381">
        <f t="shared" si="2"/>
        <v>19</v>
      </c>
      <c r="C69" s="408"/>
      <c r="D69" s="408"/>
      <c r="E69" s="409"/>
      <c r="F69" s="476"/>
      <c r="G69" s="513">
        <f t="shared" si="3"/>
        <v>0</v>
      </c>
      <c r="H69" s="471"/>
      <c r="I69" s="415"/>
      <c r="J69" s="468">
        <f t="shared" si="0"/>
        <v>0</v>
      </c>
      <c r="K69" s="469">
        <f t="shared" si="1"/>
        <v>0</v>
      </c>
      <c r="L69" s="121"/>
    </row>
    <row r="70" spans="1:12" ht="13.8">
      <c r="A70" s="381">
        <f t="shared" si="2"/>
        <v>20</v>
      </c>
      <c r="C70" s="408"/>
      <c r="D70" s="408"/>
      <c r="E70" s="410"/>
      <c r="F70" s="476"/>
      <c r="G70" s="513">
        <f t="shared" si="3"/>
        <v>0</v>
      </c>
      <c r="H70" s="471"/>
      <c r="I70" s="415"/>
      <c r="J70" s="468">
        <f t="shared" si="0"/>
        <v>0</v>
      </c>
      <c r="K70" s="469">
        <f t="shared" si="1"/>
        <v>0</v>
      </c>
      <c r="L70" s="121"/>
    </row>
    <row r="71" spans="1:12" ht="13.8">
      <c r="A71" s="381">
        <f t="shared" si="2"/>
        <v>21</v>
      </c>
      <c r="C71" s="408"/>
      <c r="D71" s="408"/>
      <c r="E71" s="410"/>
      <c r="F71" s="476"/>
      <c r="G71" s="513">
        <f t="shared" si="3"/>
        <v>0</v>
      </c>
      <c r="H71" s="471"/>
      <c r="I71" s="415"/>
      <c r="J71" s="468">
        <f t="shared" si="0"/>
        <v>0</v>
      </c>
      <c r="K71" s="470">
        <f t="shared" si="1"/>
        <v>0</v>
      </c>
      <c r="L71" s="121"/>
    </row>
    <row r="72" spans="1:12" ht="13.8">
      <c r="A72" s="381">
        <f t="shared" si="2"/>
        <v>22</v>
      </c>
      <c r="C72" s="511"/>
      <c r="D72" s="511"/>
      <c r="E72" s="512"/>
      <c r="F72" s="477" t="s">
        <v>1401</v>
      </c>
      <c r="G72" s="513">
        <f t="shared" si="3"/>
        <v>0</v>
      </c>
      <c r="H72" s="471">
        <f>PMT(I72/4,4,K71,,1)</f>
        <v>0</v>
      </c>
      <c r="I72" s="514"/>
      <c r="J72" s="468">
        <f t="shared" si="0"/>
        <v>0</v>
      </c>
      <c r="K72" s="469">
        <f t="shared" si="1"/>
        <v>0</v>
      </c>
      <c r="L72" s="121"/>
    </row>
    <row r="73" spans="1:12" ht="13.8">
      <c r="A73" s="381">
        <f t="shared" si="2"/>
        <v>23</v>
      </c>
      <c r="C73" s="511"/>
      <c r="D73" s="511"/>
      <c r="E73" s="512"/>
      <c r="F73" s="477" t="str">
        <f>F72</f>
        <v>True-Up Year</v>
      </c>
      <c r="G73" s="513">
        <f t="shared" si="3"/>
        <v>0</v>
      </c>
      <c r="H73" s="471">
        <f>H72</f>
        <v>0</v>
      </c>
      <c r="I73" s="514"/>
      <c r="J73" s="468">
        <f t="shared" si="0"/>
        <v>0</v>
      </c>
      <c r="K73" s="469">
        <f t="shared" si="1"/>
        <v>0</v>
      </c>
      <c r="L73" s="121"/>
    </row>
    <row r="74" spans="1:12" ht="13.8">
      <c r="A74" s="381">
        <f t="shared" si="2"/>
        <v>24</v>
      </c>
      <c r="C74" s="511"/>
      <c r="D74" s="511"/>
      <c r="E74" s="512"/>
      <c r="F74" s="477" t="str">
        <f>F73</f>
        <v>True-Up Year</v>
      </c>
      <c r="G74" s="513">
        <f t="shared" si="3"/>
        <v>0</v>
      </c>
      <c r="H74" s="471">
        <f>H73</f>
        <v>0</v>
      </c>
      <c r="I74" s="514"/>
      <c r="J74" s="468">
        <f t="shared" si="0"/>
        <v>0</v>
      </c>
      <c r="K74" s="469">
        <f t="shared" si="1"/>
        <v>0</v>
      </c>
      <c r="L74" s="121"/>
    </row>
    <row r="75" spans="1:12" ht="13.8">
      <c r="A75" s="381">
        <f t="shared" si="2"/>
        <v>25</v>
      </c>
      <c r="C75" s="511"/>
      <c r="D75" s="511"/>
      <c r="E75" s="512"/>
      <c r="F75" s="477" t="str">
        <f>F74</f>
        <v>True-Up Year</v>
      </c>
      <c r="G75" s="513">
        <f t="shared" si="3"/>
        <v>0</v>
      </c>
      <c r="H75" s="471">
        <f>H74</f>
        <v>0</v>
      </c>
      <c r="I75" s="514"/>
      <c r="J75" s="468">
        <f t="shared" si="0"/>
        <v>0</v>
      </c>
      <c r="K75" s="469">
        <f t="shared" si="1"/>
        <v>0</v>
      </c>
      <c r="L75" s="121"/>
    </row>
    <row r="76" spans="1:12" ht="13.8">
      <c r="A76" s="381">
        <f t="shared" si="2"/>
        <v>26</v>
      </c>
      <c r="C76" s="472" t="s">
        <v>54</v>
      </c>
      <c r="D76" s="472"/>
      <c r="E76" s="472"/>
      <c r="F76" s="473"/>
      <c r="G76" s="469"/>
      <c r="H76" s="471"/>
      <c r="I76" s="474"/>
      <c r="J76" s="468">
        <f>SUM(J64:J75)</f>
        <v>0</v>
      </c>
      <c r="K76" s="469"/>
      <c r="L76" s="121"/>
    </row>
    <row r="77" spans="1:12" ht="13.8">
      <c r="A77" s="381">
        <f t="shared" si="2"/>
        <v>27</v>
      </c>
      <c r="B77" s="411"/>
      <c r="C77" s="411"/>
      <c r="D77" s="411"/>
      <c r="E77" s="411"/>
      <c r="F77" s="411"/>
      <c r="G77" s="411"/>
      <c r="H77" s="411"/>
      <c r="I77" s="411"/>
      <c r="J77" s="121"/>
      <c r="K77" s="121"/>
      <c r="L77" s="121"/>
    </row>
    <row r="78" spans="1:12" ht="13.8">
      <c r="A78" s="381">
        <f t="shared" si="2"/>
        <v>28</v>
      </c>
      <c r="B78" s="407" t="s">
        <v>1402</v>
      </c>
      <c r="C78" s="411"/>
      <c r="D78" s="411"/>
      <c r="E78" s="411"/>
      <c r="F78" s="411"/>
      <c r="G78" s="411"/>
      <c r="H78" s="411"/>
      <c r="I78" s="411"/>
      <c r="J78" s="121"/>
      <c r="K78" s="121"/>
      <c r="L78" s="121"/>
    </row>
    <row r="79" spans="1:12" ht="13.8">
      <c r="A79" s="381">
        <f t="shared" si="2"/>
        <v>29</v>
      </c>
      <c r="B79" s="412" t="s">
        <v>1403</v>
      </c>
      <c r="C79" s="411"/>
      <c r="D79" s="411"/>
      <c r="E79" s="411"/>
      <c r="F79" s="411"/>
      <c r="G79" s="411"/>
      <c r="H79" s="411"/>
      <c r="I79" s="411"/>
      <c r="J79" s="121"/>
      <c r="K79" s="121"/>
      <c r="L79" s="121"/>
    </row>
    <row r="80" spans="1:12" ht="13.8">
      <c r="A80" s="381">
        <f t="shared" si="2"/>
        <v>30</v>
      </c>
      <c r="B80" s="121" t="s">
        <v>444</v>
      </c>
      <c r="C80" s="121"/>
      <c r="D80" s="121"/>
      <c r="E80" s="121"/>
      <c r="F80" s="121"/>
      <c r="G80" s="121"/>
      <c r="H80" s="121"/>
      <c r="I80" s="121"/>
      <c r="J80" s="121"/>
      <c r="K80" s="121"/>
      <c r="L80" s="121"/>
    </row>
    <row r="81" spans="1:12" ht="13.8">
      <c r="A81" s="381">
        <f t="shared" si="2"/>
        <v>31</v>
      </c>
      <c r="B81" s="121" t="s">
        <v>1498</v>
      </c>
      <c r="C81" s="121"/>
      <c r="D81" s="121"/>
      <c r="E81" s="121"/>
      <c r="F81" s="121"/>
      <c r="G81" s="121"/>
      <c r="H81" s="121"/>
      <c r="I81" s="121"/>
      <c r="J81" s="121"/>
      <c r="K81" s="121"/>
      <c r="L81" s="121"/>
    </row>
    <row r="82" spans="1:12" ht="13.8">
      <c r="A82" s="381">
        <f t="shared" si="2"/>
        <v>32</v>
      </c>
      <c r="B82" s="121" t="s">
        <v>1499</v>
      </c>
      <c r="C82" s="121"/>
      <c r="D82" s="121"/>
      <c r="E82" s="121"/>
      <c r="F82" s="121"/>
      <c r="G82" s="121"/>
      <c r="H82" s="121"/>
      <c r="I82" s="121"/>
      <c r="J82" s="121"/>
      <c r="K82" s="121"/>
      <c r="L82" s="121"/>
    </row>
    <row r="83" spans="1:12" ht="13.8">
      <c r="A83" s="381">
        <f t="shared" si="2"/>
        <v>33</v>
      </c>
      <c r="B83" s="121" t="s">
        <v>1500</v>
      </c>
      <c r="C83" s="121"/>
      <c r="D83" s="121"/>
      <c r="E83" s="121"/>
      <c r="F83" s="121"/>
      <c r="G83" s="121"/>
      <c r="H83" s="121"/>
      <c r="I83" s="121"/>
      <c r="J83" s="121"/>
      <c r="K83" s="121"/>
      <c r="L83" s="121"/>
    </row>
    <row r="84" spans="1:12" ht="13.8">
      <c r="B84" s="416"/>
    </row>
  </sheetData>
  <mergeCells count="62">
    <mergeCell ref="I12:I13"/>
    <mergeCell ref="J12:J13"/>
    <mergeCell ref="K12:K13"/>
    <mergeCell ref="L12:L13"/>
    <mergeCell ref="A16:A17"/>
    <mergeCell ref="B16:D17"/>
    <mergeCell ref="E16:E17"/>
    <mergeCell ref="F16:F17"/>
    <mergeCell ref="A12:A13"/>
    <mergeCell ref="B12:D13"/>
    <mergeCell ref="E12:E13"/>
    <mergeCell ref="F12:F13"/>
    <mergeCell ref="G12:G13"/>
    <mergeCell ref="H12:H13"/>
    <mergeCell ref="A19:A20"/>
    <mergeCell ref="B19:D20"/>
    <mergeCell ref="E19:E20"/>
    <mergeCell ref="F19:F20"/>
    <mergeCell ref="A22:A23"/>
    <mergeCell ref="B22:D23"/>
    <mergeCell ref="E22:E23"/>
    <mergeCell ref="F22:F23"/>
    <mergeCell ref="A25:A26"/>
    <mergeCell ref="B25:D26"/>
    <mergeCell ref="E25:E26"/>
    <mergeCell ref="F25:F26"/>
    <mergeCell ref="A28:A29"/>
    <mergeCell ref="B28:D29"/>
    <mergeCell ref="E28:E29"/>
    <mergeCell ref="F28:F29"/>
    <mergeCell ref="B32:J32"/>
    <mergeCell ref="A37:A38"/>
    <mergeCell ref="B37:D38"/>
    <mergeCell ref="E37:E38"/>
    <mergeCell ref="F37:F38"/>
    <mergeCell ref="G37:G38"/>
    <mergeCell ref="H37:H38"/>
    <mergeCell ref="I37:I38"/>
    <mergeCell ref="J37:J38"/>
    <mergeCell ref="K37:K38"/>
    <mergeCell ref="L37:L38"/>
    <mergeCell ref="A41:A42"/>
    <mergeCell ref="B41:D42"/>
    <mergeCell ref="E41:E42"/>
    <mergeCell ref="F41:F42"/>
    <mergeCell ref="A44:A45"/>
    <mergeCell ref="B44:D45"/>
    <mergeCell ref="E44:E45"/>
    <mergeCell ref="F44:F45"/>
    <mergeCell ref="A47:A48"/>
    <mergeCell ref="B47:D48"/>
    <mergeCell ref="E47:E48"/>
    <mergeCell ref="F47:F48"/>
    <mergeCell ref="B57:J57"/>
    <mergeCell ref="A50:A51"/>
    <mergeCell ref="B50:D51"/>
    <mergeCell ref="E50:E51"/>
    <mergeCell ref="F50:F51"/>
    <mergeCell ref="A53:A54"/>
    <mergeCell ref="B53:D54"/>
    <mergeCell ref="E53:E54"/>
    <mergeCell ref="F53:F54"/>
  </mergeCells>
  <printOptions horizontalCentered="1"/>
  <pageMargins left="0.7" right="0.7" top="0.75" bottom="0.75" header="0.3" footer="0.3"/>
  <pageSetup scale="70" fitToHeight="0" orientation="landscape" horizontalDpi="1200" verticalDpi="1200" r:id="rId1"/>
  <headerFooter>
    <oddHeader>&amp;RPage  &amp;P
Worksheet I</oddHeader>
  </headerFooter>
  <rowBreaks count="2" manualBreakCount="2">
    <brk id="33" max="12" man="1"/>
    <brk id="58"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L137"/>
  <sheetViews>
    <sheetView topLeftCell="A118" zoomScaleNormal="100" workbookViewId="0">
      <selection activeCell="A7" sqref="A7"/>
    </sheetView>
  </sheetViews>
  <sheetFormatPr defaultColWidth="8.69921875" defaultRowHeight="13.8"/>
  <cols>
    <col min="1" max="2" width="8.69921875" style="2"/>
    <col min="3" max="3" width="21.69921875" style="2" bestFit="1" customWidth="1"/>
    <col min="4" max="4" width="35" style="2" bestFit="1" customWidth="1"/>
    <col min="5" max="5" width="35" style="2" customWidth="1"/>
    <col min="6" max="6" width="8.69921875" style="2"/>
    <col min="7" max="7" width="3.09765625" style="2" customWidth="1"/>
    <col min="8" max="8" width="13.09765625" style="2" customWidth="1"/>
    <col min="9" max="9" width="3.3984375" style="2" customWidth="1"/>
    <col min="10" max="10" width="10.3984375" style="2" bestFit="1" customWidth="1"/>
    <col min="11" max="16384" width="8.69921875" style="2"/>
  </cols>
  <sheetData>
    <row r="2" spans="1:12">
      <c r="L2" s="177" t="s">
        <v>1320</v>
      </c>
    </row>
    <row r="4" spans="1:12">
      <c r="A4" s="224" t="str">
        <f>Index!B4</f>
        <v>Western Farmers Electric Cooperative, Inc.</v>
      </c>
      <c r="B4" s="224"/>
      <c r="D4" s="224"/>
      <c r="E4" s="224"/>
      <c r="F4" s="224"/>
      <c r="G4" s="23"/>
      <c r="H4" s="23"/>
      <c r="I4" s="23"/>
      <c r="J4" s="23"/>
      <c r="K4" s="23"/>
    </row>
    <row r="5" spans="1:12">
      <c r="A5" s="224"/>
      <c r="B5" s="224"/>
      <c r="D5" s="224"/>
      <c r="E5" s="224"/>
      <c r="F5" s="219"/>
      <c r="G5" s="219"/>
      <c r="H5" s="219"/>
      <c r="I5" s="38"/>
      <c r="J5" s="38"/>
      <c r="K5" s="23"/>
    </row>
    <row r="6" spans="1:12">
      <c r="A6" s="1" t="s">
        <v>445</v>
      </c>
      <c r="B6" s="1"/>
      <c r="D6" s="1"/>
      <c r="E6" s="1"/>
      <c r="F6" s="225"/>
      <c r="G6" s="39"/>
      <c r="H6" s="39"/>
      <c r="I6" s="40"/>
      <c r="J6" s="40"/>
      <c r="K6" s="23"/>
    </row>
    <row r="7" spans="1:12">
      <c r="A7" s="224" t="str">
        <f>Index!B6</f>
        <v>Year Ending December 31, 2016</v>
      </c>
      <c r="B7" s="224"/>
      <c r="D7" s="224"/>
      <c r="E7" s="224"/>
      <c r="F7" s="225"/>
      <c r="G7" s="219"/>
      <c r="I7" s="40"/>
    </row>
    <row r="8" spans="1:12">
      <c r="A8" s="23"/>
      <c r="B8" s="23"/>
      <c r="C8" s="23"/>
      <c r="D8" s="23"/>
      <c r="E8" s="23"/>
      <c r="F8" s="23"/>
      <c r="G8" s="23"/>
      <c r="H8" s="23"/>
      <c r="I8" s="23"/>
      <c r="J8" s="23"/>
      <c r="K8" s="23"/>
    </row>
    <row r="9" spans="1:12">
      <c r="A9" s="84" t="s">
        <v>3</v>
      </c>
      <c r="B9" s="84" t="s">
        <v>4</v>
      </c>
      <c r="C9" s="84" t="s">
        <v>5</v>
      </c>
      <c r="D9" s="84" t="s">
        <v>9</v>
      </c>
      <c r="E9" s="84" t="s">
        <v>10</v>
      </c>
      <c r="F9" s="84" t="s">
        <v>11</v>
      </c>
      <c r="H9" s="84" t="s">
        <v>12</v>
      </c>
      <c r="J9" s="84" t="s">
        <v>13</v>
      </c>
      <c r="K9" s="84"/>
    </row>
    <row r="10" spans="1:12">
      <c r="A10" s="226" t="s">
        <v>16</v>
      </c>
      <c r="B10" s="226" t="s">
        <v>446</v>
      </c>
      <c r="C10" s="226" t="s">
        <v>447</v>
      </c>
      <c r="D10" s="226" t="s">
        <v>7</v>
      </c>
      <c r="E10" s="226" t="s">
        <v>448</v>
      </c>
      <c r="F10" s="226" t="s">
        <v>449</v>
      </c>
      <c r="G10" s="227"/>
      <c r="H10" s="226" t="s">
        <v>450</v>
      </c>
      <c r="I10" s="227"/>
      <c r="J10" s="102" t="s">
        <v>451</v>
      </c>
    </row>
    <row r="11" spans="1:12">
      <c r="A11" s="2">
        <v>1</v>
      </c>
      <c r="B11" s="228">
        <v>105.1</v>
      </c>
      <c r="C11" s="228" t="s">
        <v>1410</v>
      </c>
      <c r="D11" s="228" t="s">
        <v>1411</v>
      </c>
      <c r="E11" s="228"/>
      <c r="F11" s="95" t="s">
        <v>453</v>
      </c>
      <c r="G11" s="229"/>
      <c r="H11" s="95" t="s">
        <v>1412</v>
      </c>
      <c r="I11" s="229"/>
      <c r="J11" s="421">
        <v>0</v>
      </c>
    </row>
    <row r="12" spans="1:12">
      <c r="A12" s="2">
        <v>2</v>
      </c>
      <c r="B12" s="230">
        <v>114</v>
      </c>
      <c r="C12" s="230" t="s">
        <v>93</v>
      </c>
      <c r="D12" s="230" t="s">
        <v>452</v>
      </c>
      <c r="E12" s="230"/>
      <c r="F12" s="50" t="s">
        <v>453</v>
      </c>
      <c r="G12" s="229"/>
      <c r="H12" s="50" t="s">
        <v>454</v>
      </c>
      <c r="I12" s="229"/>
      <c r="J12" s="421">
        <v>0.05</v>
      </c>
    </row>
    <row r="13" spans="1:12">
      <c r="A13" s="2">
        <v>3</v>
      </c>
      <c r="B13" s="230">
        <v>114.01</v>
      </c>
      <c r="C13" s="230" t="s">
        <v>93</v>
      </c>
      <c r="D13" s="230" t="s">
        <v>452</v>
      </c>
      <c r="E13" s="230"/>
      <c r="F13" s="50" t="s">
        <v>453</v>
      </c>
      <c r="G13" s="229"/>
      <c r="H13" s="50" t="s">
        <v>455</v>
      </c>
      <c r="I13" s="229"/>
      <c r="J13" s="421">
        <v>0.05</v>
      </c>
    </row>
    <row r="14" spans="1:12">
      <c r="A14" s="2">
        <v>4</v>
      </c>
      <c r="B14" s="230">
        <v>114.02</v>
      </c>
      <c r="C14" s="230" t="s">
        <v>93</v>
      </c>
      <c r="D14" s="230" t="s">
        <v>452</v>
      </c>
      <c r="E14" s="230"/>
      <c r="F14" s="50" t="s">
        <v>453</v>
      </c>
      <c r="G14" s="229"/>
      <c r="H14" s="50" t="s">
        <v>456</v>
      </c>
      <c r="I14" s="229"/>
      <c r="J14" s="421">
        <v>3.8460000000000001E-2</v>
      </c>
    </row>
    <row r="15" spans="1:12">
      <c r="A15" s="2">
        <v>5</v>
      </c>
      <c r="B15" s="230">
        <v>114.03</v>
      </c>
      <c r="C15" s="230" t="s">
        <v>93</v>
      </c>
      <c r="D15" s="230" t="s">
        <v>452</v>
      </c>
      <c r="E15" s="230"/>
      <c r="F15" s="50" t="s">
        <v>453</v>
      </c>
      <c r="G15" s="229"/>
      <c r="H15" s="50" t="s">
        <v>457</v>
      </c>
      <c r="I15" s="229"/>
      <c r="J15" s="421">
        <v>5.5813000000000001E-2</v>
      </c>
    </row>
    <row r="16" spans="1:12">
      <c r="A16" s="2">
        <v>6</v>
      </c>
      <c r="B16" s="230">
        <v>114.04</v>
      </c>
      <c r="C16" s="230" t="s">
        <v>93</v>
      </c>
      <c r="D16" s="230" t="s">
        <v>452</v>
      </c>
      <c r="E16" s="230"/>
      <c r="F16" s="50" t="s">
        <v>453</v>
      </c>
      <c r="G16" s="229"/>
      <c r="H16" s="50" t="s">
        <v>458</v>
      </c>
      <c r="I16" s="229"/>
      <c r="J16" s="421">
        <v>4.1819000000000002E-2</v>
      </c>
    </row>
    <row r="17" spans="1:10">
      <c r="A17" s="2">
        <v>7</v>
      </c>
      <c r="B17" s="230">
        <v>114.05</v>
      </c>
      <c r="C17" s="230" t="s">
        <v>93</v>
      </c>
      <c r="D17" s="230" t="s">
        <v>452</v>
      </c>
      <c r="E17" s="230"/>
      <c r="F17" s="50" t="s">
        <v>453</v>
      </c>
      <c r="G17" s="229"/>
      <c r="H17" s="50" t="s">
        <v>459</v>
      </c>
      <c r="I17" s="229"/>
      <c r="J17" s="421">
        <v>5.0208999999999997E-2</v>
      </c>
    </row>
    <row r="18" spans="1:10">
      <c r="A18" s="2">
        <v>8</v>
      </c>
      <c r="B18" s="230">
        <v>114.06</v>
      </c>
      <c r="C18" s="230" t="s">
        <v>93</v>
      </c>
      <c r="D18" s="230" t="s">
        <v>452</v>
      </c>
      <c r="E18" s="230"/>
      <c r="F18" s="50" t="s">
        <v>453</v>
      </c>
      <c r="G18" s="229"/>
      <c r="H18" s="50" t="s">
        <v>460</v>
      </c>
      <c r="I18" s="229"/>
      <c r="J18" s="421">
        <v>0.05</v>
      </c>
    </row>
    <row r="19" spans="1:10">
      <c r="A19" s="2">
        <v>9</v>
      </c>
      <c r="B19" s="230">
        <v>114.07</v>
      </c>
      <c r="C19" s="230" t="s">
        <v>93</v>
      </c>
      <c r="D19" s="230" t="s">
        <v>452</v>
      </c>
      <c r="E19" s="230"/>
      <c r="F19" s="50" t="s">
        <v>453</v>
      </c>
      <c r="G19" s="229"/>
      <c r="H19" s="50" t="s">
        <v>461</v>
      </c>
      <c r="I19" s="229"/>
      <c r="J19" s="421">
        <v>6.6671999999999995E-2</v>
      </c>
    </row>
    <row r="20" spans="1:10">
      <c r="A20" s="2">
        <v>10</v>
      </c>
      <c r="B20" s="230">
        <v>301</v>
      </c>
      <c r="C20" s="230" t="s">
        <v>1410</v>
      </c>
      <c r="D20" s="230" t="s">
        <v>1413</v>
      </c>
      <c r="E20" s="230"/>
      <c r="F20" s="50" t="s">
        <v>453</v>
      </c>
      <c r="G20" s="229"/>
      <c r="H20" s="50" t="s">
        <v>1414</v>
      </c>
      <c r="I20" s="229"/>
      <c r="J20" s="421">
        <v>0</v>
      </c>
    </row>
    <row r="21" spans="1:10">
      <c r="A21" s="2">
        <v>11</v>
      </c>
      <c r="B21" s="230">
        <v>303</v>
      </c>
      <c r="C21" s="230" t="s">
        <v>66</v>
      </c>
      <c r="D21" s="230" t="s">
        <v>462</v>
      </c>
      <c r="E21" s="230"/>
      <c r="F21" s="50" t="s">
        <v>453</v>
      </c>
      <c r="G21" s="229"/>
      <c r="H21" s="50" t="s">
        <v>463</v>
      </c>
      <c r="I21" s="229"/>
      <c r="J21" s="421">
        <v>0.05</v>
      </c>
    </row>
    <row r="22" spans="1:10">
      <c r="A22" s="2">
        <v>12</v>
      </c>
      <c r="B22" s="230">
        <v>303.01</v>
      </c>
      <c r="C22" s="230" t="s">
        <v>66</v>
      </c>
      <c r="D22" s="230" t="s">
        <v>462</v>
      </c>
      <c r="E22" s="230"/>
      <c r="F22" s="50" t="s">
        <v>453</v>
      </c>
      <c r="G22" s="229"/>
      <c r="H22" s="50" t="s">
        <v>464</v>
      </c>
      <c r="I22" s="229"/>
      <c r="J22" s="421">
        <v>2.7480000000000001E-2</v>
      </c>
    </row>
    <row r="23" spans="1:10">
      <c r="A23" s="2">
        <v>13</v>
      </c>
      <c r="B23" s="230">
        <v>303.02</v>
      </c>
      <c r="C23" s="230" t="s">
        <v>66</v>
      </c>
      <c r="D23" s="230" t="s">
        <v>462</v>
      </c>
      <c r="E23" s="230"/>
      <c r="F23" s="50" t="s">
        <v>453</v>
      </c>
      <c r="G23" s="229"/>
      <c r="H23" s="50" t="s">
        <v>465</v>
      </c>
      <c r="I23" s="229"/>
      <c r="J23" s="421">
        <v>2.7480000000000001E-2</v>
      </c>
    </row>
    <row r="24" spans="1:10">
      <c r="A24" s="2">
        <v>14</v>
      </c>
      <c r="B24" s="230">
        <v>352.04</v>
      </c>
      <c r="C24" s="230" t="s">
        <v>79</v>
      </c>
      <c r="D24" s="230" t="s">
        <v>74</v>
      </c>
      <c r="E24" s="230" t="s">
        <v>466</v>
      </c>
      <c r="F24" s="50" t="s">
        <v>453</v>
      </c>
      <c r="G24" s="229"/>
      <c r="H24" s="50" t="s">
        <v>467</v>
      </c>
      <c r="I24" s="229"/>
      <c r="J24" s="421">
        <v>2.7480000000000001E-2</v>
      </c>
    </row>
    <row r="25" spans="1:10">
      <c r="A25" s="2">
        <v>15</v>
      </c>
      <c r="B25" s="230">
        <v>353</v>
      </c>
      <c r="C25" s="230" t="s">
        <v>79</v>
      </c>
      <c r="D25" s="230" t="s">
        <v>75</v>
      </c>
      <c r="E25" s="230"/>
      <c r="F25" s="50" t="s">
        <v>453</v>
      </c>
      <c r="G25" s="229"/>
      <c r="H25" s="50" t="s">
        <v>468</v>
      </c>
      <c r="I25" s="229"/>
      <c r="J25" s="421">
        <v>2.7480000000000001E-2</v>
      </c>
    </row>
    <row r="26" spans="1:10">
      <c r="A26" s="2">
        <v>16</v>
      </c>
      <c r="B26" s="230">
        <v>353.02</v>
      </c>
      <c r="C26" s="230" t="s">
        <v>79</v>
      </c>
      <c r="D26" s="230" t="s">
        <v>75</v>
      </c>
      <c r="E26" s="230" t="s">
        <v>469</v>
      </c>
      <c r="F26" s="50" t="s">
        <v>453</v>
      </c>
      <c r="G26" s="229"/>
      <c r="H26" s="50" t="s">
        <v>470</v>
      </c>
      <c r="I26" s="229"/>
      <c r="J26" s="421">
        <v>9.9959999999999993E-2</v>
      </c>
    </row>
    <row r="27" spans="1:10">
      <c r="A27" s="2">
        <v>17</v>
      </c>
      <c r="B27" s="230">
        <v>350.01</v>
      </c>
      <c r="C27" s="230" t="s">
        <v>66</v>
      </c>
      <c r="D27" s="230" t="s">
        <v>1415</v>
      </c>
      <c r="E27" s="230"/>
      <c r="F27" s="50" t="s">
        <v>453</v>
      </c>
      <c r="G27" s="229"/>
      <c r="H27" s="50" t="s">
        <v>1416</v>
      </c>
      <c r="I27" s="229"/>
      <c r="J27" s="421">
        <v>0.05</v>
      </c>
    </row>
    <row r="28" spans="1:10">
      <c r="A28" s="2">
        <v>18</v>
      </c>
      <c r="B28" s="230">
        <v>350.02</v>
      </c>
      <c r="C28" s="230" t="s">
        <v>66</v>
      </c>
      <c r="D28" s="230" t="s">
        <v>1415</v>
      </c>
      <c r="E28" s="230"/>
      <c r="F28" s="50" t="s">
        <v>453</v>
      </c>
      <c r="G28" s="229"/>
      <c r="H28" s="50" t="s">
        <v>1417</v>
      </c>
      <c r="I28" s="229"/>
      <c r="J28" s="421">
        <v>0.08</v>
      </c>
    </row>
    <row r="29" spans="1:10">
      <c r="A29" s="2">
        <v>19</v>
      </c>
      <c r="B29" s="230">
        <v>389.21</v>
      </c>
      <c r="C29" s="230" t="s">
        <v>66</v>
      </c>
      <c r="D29" s="230" t="s">
        <v>1415</v>
      </c>
      <c r="E29" s="230"/>
      <c r="F29" s="50" t="s">
        <v>453</v>
      </c>
      <c r="G29" s="229"/>
      <c r="H29" s="50" t="s">
        <v>1418</v>
      </c>
      <c r="I29" s="229"/>
      <c r="J29" s="421">
        <v>0.15</v>
      </c>
    </row>
    <row r="30" spans="1:10">
      <c r="A30" s="2">
        <v>20</v>
      </c>
      <c r="B30" s="230">
        <v>350.04</v>
      </c>
      <c r="C30" s="230" t="s">
        <v>1410</v>
      </c>
      <c r="D30" s="230" t="s">
        <v>1419</v>
      </c>
      <c r="E30" s="230"/>
      <c r="F30" s="50" t="s">
        <v>453</v>
      </c>
      <c r="G30" s="229"/>
      <c r="H30" s="50" t="s">
        <v>1420</v>
      </c>
      <c r="I30" s="229"/>
      <c r="J30" s="421">
        <v>0</v>
      </c>
    </row>
    <row r="31" spans="1:10">
      <c r="A31" s="2">
        <v>21</v>
      </c>
      <c r="B31" s="230">
        <v>350.05</v>
      </c>
      <c r="C31" s="230" t="s">
        <v>1410</v>
      </c>
      <c r="D31" s="230" t="s">
        <v>1419</v>
      </c>
      <c r="E31" s="230"/>
      <c r="F31" s="50" t="s">
        <v>453</v>
      </c>
      <c r="G31" s="229"/>
      <c r="H31" s="50" t="s">
        <v>1421</v>
      </c>
      <c r="I31" s="229"/>
      <c r="J31" s="421">
        <v>0</v>
      </c>
    </row>
    <row r="32" spans="1:10">
      <c r="A32" s="2">
        <v>22</v>
      </c>
      <c r="B32" s="230">
        <v>350.2</v>
      </c>
      <c r="C32" s="230" t="s">
        <v>1410</v>
      </c>
      <c r="D32" s="230" t="s">
        <v>1419</v>
      </c>
      <c r="E32" s="230"/>
      <c r="F32" s="50" t="s">
        <v>453</v>
      </c>
      <c r="G32" s="229"/>
      <c r="H32" s="50" t="s">
        <v>1422</v>
      </c>
      <c r="I32" s="229"/>
      <c r="J32" s="421">
        <v>0</v>
      </c>
    </row>
    <row r="33" spans="1:10">
      <c r="A33" s="2">
        <v>23</v>
      </c>
      <c r="B33" s="230">
        <v>350.3</v>
      </c>
      <c r="C33" s="230" t="s">
        <v>1410</v>
      </c>
      <c r="D33" s="230" t="s">
        <v>1419</v>
      </c>
      <c r="E33" s="230"/>
      <c r="F33" s="50" t="s">
        <v>453</v>
      </c>
      <c r="G33" s="229"/>
      <c r="H33" s="50" t="s">
        <v>1423</v>
      </c>
      <c r="I33" s="229"/>
      <c r="J33" s="421">
        <v>0</v>
      </c>
    </row>
    <row r="34" spans="1:10">
      <c r="A34" s="2">
        <v>24</v>
      </c>
      <c r="B34" s="230">
        <v>350.45</v>
      </c>
      <c r="C34" s="230" t="s">
        <v>1410</v>
      </c>
      <c r="D34" s="230" t="s">
        <v>1419</v>
      </c>
      <c r="E34" s="230"/>
      <c r="F34" s="50" t="s">
        <v>453</v>
      </c>
      <c r="G34" s="229"/>
      <c r="H34" s="50" t="s">
        <v>1424</v>
      </c>
      <c r="I34" s="229"/>
      <c r="J34" s="421">
        <v>0</v>
      </c>
    </row>
    <row r="35" spans="1:10">
      <c r="A35" s="2">
        <v>25</v>
      </c>
      <c r="B35" s="230">
        <v>350</v>
      </c>
      <c r="C35" s="230" t="s">
        <v>1410</v>
      </c>
      <c r="D35" s="230" t="s">
        <v>1419</v>
      </c>
      <c r="E35" s="230"/>
      <c r="F35" s="50" t="s">
        <v>453</v>
      </c>
      <c r="G35" s="229"/>
      <c r="H35" s="50" t="s">
        <v>1425</v>
      </c>
      <c r="I35" s="229"/>
      <c r="J35" s="421">
        <v>0</v>
      </c>
    </row>
    <row r="36" spans="1:10">
      <c r="A36" s="2">
        <v>26</v>
      </c>
      <c r="B36" s="230">
        <v>353.1</v>
      </c>
      <c r="C36" s="230" t="s">
        <v>79</v>
      </c>
      <c r="D36" s="230" t="s">
        <v>75</v>
      </c>
      <c r="E36" s="230" t="s">
        <v>471</v>
      </c>
      <c r="F36" s="50" t="s">
        <v>453</v>
      </c>
      <c r="G36" s="229"/>
      <c r="H36" s="50" t="s">
        <v>472</v>
      </c>
      <c r="I36" s="229"/>
      <c r="J36" s="421">
        <v>2.7480000000000001E-2</v>
      </c>
    </row>
    <row r="37" spans="1:10">
      <c r="A37" s="2">
        <v>27</v>
      </c>
      <c r="B37" s="230">
        <v>353.12</v>
      </c>
      <c r="C37" s="230" t="s">
        <v>79</v>
      </c>
      <c r="D37" s="230" t="s">
        <v>75</v>
      </c>
      <c r="E37" s="230" t="s">
        <v>473</v>
      </c>
      <c r="F37" s="50" t="s">
        <v>453</v>
      </c>
      <c r="G37" s="229"/>
      <c r="H37" s="50" t="s">
        <v>474</v>
      </c>
      <c r="I37" s="229"/>
      <c r="J37" s="421">
        <v>2.7480000000000001E-2</v>
      </c>
    </row>
    <row r="38" spans="1:10">
      <c r="A38" s="2">
        <v>28</v>
      </c>
      <c r="B38" s="230">
        <v>353.3</v>
      </c>
      <c r="C38" s="230" t="s">
        <v>79</v>
      </c>
      <c r="D38" s="230" t="s">
        <v>75</v>
      </c>
      <c r="E38" s="230" t="s">
        <v>475</v>
      </c>
      <c r="F38" s="50" t="s">
        <v>453</v>
      </c>
      <c r="G38" s="229"/>
      <c r="H38" s="50" t="s">
        <v>476</v>
      </c>
      <c r="I38" s="229"/>
      <c r="J38" s="421">
        <v>2.7480000000000001E-2</v>
      </c>
    </row>
    <row r="39" spans="1:10">
      <c r="A39" s="2">
        <v>29</v>
      </c>
      <c r="B39" s="230">
        <v>353.32</v>
      </c>
      <c r="C39" s="230" t="s">
        <v>79</v>
      </c>
      <c r="D39" s="230" t="s">
        <v>75</v>
      </c>
      <c r="E39" s="230" t="s">
        <v>477</v>
      </c>
      <c r="F39" s="50" t="s">
        <v>453</v>
      </c>
      <c r="G39" s="229"/>
      <c r="H39" s="50" t="s">
        <v>478</v>
      </c>
      <c r="I39" s="229"/>
      <c r="J39" s="421">
        <v>2.7480000000000001E-2</v>
      </c>
    </row>
    <row r="40" spans="1:10">
      <c r="A40" s="2">
        <v>30</v>
      </c>
      <c r="B40" s="230">
        <v>353.35</v>
      </c>
      <c r="C40" s="230" t="s">
        <v>79</v>
      </c>
      <c r="D40" s="230" t="s">
        <v>75</v>
      </c>
      <c r="E40" s="230" t="s">
        <v>479</v>
      </c>
      <c r="F40" s="50" t="s">
        <v>453</v>
      </c>
      <c r="G40" s="229"/>
      <c r="H40" s="50" t="s">
        <v>480</v>
      </c>
      <c r="I40" s="229"/>
      <c r="J40" s="421">
        <v>2.7480000000000001E-2</v>
      </c>
    </row>
    <row r="41" spans="1:10">
      <c r="A41" s="2">
        <v>31</v>
      </c>
      <c r="B41" s="230">
        <v>353.37</v>
      </c>
      <c r="C41" s="230" t="s">
        <v>79</v>
      </c>
      <c r="D41" s="230" t="s">
        <v>75</v>
      </c>
      <c r="E41" s="230" t="s">
        <v>481</v>
      </c>
      <c r="F41" s="50" t="s">
        <v>453</v>
      </c>
      <c r="G41" s="229"/>
      <c r="H41" s="50" t="s">
        <v>482</v>
      </c>
      <c r="I41" s="229"/>
      <c r="J41" s="421">
        <v>2.7480000000000001E-2</v>
      </c>
    </row>
    <row r="42" spans="1:10">
      <c r="A42" s="2">
        <v>32</v>
      </c>
      <c r="B42" s="230">
        <v>353.4</v>
      </c>
      <c r="C42" s="230" t="s">
        <v>79</v>
      </c>
      <c r="D42" s="230" t="s">
        <v>75</v>
      </c>
      <c r="E42" s="230" t="s">
        <v>483</v>
      </c>
      <c r="F42" s="50" t="s">
        <v>453</v>
      </c>
      <c r="G42" s="229"/>
      <c r="H42" s="50" t="s">
        <v>484</v>
      </c>
      <c r="I42" s="229"/>
      <c r="J42" s="421">
        <v>2.7480000000000001E-2</v>
      </c>
    </row>
    <row r="43" spans="1:10">
      <c r="A43" s="2">
        <v>33</v>
      </c>
      <c r="B43" s="230">
        <v>353.4</v>
      </c>
      <c r="C43" s="230" t="s">
        <v>79</v>
      </c>
      <c r="D43" s="230" t="s">
        <v>75</v>
      </c>
      <c r="E43" s="230" t="s">
        <v>485</v>
      </c>
      <c r="F43" s="50" t="s">
        <v>453</v>
      </c>
      <c r="G43" s="229"/>
      <c r="H43" s="50" t="s">
        <v>486</v>
      </c>
      <c r="I43" s="229"/>
      <c r="J43" s="421">
        <v>2.7480000000000001E-2</v>
      </c>
    </row>
    <row r="44" spans="1:10">
      <c r="A44" s="2">
        <v>34</v>
      </c>
      <c r="B44" s="230">
        <v>353.48</v>
      </c>
      <c r="C44" s="230" t="s">
        <v>79</v>
      </c>
      <c r="D44" s="230" t="s">
        <v>75</v>
      </c>
      <c r="E44" s="230" t="s">
        <v>487</v>
      </c>
      <c r="F44" s="50" t="s">
        <v>453</v>
      </c>
      <c r="G44" s="229"/>
      <c r="H44" s="50" t="s">
        <v>488</v>
      </c>
      <c r="I44" s="229"/>
      <c r="J44" s="421">
        <v>2.7480000000000001E-2</v>
      </c>
    </row>
    <row r="45" spans="1:10">
      <c r="A45" s="2">
        <v>35</v>
      </c>
      <c r="B45" s="230">
        <v>353.49</v>
      </c>
      <c r="C45" s="230" t="s">
        <v>79</v>
      </c>
      <c r="D45" s="230" t="s">
        <v>75</v>
      </c>
      <c r="E45" s="230" t="s">
        <v>489</v>
      </c>
      <c r="F45" s="50" t="s">
        <v>453</v>
      </c>
      <c r="G45" s="229"/>
      <c r="H45" s="50" t="s">
        <v>490</v>
      </c>
      <c r="I45" s="229"/>
      <c r="J45" s="421">
        <v>2.7480000000000001E-2</v>
      </c>
    </row>
    <row r="46" spans="1:10">
      <c r="A46" s="2">
        <v>36</v>
      </c>
      <c r="B46" s="230">
        <v>354</v>
      </c>
      <c r="C46" s="230" t="s">
        <v>79</v>
      </c>
      <c r="D46" s="230" t="s">
        <v>491</v>
      </c>
      <c r="E46" s="230" t="s">
        <v>1295</v>
      </c>
      <c r="F46" s="50" t="s">
        <v>453</v>
      </c>
      <c r="G46" s="229"/>
      <c r="H46" s="50" t="s">
        <v>492</v>
      </c>
      <c r="I46" s="229"/>
      <c r="J46" s="421">
        <v>2.7480000000000001E-2</v>
      </c>
    </row>
    <row r="47" spans="1:10">
      <c r="A47" s="2">
        <v>37</v>
      </c>
      <c r="B47" s="230">
        <v>354.1</v>
      </c>
      <c r="C47" s="230" t="s">
        <v>79</v>
      </c>
      <c r="D47" s="230" t="s">
        <v>491</v>
      </c>
      <c r="E47" s="230" t="s">
        <v>493</v>
      </c>
      <c r="F47" s="50" t="s">
        <v>453</v>
      </c>
      <c r="G47" s="229"/>
      <c r="H47" s="50" t="s">
        <v>494</v>
      </c>
      <c r="I47" s="229"/>
      <c r="J47" s="421">
        <v>2.7480000000000001E-2</v>
      </c>
    </row>
    <row r="48" spans="1:10">
      <c r="A48" s="2">
        <v>38</v>
      </c>
      <c r="B48" s="230">
        <v>354.49</v>
      </c>
      <c r="C48" s="230" t="s">
        <v>79</v>
      </c>
      <c r="D48" s="230" t="s">
        <v>491</v>
      </c>
      <c r="E48" s="230" t="s">
        <v>489</v>
      </c>
      <c r="F48" s="50" t="s">
        <v>453</v>
      </c>
      <c r="G48" s="229"/>
      <c r="H48" s="50" t="s">
        <v>495</v>
      </c>
      <c r="I48" s="229"/>
      <c r="J48" s="421">
        <v>2.7480000000000001E-2</v>
      </c>
    </row>
    <row r="49" spans="1:11">
      <c r="A49" s="2">
        <v>39</v>
      </c>
      <c r="B49" s="230">
        <v>355</v>
      </c>
      <c r="C49" s="230" t="s">
        <v>79</v>
      </c>
      <c r="D49" s="230" t="s">
        <v>496</v>
      </c>
      <c r="E49" s="230" t="s">
        <v>1296</v>
      </c>
      <c r="F49" s="50" t="s">
        <v>453</v>
      </c>
      <c r="G49" s="229"/>
      <c r="H49" s="50" t="s">
        <v>497</v>
      </c>
      <c r="I49" s="229"/>
      <c r="J49" s="421">
        <v>2.7480000000000001E-2</v>
      </c>
    </row>
    <row r="50" spans="1:11">
      <c r="A50" s="2">
        <v>40</v>
      </c>
      <c r="B50" s="230">
        <v>355.3</v>
      </c>
      <c r="C50" s="230" t="s">
        <v>79</v>
      </c>
      <c r="D50" s="230" t="s">
        <v>496</v>
      </c>
      <c r="E50" s="230" t="s">
        <v>1297</v>
      </c>
      <c r="F50" s="50" t="s">
        <v>453</v>
      </c>
      <c r="G50" s="229"/>
      <c r="H50" s="50" t="s">
        <v>498</v>
      </c>
      <c r="I50" s="229"/>
      <c r="J50" s="421">
        <v>2.7480000000000001E-2</v>
      </c>
      <c r="K50" s="405"/>
    </row>
    <row r="51" spans="1:11">
      <c r="A51" s="2">
        <v>41</v>
      </c>
      <c r="B51" s="230">
        <v>355.45</v>
      </c>
      <c r="C51" s="230" t="s">
        <v>79</v>
      </c>
      <c r="D51" s="230" t="s">
        <v>496</v>
      </c>
      <c r="E51" s="230" t="s">
        <v>499</v>
      </c>
      <c r="F51" s="50" t="s">
        <v>453</v>
      </c>
      <c r="G51" s="229"/>
      <c r="H51" s="50" t="s">
        <v>500</v>
      </c>
      <c r="I51" s="229"/>
      <c r="J51" s="421">
        <v>3.3333330000000001E-2</v>
      </c>
      <c r="K51" s="405"/>
    </row>
    <row r="52" spans="1:11">
      <c r="A52" s="2">
        <v>42</v>
      </c>
      <c r="B52" s="230">
        <v>356</v>
      </c>
      <c r="C52" s="230" t="s">
        <v>79</v>
      </c>
      <c r="D52" s="230" t="s">
        <v>501</v>
      </c>
      <c r="E52" s="230" t="s">
        <v>493</v>
      </c>
      <c r="F52" s="50" t="s">
        <v>453</v>
      </c>
      <c r="G52" s="229"/>
      <c r="H52" s="50" t="s">
        <v>502</v>
      </c>
      <c r="I52" s="229"/>
      <c r="J52" s="421">
        <v>2.7480000000000001E-2</v>
      </c>
      <c r="K52" s="405"/>
    </row>
    <row r="53" spans="1:11">
      <c r="A53" s="2">
        <v>43</v>
      </c>
      <c r="B53" s="230">
        <v>356.3</v>
      </c>
      <c r="C53" s="230" t="s">
        <v>79</v>
      </c>
      <c r="D53" s="230" t="s">
        <v>501</v>
      </c>
      <c r="E53" s="230" t="s">
        <v>503</v>
      </c>
      <c r="F53" s="50" t="s">
        <v>453</v>
      </c>
      <c r="G53" s="229"/>
      <c r="H53" s="50" t="s">
        <v>504</v>
      </c>
      <c r="I53" s="229"/>
      <c r="J53" s="421">
        <v>2.7480000000000001E-2</v>
      </c>
      <c r="K53" s="405"/>
    </row>
    <row r="54" spans="1:11">
      <c r="A54" s="2">
        <v>44</v>
      </c>
      <c r="B54" s="230">
        <v>356.49</v>
      </c>
      <c r="C54" s="230" t="s">
        <v>79</v>
      </c>
      <c r="D54" s="230" t="s">
        <v>501</v>
      </c>
      <c r="E54" s="230" t="s">
        <v>489</v>
      </c>
      <c r="F54" s="50" t="s">
        <v>453</v>
      </c>
      <c r="G54" s="229"/>
      <c r="H54" s="50" t="s">
        <v>505</v>
      </c>
      <c r="I54" s="229"/>
      <c r="J54" s="421">
        <v>2.7480000000000001E-2</v>
      </c>
      <c r="K54" s="405"/>
    </row>
    <row r="55" spans="1:11">
      <c r="A55" s="2">
        <v>45</v>
      </c>
      <c r="B55" s="230">
        <v>359</v>
      </c>
      <c r="C55" s="230" t="s">
        <v>1410</v>
      </c>
      <c r="D55" s="230" t="s">
        <v>1419</v>
      </c>
      <c r="E55" s="230"/>
      <c r="F55" s="50" t="s">
        <v>453</v>
      </c>
      <c r="G55" s="229"/>
      <c r="H55" s="50" t="s">
        <v>1426</v>
      </c>
      <c r="I55" s="229"/>
      <c r="J55" s="421">
        <v>0</v>
      </c>
      <c r="K55" s="405"/>
    </row>
    <row r="56" spans="1:11">
      <c r="A56" s="2">
        <v>46</v>
      </c>
      <c r="B56" s="230">
        <v>359.2</v>
      </c>
      <c r="C56" s="230" t="s">
        <v>1410</v>
      </c>
      <c r="D56" s="230" t="s">
        <v>1419</v>
      </c>
      <c r="E56" s="230"/>
      <c r="F56" s="50" t="s">
        <v>453</v>
      </c>
      <c r="G56" s="229"/>
      <c r="H56" s="50" t="s">
        <v>1427</v>
      </c>
      <c r="I56" s="229"/>
      <c r="J56" s="421">
        <v>0</v>
      </c>
      <c r="K56" s="405"/>
    </row>
    <row r="57" spans="1:11">
      <c r="A57" s="2">
        <v>47</v>
      </c>
      <c r="B57" s="230">
        <v>359.24</v>
      </c>
      <c r="C57" s="230" t="s">
        <v>1410</v>
      </c>
      <c r="D57" s="230" t="s">
        <v>1419</v>
      </c>
      <c r="E57" s="230"/>
      <c r="F57" s="50" t="s">
        <v>453</v>
      </c>
      <c r="G57" s="229"/>
      <c r="H57" s="50" t="s">
        <v>1428</v>
      </c>
      <c r="I57" s="229"/>
      <c r="J57" s="421">
        <v>0</v>
      </c>
      <c r="K57" s="405"/>
    </row>
    <row r="58" spans="1:11">
      <c r="A58" s="2">
        <v>48</v>
      </c>
      <c r="B58" s="230">
        <v>360</v>
      </c>
      <c r="C58" s="230" t="s">
        <v>1410</v>
      </c>
      <c r="D58" s="230" t="s">
        <v>1419</v>
      </c>
      <c r="E58" s="230"/>
      <c r="F58" s="50" t="s">
        <v>453</v>
      </c>
      <c r="G58" s="229"/>
      <c r="H58" s="50" t="s">
        <v>1429</v>
      </c>
      <c r="I58" s="229"/>
      <c r="J58" s="421">
        <v>0</v>
      </c>
      <c r="K58" s="405"/>
    </row>
    <row r="59" spans="1:11">
      <c r="A59" s="2">
        <v>49</v>
      </c>
      <c r="B59" s="230">
        <v>360.06</v>
      </c>
      <c r="C59" s="230" t="s">
        <v>1410</v>
      </c>
      <c r="D59" s="230" t="s">
        <v>1419</v>
      </c>
      <c r="E59" s="230"/>
      <c r="F59" s="50" t="s">
        <v>453</v>
      </c>
      <c r="G59" s="229"/>
      <c r="H59" s="50" t="s">
        <v>1430</v>
      </c>
      <c r="I59" s="229"/>
      <c r="J59" s="421">
        <v>0</v>
      </c>
      <c r="K59" s="405"/>
    </row>
    <row r="60" spans="1:11">
      <c r="A60" s="2">
        <v>50</v>
      </c>
      <c r="B60" s="230">
        <v>362</v>
      </c>
      <c r="C60" s="230" t="s">
        <v>506</v>
      </c>
      <c r="D60" s="230" t="s">
        <v>75</v>
      </c>
      <c r="E60" s="230"/>
      <c r="F60" s="50" t="s">
        <v>453</v>
      </c>
      <c r="G60" s="229"/>
      <c r="H60" s="50" t="s">
        <v>507</v>
      </c>
      <c r="I60" s="229"/>
      <c r="J60" s="421">
        <v>2.8799999999999999E-2</v>
      </c>
      <c r="K60" s="405"/>
    </row>
    <row r="61" spans="1:11">
      <c r="A61" s="2">
        <v>51</v>
      </c>
      <c r="B61" s="230">
        <v>362.02</v>
      </c>
      <c r="C61" s="230" t="s">
        <v>506</v>
      </c>
      <c r="D61" s="230" t="s">
        <v>75</v>
      </c>
      <c r="E61" s="230"/>
      <c r="F61" s="50" t="s">
        <v>453</v>
      </c>
      <c r="G61" s="229"/>
      <c r="H61" s="50" t="s">
        <v>508</v>
      </c>
      <c r="I61" s="229"/>
      <c r="J61" s="421">
        <v>9.9959999999999993E-2</v>
      </c>
      <c r="K61" s="405"/>
    </row>
    <row r="62" spans="1:11">
      <c r="A62" s="2">
        <v>52</v>
      </c>
      <c r="B62" s="230">
        <v>362.1</v>
      </c>
      <c r="C62" s="230" t="s">
        <v>506</v>
      </c>
      <c r="D62" s="230" t="s">
        <v>75</v>
      </c>
      <c r="E62" s="230"/>
      <c r="F62" s="50" t="s">
        <v>453</v>
      </c>
      <c r="G62" s="229"/>
      <c r="H62" s="50" t="s">
        <v>509</v>
      </c>
      <c r="I62" s="229"/>
      <c r="J62" s="421">
        <v>2.8799999999999999E-2</v>
      </c>
      <c r="K62" s="405"/>
    </row>
    <row r="63" spans="1:11">
      <c r="A63" s="2">
        <v>53</v>
      </c>
      <c r="B63" s="230">
        <v>362.2</v>
      </c>
      <c r="C63" s="230" t="s">
        <v>506</v>
      </c>
      <c r="D63" s="230" t="s">
        <v>75</v>
      </c>
      <c r="E63" s="230"/>
      <c r="F63" s="50" t="s">
        <v>453</v>
      </c>
      <c r="G63" s="229"/>
      <c r="H63" s="50" t="s">
        <v>510</v>
      </c>
      <c r="I63" s="229"/>
      <c r="J63" s="421">
        <v>0.16669999999999999</v>
      </c>
      <c r="K63" s="405"/>
    </row>
    <row r="64" spans="1:11">
      <c r="A64" s="2">
        <v>54</v>
      </c>
      <c r="B64" s="230">
        <v>364</v>
      </c>
      <c r="C64" s="230" t="s">
        <v>506</v>
      </c>
      <c r="D64" s="230" t="s">
        <v>511</v>
      </c>
      <c r="E64" s="230"/>
      <c r="F64" s="50" t="s">
        <v>453</v>
      </c>
      <c r="G64" s="229"/>
      <c r="H64" s="50" t="s">
        <v>512</v>
      </c>
      <c r="I64" s="229"/>
      <c r="J64" s="421">
        <v>3.0599999999999999E-2</v>
      </c>
      <c r="K64" s="405"/>
    </row>
    <row r="65" spans="1:11">
      <c r="A65" s="2">
        <v>55</v>
      </c>
      <c r="B65" s="230">
        <v>365</v>
      </c>
      <c r="C65" s="230" t="s">
        <v>506</v>
      </c>
      <c r="D65" s="230" t="s">
        <v>501</v>
      </c>
      <c r="E65" s="230"/>
      <c r="F65" s="50" t="s">
        <v>453</v>
      </c>
      <c r="G65" s="229"/>
      <c r="H65" s="50" t="s">
        <v>513</v>
      </c>
      <c r="I65" s="229"/>
      <c r="J65" s="421">
        <v>3.0599999999999999E-2</v>
      </c>
      <c r="K65" s="405"/>
    </row>
    <row r="66" spans="1:11">
      <c r="A66" s="2">
        <v>56</v>
      </c>
      <c r="B66" s="230">
        <v>389</v>
      </c>
      <c r="C66" s="230" t="s">
        <v>1410</v>
      </c>
      <c r="D66" s="230" t="s">
        <v>1419</v>
      </c>
      <c r="E66" s="230"/>
      <c r="F66" s="50" t="s">
        <v>453</v>
      </c>
      <c r="G66" s="229"/>
      <c r="H66" s="50" t="s">
        <v>1431</v>
      </c>
      <c r="I66" s="229"/>
      <c r="J66" s="421">
        <v>0</v>
      </c>
      <c r="K66" s="405"/>
    </row>
    <row r="67" spans="1:11">
      <c r="A67" s="2">
        <v>57</v>
      </c>
      <c r="B67" s="230">
        <v>389.1</v>
      </c>
      <c r="C67" s="230" t="s">
        <v>1410</v>
      </c>
      <c r="D67" s="230" t="s">
        <v>1419</v>
      </c>
      <c r="E67" s="230"/>
      <c r="F67" s="50" t="s">
        <v>453</v>
      </c>
      <c r="G67" s="229"/>
      <c r="H67" s="50" t="s">
        <v>1432</v>
      </c>
      <c r="I67" s="229"/>
      <c r="J67" s="421">
        <v>0</v>
      </c>
      <c r="K67" s="405"/>
    </row>
    <row r="68" spans="1:11">
      <c r="A68" s="2">
        <v>58</v>
      </c>
      <c r="B68" s="230">
        <v>389.2</v>
      </c>
      <c r="C68" s="230" t="s">
        <v>1410</v>
      </c>
      <c r="D68" s="230" t="s">
        <v>1419</v>
      </c>
      <c r="E68" s="230"/>
      <c r="F68" s="50" t="s">
        <v>453</v>
      </c>
      <c r="G68" s="229"/>
      <c r="H68" s="50" t="s">
        <v>1433</v>
      </c>
      <c r="I68" s="229"/>
      <c r="J68" s="421">
        <v>0</v>
      </c>
      <c r="K68" s="405"/>
    </row>
    <row r="69" spans="1:11">
      <c r="A69" s="2">
        <v>59</v>
      </c>
      <c r="B69" s="230">
        <v>390</v>
      </c>
      <c r="C69" s="230" t="s">
        <v>426</v>
      </c>
      <c r="D69" s="230" t="s">
        <v>74</v>
      </c>
      <c r="E69" s="230"/>
      <c r="F69" s="50" t="s">
        <v>453</v>
      </c>
      <c r="G69" s="229"/>
      <c r="H69" s="50" t="s">
        <v>514</v>
      </c>
      <c r="I69" s="229"/>
      <c r="J69" s="421">
        <v>0.03</v>
      </c>
      <c r="K69" s="405"/>
    </row>
    <row r="70" spans="1:11">
      <c r="A70" s="2">
        <v>60</v>
      </c>
      <c r="B70" s="230">
        <v>390.1</v>
      </c>
      <c r="C70" s="230" t="s">
        <v>426</v>
      </c>
      <c r="D70" s="230" t="s">
        <v>74</v>
      </c>
      <c r="E70" s="230"/>
      <c r="F70" s="50" t="s">
        <v>453</v>
      </c>
      <c r="G70" s="229"/>
      <c r="H70" s="50" t="s">
        <v>515</v>
      </c>
      <c r="I70" s="229"/>
      <c r="J70" s="421">
        <v>0.03</v>
      </c>
      <c r="K70" s="405"/>
    </row>
    <row r="71" spans="1:11">
      <c r="A71" s="2">
        <v>61</v>
      </c>
      <c r="B71" s="230">
        <v>390.2</v>
      </c>
      <c r="C71" s="230" t="s">
        <v>426</v>
      </c>
      <c r="D71" s="230" t="s">
        <v>74</v>
      </c>
      <c r="E71" s="230"/>
      <c r="F71" s="50" t="s">
        <v>453</v>
      </c>
      <c r="G71" s="229"/>
      <c r="H71" s="50" t="s">
        <v>516</v>
      </c>
      <c r="I71" s="229"/>
      <c r="J71" s="421">
        <v>0.03</v>
      </c>
      <c r="K71" s="405"/>
    </row>
    <row r="72" spans="1:11">
      <c r="A72" s="2">
        <v>62</v>
      </c>
      <c r="B72" s="230">
        <v>390.3</v>
      </c>
      <c r="C72" s="230" t="s">
        <v>426</v>
      </c>
      <c r="D72" s="230" t="s">
        <v>74</v>
      </c>
      <c r="E72" s="230"/>
      <c r="F72" s="50" t="s">
        <v>453</v>
      </c>
      <c r="G72" s="229"/>
      <c r="H72" s="50" t="s">
        <v>517</v>
      </c>
      <c r="I72" s="229"/>
      <c r="J72" s="421">
        <v>0.03</v>
      </c>
      <c r="K72" s="405"/>
    </row>
    <row r="73" spans="1:11">
      <c r="A73" s="2">
        <v>63</v>
      </c>
      <c r="B73" s="230">
        <v>390.4</v>
      </c>
      <c r="C73" s="230" t="s">
        <v>426</v>
      </c>
      <c r="D73" s="230" t="s">
        <v>74</v>
      </c>
      <c r="E73" s="230"/>
      <c r="F73" s="50" t="s">
        <v>453</v>
      </c>
      <c r="G73" s="229"/>
      <c r="H73" s="50" t="s">
        <v>518</v>
      </c>
      <c r="I73" s="229"/>
      <c r="J73" s="421">
        <v>0.03</v>
      </c>
      <c r="K73" s="405"/>
    </row>
    <row r="74" spans="1:11">
      <c r="A74" s="2">
        <v>64</v>
      </c>
      <c r="B74" s="230">
        <v>390.5</v>
      </c>
      <c r="C74" s="230" t="s">
        <v>426</v>
      </c>
      <c r="D74" s="230" t="s">
        <v>74</v>
      </c>
      <c r="E74" s="230"/>
      <c r="F74" s="50" t="s">
        <v>453</v>
      </c>
      <c r="G74" s="229"/>
      <c r="H74" s="50" t="s">
        <v>519</v>
      </c>
      <c r="I74" s="229"/>
      <c r="J74" s="421">
        <v>0.03</v>
      </c>
      <c r="K74" s="405"/>
    </row>
    <row r="75" spans="1:11">
      <c r="A75" s="2">
        <v>65</v>
      </c>
      <c r="B75" s="230">
        <v>390.6</v>
      </c>
      <c r="C75" s="230" t="s">
        <v>426</v>
      </c>
      <c r="D75" s="230" t="s">
        <v>74</v>
      </c>
      <c r="E75" s="230"/>
      <c r="F75" s="50" t="s">
        <v>453</v>
      </c>
      <c r="G75" s="229"/>
      <c r="H75" s="50" t="s">
        <v>520</v>
      </c>
      <c r="I75" s="229"/>
      <c r="J75" s="421">
        <v>0.03</v>
      </c>
      <c r="K75" s="405"/>
    </row>
    <row r="76" spans="1:11">
      <c r="A76" s="2">
        <v>66</v>
      </c>
      <c r="B76" s="230">
        <v>390.7</v>
      </c>
      <c r="C76" s="230" t="s">
        <v>426</v>
      </c>
      <c r="D76" s="230" t="s">
        <v>74</v>
      </c>
      <c r="E76" s="230"/>
      <c r="F76" s="50" t="s">
        <v>453</v>
      </c>
      <c r="G76" s="229"/>
      <c r="H76" s="50" t="s">
        <v>521</v>
      </c>
      <c r="I76" s="229"/>
      <c r="J76" s="421">
        <v>0.03</v>
      </c>
      <c r="K76" s="405"/>
    </row>
    <row r="77" spans="1:11">
      <c r="A77" s="2">
        <v>67</v>
      </c>
      <c r="B77" s="230">
        <v>390.8</v>
      </c>
      <c r="C77" s="230" t="s">
        <v>426</v>
      </c>
      <c r="D77" s="230" t="s">
        <v>74</v>
      </c>
      <c r="E77" s="230"/>
      <c r="F77" s="50" t="s">
        <v>453</v>
      </c>
      <c r="G77" s="229"/>
      <c r="H77" s="50" t="s">
        <v>522</v>
      </c>
      <c r="I77" s="229"/>
      <c r="J77" s="421">
        <v>0.03</v>
      </c>
      <c r="K77" s="405"/>
    </row>
    <row r="78" spans="1:11">
      <c r="A78" s="2">
        <v>68</v>
      </c>
      <c r="B78" s="230">
        <v>391</v>
      </c>
      <c r="C78" s="230" t="s">
        <v>426</v>
      </c>
      <c r="D78" s="230" t="s">
        <v>523</v>
      </c>
      <c r="E78" s="230"/>
      <c r="F78" s="50" t="s">
        <v>453</v>
      </c>
      <c r="G78" s="229"/>
      <c r="H78" s="50" t="s">
        <v>524</v>
      </c>
      <c r="I78" s="229"/>
      <c r="J78" s="421">
        <v>0.06</v>
      </c>
      <c r="K78" s="405"/>
    </row>
    <row r="79" spans="1:11">
      <c r="A79" s="2">
        <v>69</v>
      </c>
      <c r="B79" s="230">
        <v>391.01</v>
      </c>
      <c r="C79" s="230" t="s">
        <v>426</v>
      </c>
      <c r="D79" s="230" t="s">
        <v>523</v>
      </c>
      <c r="E79" s="230"/>
      <c r="F79" s="50" t="s">
        <v>453</v>
      </c>
      <c r="G79" s="229"/>
      <c r="H79" s="50" t="s">
        <v>1434</v>
      </c>
      <c r="I79" s="229"/>
      <c r="J79" s="421">
        <v>0.06</v>
      </c>
      <c r="K79" s="405"/>
    </row>
    <row r="80" spans="1:11">
      <c r="A80" s="2">
        <v>70</v>
      </c>
      <c r="B80" s="230">
        <v>391.05</v>
      </c>
      <c r="C80" s="230" t="s">
        <v>426</v>
      </c>
      <c r="D80" s="230" t="s">
        <v>523</v>
      </c>
      <c r="E80" s="230"/>
      <c r="F80" s="50" t="s">
        <v>453</v>
      </c>
      <c r="G80" s="229"/>
      <c r="H80" s="50" t="s">
        <v>525</v>
      </c>
      <c r="I80" s="229"/>
      <c r="J80" s="421">
        <v>0.06</v>
      </c>
      <c r="K80" s="405"/>
    </row>
    <row r="81" spans="1:11">
      <c r="A81" s="2">
        <v>71</v>
      </c>
      <c r="B81" s="230">
        <v>391.06</v>
      </c>
      <c r="C81" s="230" t="s">
        <v>426</v>
      </c>
      <c r="D81" s="230" t="s">
        <v>523</v>
      </c>
      <c r="E81" s="230"/>
      <c r="F81" s="50" t="s">
        <v>453</v>
      </c>
      <c r="G81" s="229"/>
      <c r="H81" s="50" t="s">
        <v>526</v>
      </c>
      <c r="I81" s="229"/>
      <c r="J81" s="421">
        <v>0.06</v>
      </c>
      <c r="K81" s="405"/>
    </row>
    <row r="82" spans="1:11">
      <c r="A82" s="2">
        <v>72</v>
      </c>
      <c r="B82" s="230">
        <v>391.07</v>
      </c>
      <c r="C82" s="230" t="s">
        <v>426</v>
      </c>
      <c r="D82" s="230" t="s">
        <v>523</v>
      </c>
      <c r="E82" s="230"/>
      <c r="F82" s="50" t="s">
        <v>453</v>
      </c>
      <c r="G82" s="229"/>
      <c r="H82" s="50" t="s">
        <v>1435</v>
      </c>
      <c r="I82" s="229"/>
      <c r="J82" s="421">
        <v>0.33329999999999999</v>
      </c>
      <c r="K82" s="405"/>
    </row>
    <row r="83" spans="1:11">
      <c r="A83" s="2">
        <v>73</v>
      </c>
      <c r="B83" s="230">
        <v>391.1</v>
      </c>
      <c r="C83" s="230" t="s">
        <v>426</v>
      </c>
      <c r="D83" s="230" t="s">
        <v>523</v>
      </c>
      <c r="E83" s="230"/>
      <c r="F83" s="50" t="s">
        <v>453</v>
      </c>
      <c r="G83" s="229"/>
      <c r="H83" s="50" t="s">
        <v>527</v>
      </c>
      <c r="I83" s="229"/>
      <c r="J83" s="421">
        <v>0.06</v>
      </c>
      <c r="K83" s="405"/>
    </row>
    <row r="84" spans="1:11">
      <c r="A84" s="2">
        <v>74</v>
      </c>
      <c r="B84" s="230">
        <v>391.2</v>
      </c>
      <c r="C84" s="230" t="s">
        <v>426</v>
      </c>
      <c r="D84" s="230" t="s">
        <v>523</v>
      </c>
      <c r="E84" s="230"/>
      <c r="F84" s="50" t="s">
        <v>453</v>
      </c>
      <c r="G84" s="229"/>
      <c r="H84" s="50" t="s">
        <v>528</v>
      </c>
      <c r="I84" s="229"/>
      <c r="J84" s="421">
        <v>0.16669999999999999</v>
      </c>
      <c r="K84" s="405"/>
    </row>
    <row r="85" spans="1:11">
      <c r="A85" s="2">
        <v>75</v>
      </c>
      <c r="B85" s="230">
        <v>391.21</v>
      </c>
      <c r="C85" s="230" t="s">
        <v>426</v>
      </c>
      <c r="D85" s="230" t="s">
        <v>523</v>
      </c>
      <c r="E85" s="230"/>
      <c r="F85" s="50" t="s">
        <v>453</v>
      </c>
      <c r="G85" s="229"/>
      <c r="H85" s="50" t="s">
        <v>1436</v>
      </c>
      <c r="I85" s="229"/>
      <c r="J85" s="421">
        <v>0.1</v>
      </c>
      <c r="K85" s="405"/>
    </row>
    <row r="86" spans="1:11">
      <c r="A86" s="2">
        <v>76</v>
      </c>
      <c r="B86" s="230">
        <v>391.22</v>
      </c>
      <c r="C86" s="230" t="s">
        <v>426</v>
      </c>
      <c r="D86" s="230" t="s">
        <v>523</v>
      </c>
      <c r="E86" s="230"/>
      <c r="F86" s="50" t="s">
        <v>453</v>
      </c>
      <c r="G86" s="229"/>
      <c r="H86" s="50" t="s">
        <v>529</v>
      </c>
      <c r="I86" s="229"/>
      <c r="J86" s="421">
        <v>0.16669999999999999</v>
      </c>
      <c r="K86" s="405"/>
    </row>
    <row r="87" spans="1:11">
      <c r="A87" s="2">
        <v>77</v>
      </c>
      <c r="B87" s="230">
        <v>391.23</v>
      </c>
      <c r="C87" s="230" t="s">
        <v>426</v>
      </c>
      <c r="D87" s="230" t="s">
        <v>523</v>
      </c>
      <c r="E87" s="230"/>
      <c r="F87" s="50" t="s">
        <v>453</v>
      </c>
      <c r="G87" s="229"/>
      <c r="H87" s="50" t="s">
        <v>530</v>
      </c>
      <c r="I87" s="229"/>
      <c r="J87" s="421">
        <v>0.16669999999999999</v>
      </c>
      <c r="K87" s="405"/>
    </row>
    <row r="88" spans="1:11">
      <c r="A88" s="2">
        <v>78</v>
      </c>
      <c r="B88" s="230">
        <v>391.25</v>
      </c>
      <c r="C88" s="230" t="s">
        <v>426</v>
      </c>
      <c r="D88" s="230" t="s">
        <v>523</v>
      </c>
      <c r="E88" s="230"/>
      <c r="F88" s="50" t="s">
        <v>453</v>
      </c>
      <c r="G88" s="229"/>
      <c r="H88" s="50" t="s">
        <v>531</v>
      </c>
      <c r="I88" s="229"/>
      <c r="J88" s="421">
        <v>0.16667999999999999</v>
      </c>
      <c r="K88" s="405"/>
    </row>
    <row r="89" spans="1:11">
      <c r="A89" s="2">
        <v>79</v>
      </c>
      <c r="B89" s="230">
        <v>391.26</v>
      </c>
      <c r="C89" s="230" t="s">
        <v>426</v>
      </c>
      <c r="D89" s="230" t="s">
        <v>523</v>
      </c>
      <c r="E89" s="230"/>
      <c r="F89" s="50" t="s">
        <v>453</v>
      </c>
      <c r="G89" s="229"/>
      <c r="H89" s="50" t="s">
        <v>1437</v>
      </c>
      <c r="I89" s="229"/>
      <c r="J89" s="421">
        <v>0.33329999999999999</v>
      </c>
      <c r="K89" s="405"/>
    </row>
    <row r="90" spans="1:11">
      <c r="A90" s="2">
        <v>80</v>
      </c>
      <c r="B90" s="230">
        <v>391.3</v>
      </c>
      <c r="C90" s="230" t="s">
        <v>426</v>
      </c>
      <c r="D90" s="230" t="s">
        <v>523</v>
      </c>
      <c r="E90" s="230"/>
      <c r="F90" s="50" t="s">
        <v>453</v>
      </c>
      <c r="G90" s="229"/>
      <c r="H90" s="50" t="s">
        <v>532</v>
      </c>
      <c r="I90" s="229"/>
      <c r="J90" s="421">
        <v>0.06</v>
      </c>
      <c r="K90" s="405"/>
    </row>
    <row r="91" spans="1:11">
      <c r="A91" s="2">
        <v>81</v>
      </c>
      <c r="B91" s="230">
        <v>391.4</v>
      </c>
      <c r="C91" s="230" t="s">
        <v>426</v>
      </c>
      <c r="D91" s="230" t="s">
        <v>523</v>
      </c>
      <c r="E91" s="230"/>
      <c r="F91" s="50" t="s">
        <v>453</v>
      </c>
      <c r="G91" s="229"/>
      <c r="H91" s="50" t="s">
        <v>533</v>
      </c>
      <c r="I91" s="229"/>
      <c r="J91" s="421">
        <v>0.06</v>
      </c>
      <c r="K91" s="405"/>
    </row>
    <row r="92" spans="1:11">
      <c r="A92" s="2">
        <v>82</v>
      </c>
      <c r="B92" s="230">
        <v>391.41</v>
      </c>
      <c r="C92" s="230" t="s">
        <v>426</v>
      </c>
      <c r="D92" s="230" t="s">
        <v>523</v>
      </c>
      <c r="E92" s="230"/>
      <c r="F92" s="50" t="s">
        <v>453</v>
      </c>
      <c r="G92" s="229"/>
      <c r="H92" s="50" t="s">
        <v>534</v>
      </c>
      <c r="I92" s="229"/>
      <c r="J92" s="421">
        <v>0.16669999999999999</v>
      </c>
      <c r="K92" s="405"/>
    </row>
    <row r="93" spans="1:11">
      <c r="A93" s="2">
        <v>83</v>
      </c>
      <c r="B93" s="230">
        <v>391.49</v>
      </c>
      <c r="C93" s="230" t="s">
        <v>426</v>
      </c>
      <c r="D93" s="230" t="s">
        <v>523</v>
      </c>
      <c r="E93" s="230"/>
      <c r="F93" s="50" t="s">
        <v>453</v>
      </c>
      <c r="G93" s="229"/>
      <c r="H93" s="50" t="s">
        <v>535</v>
      </c>
      <c r="I93" s="229"/>
      <c r="J93" s="421">
        <v>0.06</v>
      </c>
      <c r="K93" s="405"/>
    </row>
    <row r="94" spans="1:11">
      <c r="A94" s="2">
        <v>84</v>
      </c>
      <c r="B94" s="230">
        <v>391.5</v>
      </c>
      <c r="C94" s="230" t="s">
        <v>426</v>
      </c>
      <c r="D94" s="230" t="s">
        <v>523</v>
      </c>
      <c r="E94" s="230"/>
      <c r="F94" s="50" t="s">
        <v>453</v>
      </c>
      <c r="G94" s="229"/>
      <c r="H94" s="50" t="s">
        <v>1438</v>
      </c>
      <c r="I94" s="229"/>
      <c r="J94" s="421">
        <v>0.06</v>
      </c>
      <c r="K94" s="405"/>
    </row>
    <row r="95" spans="1:11">
      <c r="A95" s="2">
        <v>85</v>
      </c>
      <c r="B95" s="230">
        <v>392</v>
      </c>
      <c r="C95" s="230" t="s">
        <v>426</v>
      </c>
      <c r="D95" s="230" t="s">
        <v>536</v>
      </c>
      <c r="E95" s="230"/>
      <c r="F95" s="50" t="s">
        <v>453</v>
      </c>
      <c r="G95" s="229"/>
      <c r="H95" s="50" t="s">
        <v>1439</v>
      </c>
      <c r="I95" s="229"/>
      <c r="J95" s="421">
        <v>0.33329999999999999</v>
      </c>
      <c r="K95" s="405"/>
    </row>
    <row r="96" spans="1:11">
      <c r="A96" s="2">
        <v>86</v>
      </c>
      <c r="B96" s="230">
        <v>392.01</v>
      </c>
      <c r="C96" s="230" t="s">
        <v>426</v>
      </c>
      <c r="D96" s="230" t="s">
        <v>536</v>
      </c>
      <c r="E96" s="230"/>
      <c r="F96" s="50" t="s">
        <v>453</v>
      </c>
      <c r="G96" s="229"/>
      <c r="H96" s="50" t="s">
        <v>1440</v>
      </c>
      <c r="I96" s="229"/>
      <c r="J96" s="421">
        <v>0.2</v>
      </c>
      <c r="K96" s="405"/>
    </row>
    <row r="97" spans="1:11">
      <c r="A97" s="2">
        <v>87</v>
      </c>
      <c r="B97" s="230">
        <v>392.02</v>
      </c>
      <c r="C97" s="230" t="s">
        <v>426</v>
      </c>
      <c r="D97" s="230" t="s">
        <v>536</v>
      </c>
      <c r="E97" s="230"/>
      <c r="F97" s="50" t="s">
        <v>453</v>
      </c>
      <c r="G97" s="229"/>
      <c r="H97" s="50" t="s">
        <v>1441</v>
      </c>
      <c r="I97" s="229"/>
      <c r="J97" s="421">
        <v>0.1</v>
      </c>
      <c r="K97" s="405"/>
    </row>
    <row r="98" spans="1:11">
      <c r="A98" s="2">
        <v>88</v>
      </c>
      <c r="B98" s="230">
        <v>392.03</v>
      </c>
      <c r="C98" s="230" t="s">
        <v>426</v>
      </c>
      <c r="D98" s="230" t="s">
        <v>1376</v>
      </c>
      <c r="E98" s="230"/>
      <c r="F98" s="50" t="s">
        <v>453</v>
      </c>
      <c r="G98" s="229"/>
      <c r="H98" s="50" t="s">
        <v>1442</v>
      </c>
      <c r="I98" s="229"/>
      <c r="J98" s="421">
        <v>0.25</v>
      </c>
      <c r="K98" s="405"/>
    </row>
    <row r="99" spans="1:11">
      <c r="A99" s="2">
        <v>89</v>
      </c>
      <c r="B99" s="230">
        <v>392.04</v>
      </c>
      <c r="C99" s="230" t="s">
        <v>426</v>
      </c>
      <c r="D99" s="230" t="s">
        <v>1376</v>
      </c>
      <c r="E99" s="230"/>
      <c r="F99" s="50" t="s">
        <v>453</v>
      </c>
      <c r="G99" s="229"/>
      <c r="H99" s="50" t="s">
        <v>1443</v>
      </c>
      <c r="I99" s="229"/>
      <c r="J99" s="421">
        <v>0.25</v>
      </c>
      <c r="K99" s="405"/>
    </row>
    <row r="100" spans="1:11">
      <c r="A100" s="2">
        <v>90</v>
      </c>
      <c r="B100" s="230">
        <v>392.05</v>
      </c>
      <c r="C100" s="230" t="s">
        <v>426</v>
      </c>
      <c r="D100" s="230" t="s">
        <v>1376</v>
      </c>
      <c r="E100" s="230"/>
      <c r="F100" s="50" t="s">
        <v>453</v>
      </c>
      <c r="G100" s="229"/>
      <c r="H100" s="50" t="s">
        <v>1444</v>
      </c>
      <c r="I100" s="229"/>
      <c r="J100" s="421">
        <v>0.1</v>
      </c>
      <c r="K100" s="405"/>
    </row>
    <row r="101" spans="1:11">
      <c r="A101" s="2">
        <v>91</v>
      </c>
      <c r="B101" s="230">
        <v>392.06</v>
      </c>
      <c r="C101" s="230" t="s">
        <v>426</v>
      </c>
      <c r="D101" s="230" t="s">
        <v>1376</v>
      </c>
      <c r="E101" s="230"/>
      <c r="F101" s="50" t="s">
        <v>453</v>
      </c>
      <c r="G101" s="229"/>
      <c r="H101" s="50" t="s">
        <v>1445</v>
      </c>
      <c r="I101" s="229"/>
      <c r="J101" s="421">
        <v>7.1429999999999993E-2</v>
      </c>
      <c r="K101" s="405"/>
    </row>
    <row r="102" spans="1:11">
      <c r="A102" s="2">
        <v>92</v>
      </c>
      <c r="B102" s="230">
        <v>392.07</v>
      </c>
      <c r="C102" s="230" t="s">
        <v>426</v>
      </c>
      <c r="D102" s="230" t="s">
        <v>1376</v>
      </c>
      <c r="E102" s="230"/>
      <c r="F102" s="50" t="s">
        <v>453</v>
      </c>
      <c r="G102" s="229"/>
      <c r="H102" s="50" t="s">
        <v>1446</v>
      </c>
      <c r="I102" s="229"/>
      <c r="J102" s="421">
        <v>0.1</v>
      </c>
      <c r="K102" s="405"/>
    </row>
    <row r="103" spans="1:11">
      <c r="A103" s="2">
        <v>93</v>
      </c>
      <c r="B103" s="230">
        <v>392.08</v>
      </c>
      <c r="C103" s="230" t="s">
        <v>426</v>
      </c>
      <c r="D103" s="230" t="s">
        <v>1376</v>
      </c>
      <c r="E103" s="230"/>
      <c r="F103" s="50" t="s">
        <v>453</v>
      </c>
      <c r="G103" s="229"/>
      <c r="H103" s="50" t="s">
        <v>1447</v>
      </c>
      <c r="I103" s="229"/>
      <c r="J103" s="421">
        <v>0.33329999999999999</v>
      </c>
      <c r="K103" s="405"/>
    </row>
    <row r="104" spans="1:11">
      <c r="A104" s="2">
        <v>94</v>
      </c>
      <c r="B104" s="230">
        <v>392.4</v>
      </c>
      <c r="C104" s="230" t="s">
        <v>426</v>
      </c>
      <c r="D104" s="230" t="s">
        <v>536</v>
      </c>
      <c r="E104" s="230"/>
      <c r="F104" s="50" t="s">
        <v>453</v>
      </c>
      <c r="G104" s="229"/>
      <c r="H104" s="50" t="s">
        <v>537</v>
      </c>
      <c r="I104" s="229"/>
      <c r="J104" s="421">
        <v>0.06</v>
      </c>
      <c r="K104" s="405"/>
    </row>
    <row r="105" spans="1:11">
      <c r="A105" s="2">
        <v>95</v>
      </c>
      <c r="B105" s="230">
        <v>392.48</v>
      </c>
      <c r="C105" s="230" t="s">
        <v>426</v>
      </c>
      <c r="D105" s="230" t="s">
        <v>536</v>
      </c>
      <c r="E105" s="230"/>
      <c r="F105" s="50" t="s">
        <v>453</v>
      </c>
      <c r="G105" s="229"/>
      <c r="H105" s="50" t="s">
        <v>538</v>
      </c>
      <c r="I105" s="229"/>
      <c r="J105" s="421">
        <v>0.06</v>
      </c>
      <c r="K105" s="405"/>
    </row>
    <row r="106" spans="1:11">
      <c r="A106" s="2">
        <v>96</v>
      </c>
      <c r="B106" s="230">
        <v>392.49</v>
      </c>
      <c r="C106" s="230" t="s">
        <v>426</v>
      </c>
      <c r="D106" s="230" t="s">
        <v>536</v>
      </c>
      <c r="E106" s="230"/>
      <c r="F106" s="50" t="s">
        <v>453</v>
      </c>
      <c r="G106" s="229"/>
      <c r="H106" s="50" t="s">
        <v>539</v>
      </c>
      <c r="I106" s="229"/>
      <c r="J106" s="421">
        <v>0.06</v>
      </c>
      <c r="K106" s="405"/>
    </row>
    <row r="107" spans="1:11">
      <c r="A107" s="2">
        <v>97</v>
      </c>
      <c r="B107" s="230">
        <v>393</v>
      </c>
      <c r="C107" s="230" t="s">
        <v>426</v>
      </c>
      <c r="D107" s="230" t="s">
        <v>540</v>
      </c>
      <c r="E107" s="230"/>
      <c r="F107" s="50" t="s">
        <v>453</v>
      </c>
      <c r="G107" s="229"/>
      <c r="H107" s="50" t="s">
        <v>541</v>
      </c>
      <c r="I107" s="229"/>
      <c r="J107" s="421">
        <v>0.06</v>
      </c>
      <c r="K107" s="405"/>
    </row>
    <row r="108" spans="1:11">
      <c r="A108" s="2">
        <v>98</v>
      </c>
      <c r="B108" s="230">
        <v>393.1</v>
      </c>
      <c r="C108" s="230" t="s">
        <v>426</v>
      </c>
      <c r="D108" s="230" t="s">
        <v>540</v>
      </c>
      <c r="E108" s="230"/>
      <c r="F108" s="50" t="s">
        <v>453</v>
      </c>
      <c r="G108" s="229"/>
      <c r="H108" s="50" t="s">
        <v>542</v>
      </c>
      <c r="I108" s="229"/>
      <c r="J108" s="421">
        <v>0.06</v>
      </c>
      <c r="K108" s="405"/>
    </row>
    <row r="109" spans="1:11">
      <c r="A109" s="2">
        <v>99</v>
      </c>
      <c r="B109" s="230">
        <v>393.2</v>
      </c>
      <c r="C109" s="230" t="s">
        <v>426</v>
      </c>
      <c r="D109" s="230" t="s">
        <v>540</v>
      </c>
      <c r="E109" s="230"/>
      <c r="F109" s="50" t="s">
        <v>453</v>
      </c>
      <c r="G109" s="229"/>
      <c r="H109" s="50" t="s">
        <v>543</v>
      </c>
      <c r="I109" s="229"/>
      <c r="J109" s="421">
        <v>0.06</v>
      </c>
      <c r="K109" s="405"/>
    </row>
    <row r="110" spans="1:11">
      <c r="A110" s="2">
        <v>100</v>
      </c>
      <c r="B110" s="230">
        <v>394</v>
      </c>
      <c r="C110" s="230" t="s">
        <v>426</v>
      </c>
      <c r="D110" s="230" t="s">
        <v>544</v>
      </c>
      <c r="E110" s="230"/>
      <c r="F110" s="50" t="s">
        <v>453</v>
      </c>
      <c r="G110" s="229"/>
      <c r="H110" s="50" t="s">
        <v>545</v>
      </c>
      <c r="I110" s="229"/>
      <c r="J110" s="421">
        <v>0.06</v>
      </c>
      <c r="K110" s="405"/>
    </row>
    <row r="111" spans="1:11">
      <c r="A111" s="2">
        <v>101</v>
      </c>
      <c r="B111" s="230">
        <v>394.01</v>
      </c>
      <c r="C111" s="230" t="s">
        <v>426</v>
      </c>
      <c r="D111" s="230" t="s">
        <v>1377</v>
      </c>
      <c r="E111" s="230"/>
      <c r="F111" s="50" t="s">
        <v>453</v>
      </c>
      <c r="G111" s="229"/>
      <c r="H111" s="50" t="s">
        <v>1448</v>
      </c>
      <c r="I111" s="229"/>
      <c r="J111" s="421">
        <v>0.06</v>
      </c>
      <c r="K111" s="405"/>
    </row>
    <row r="112" spans="1:11">
      <c r="A112" s="2">
        <v>102</v>
      </c>
      <c r="B112" s="230">
        <v>394.1</v>
      </c>
      <c r="C112" s="230" t="s">
        <v>426</v>
      </c>
      <c r="D112" s="230" t="s">
        <v>544</v>
      </c>
      <c r="E112" s="230"/>
      <c r="F112" s="50" t="s">
        <v>453</v>
      </c>
      <c r="G112" s="229"/>
      <c r="H112" s="50" t="s">
        <v>546</v>
      </c>
      <c r="I112" s="229"/>
      <c r="J112" s="421">
        <v>0.06</v>
      </c>
      <c r="K112" s="405"/>
    </row>
    <row r="113" spans="1:12">
      <c r="A113" s="2">
        <v>103</v>
      </c>
      <c r="B113" s="230">
        <v>394.2</v>
      </c>
      <c r="C113" s="230" t="s">
        <v>426</v>
      </c>
      <c r="D113" s="230" t="s">
        <v>544</v>
      </c>
      <c r="E113" s="230"/>
      <c r="F113" s="50" t="s">
        <v>453</v>
      </c>
      <c r="G113" s="229"/>
      <c r="H113" s="50" t="s">
        <v>547</v>
      </c>
      <c r="I113" s="229"/>
      <c r="J113" s="421">
        <v>0.06</v>
      </c>
      <c r="K113" s="405"/>
    </row>
    <row r="114" spans="1:12">
      <c r="A114" s="2">
        <v>104</v>
      </c>
      <c r="B114" s="230">
        <v>394.3</v>
      </c>
      <c r="C114" s="230" t="s">
        <v>426</v>
      </c>
      <c r="D114" s="230" t="s">
        <v>544</v>
      </c>
      <c r="E114" s="230"/>
      <c r="F114" s="50" t="s">
        <v>453</v>
      </c>
      <c r="G114" s="229"/>
      <c r="H114" s="50" t="s">
        <v>548</v>
      </c>
      <c r="I114" s="229"/>
      <c r="J114" s="421">
        <v>0.06</v>
      </c>
      <c r="K114" s="405"/>
    </row>
    <row r="115" spans="1:12">
      <c r="A115" s="2">
        <v>105</v>
      </c>
      <c r="B115" s="230">
        <v>394.48</v>
      </c>
      <c r="C115" s="230" t="s">
        <v>426</v>
      </c>
      <c r="D115" s="230" t="s">
        <v>544</v>
      </c>
      <c r="E115" s="230"/>
      <c r="F115" s="50" t="s">
        <v>453</v>
      </c>
      <c r="G115" s="229"/>
      <c r="H115" s="50" t="s">
        <v>549</v>
      </c>
      <c r="I115" s="229"/>
      <c r="J115" s="421">
        <v>0.06</v>
      </c>
      <c r="K115" s="405"/>
    </row>
    <row r="116" spans="1:12">
      <c r="A116" s="2">
        <v>106</v>
      </c>
      <c r="B116" s="230">
        <v>394.49</v>
      </c>
      <c r="C116" s="230" t="s">
        <v>426</v>
      </c>
      <c r="D116" s="230" t="s">
        <v>544</v>
      </c>
      <c r="E116" s="230"/>
      <c r="F116" s="50" t="s">
        <v>453</v>
      </c>
      <c r="G116" s="229"/>
      <c r="H116" s="50" t="s">
        <v>550</v>
      </c>
      <c r="I116" s="229"/>
      <c r="J116" s="421">
        <v>0.06</v>
      </c>
      <c r="K116" s="405"/>
    </row>
    <row r="117" spans="1:12" ht="15.6">
      <c r="A117" s="2">
        <v>107</v>
      </c>
      <c r="B117" s="2">
        <v>395</v>
      </c>
      <c r="C117" s="2" t="s">
        <v>426</v>
      </c>
      <c r="D117" s="2" t="s">
        <v>551</v>
      </c>
      <c r="F117" s="2" t="s">
        <v>453</v>
      </c>
      <c r="H117" s="2" t="s">
        <v>552</v>
      </c>
      <c r="J117" s="421">
        <v>0.06</v>
      </c>
      <c r="K117" s="405"/>
      <c r="L117" s="428"/>
    </row>
    <row r="118" spans="1:12" ht="15.6">
      <c r="A118" s="2">
        <v>108</v>
      </c>
      <c r="B118" s="371">
        <v>395.02</v>
      </c>
      <c r="C118" s="2" t="s">
        <v>426</v>
      </c>
      <c r="D118" s="2" t="s">
        <v>551</v>
      </c>
      <c r="F118" s="2" t="s">
        <v>453</v>
      </c>
      <c r="H118" s="2" t="s">
        <v>553</v>
      </c>
      <c r="J118" s="421">
        <v>0.06</v>
      </c>
      <c r="K118" s="405"/>
      <c r="L118" s="428"/>
    </row>
    <row r="119" spans="1:12" ht="15.6">
      <c r="A119" s="2">
        <v>109</v>
      </c>
      <c r="B119" s="2">
        <v>395.1</v>
      </c>
      <c r="C119" s="2" t="s">
        <v>426</v>
      </c>
      <c r="D119" s="2" t="s">
        <v>551</v>
      </c>
      <c r="F119" s="2" t="s">
        <v>453</v>
      </c>
      <c r="H119" s="2" t="s">
        <v>554</v>
      </c>
      <c r="J119" s="421">
        <v>0.06</v>
      </c>
      <c r="K119" s="405"/>
      <c r="L119" s="428"/>
    </row>
    <row r="120" spans="1:12" ht="15.6">
      <c r="A120" s="2">
        <v>110</v>
      </c>
      <c r="B120" s="2">
        <v>395.5</v>
      </c>
      <c r="C120" s="2" t="s">
        <v>426</v>
      </c>
      <c r="D120" s="2" t="s">
        <v>551</v>
      </c>
      <c r="F120" s="2" t="s">
        <v>453</v>
      </c>
      <c r="H120" s="2" t="s">
        <v>555</v>
      </c>
      <c r="J120" s="421">
        <v>0.06</v>
      </c>
      <c r="K120" s="405"/>
      <c r="L120" s="428"/>
    </row>
    <row r="121" spans="1:12" ht="15.6">
      <c r="A121" s="2">
        <v>111</v>
      </c>
      <c r="B121" s="2">
        <v>395.6</v>
      </c>
      <c r="C121" s="2" t="s">
        <v>426</v>
      </c>
      <c r="D121" s="2" t="s">
        <v>551</v>
      </c>
      <c r="F121" s="2" t="s">
        <v>453</v>
      </c>
      <c r="H121" s="2" t="s">
        <v>556</v>
      </c>
      <c r="J121" s="421">
        <v>0.06</v>
      </c>
      <c r="K121" s="405"/>
      <c r="L121" s="428"/>
    </row>
    <row r="122" spans="1:12" ht="15.6">
      <c r="A122" s="2">
        <v>112</v>
      </c>
      <c r="B122" s="2">
        <v>395.7</v>
      </c>
      <c r="C122" s="2" t="s">
        <v>426</v>
      </c>
      <c r="D122" s="2" t="s">
        <v>551</v>
      </c>
      <c r="F122" s="2" t="s">
        <v>453</v>
      </c>
      <c r="H122" s="2" t="s">
        <v>557</v>
      </c>
      <c r="J122" s="421">
        <v>0.06</v>
      </c>
      <c r="K122" s="405"/>
      <c r="L122" s="428"/>
    </row>
    <row r="123" spans="1:12" ht="15.6">
      <c r="A123" s="2">
        <v>113</v>
      </c>
      <c r="B123" s="2">
        <v>396</v>
      </c>
      <c r="C123" s="2" t="s">
        <v>426</v>
      </c>
      <c r="D123" s="2" t="s">
        <v>558</v>
      </c>
      <c r="F123" s="2" t="s">
        <v>453</v>
      </c>
      <c r="H123" s="2" t="s">
        <v>559</v>
      </c>
      <c r="J123" s="421">
        <v>0.06</v>
      </c>
      <c r="K123" s="405"/>
      <c r="L123" s="428"/>
    </row>
    <row r="124" spans="1:12" ht="15.6">
      <c r="A124" s="2">
        <v>114</v>
      </c>
      <c r="B124" s="2">
        <v>396.1</v>
      </c>
      <c r="C124" s="2" t="s">
        <v>426</v>
      </c>
      <c r="D124" s="2" t="s">
        <v>558</v>
      </c>
      <c r="F124" s="2" t="s">
        <v>453</v>
      </c>
      <c r="H124" s="2" t="s">
        <v>560</v>
      </c>
      <c r="J124" s="421">
        <v>0.06</v>
      </c>
      <c r="K124" s="405"/>
      <c r="L124" s="428"/>
    </row>
    <row r="125" spans="1:12" ht="15.6">
      <c r="A125" s="2">
        <v>115</v>
      </c>
      <c r="B125" s="2">
        <v>396.2</v>
      </c>
      <c r="C125" s="2" t="s">
        <v>426</v>
      </c>
      <c r="D125" s="2" t="s">
        <v>558</v>
      </c>
      <c r="F125" s="2" t="s">
        <v>453</v>
      </c>
      <c r="H125" s="2" t="s">
        <v>561</v>
      </c>
      <c r="J125" s="421">
        <v>0.06</v>
      </c>
      <c r="K125" s="405"/>
      <c r="L125" s="428"/>
    </row>
    <row r="126" spans="1:12" ht="15.6">
      <c r="A126" s="2">
        <v>116</v>
      </c>
      <c r="B126" s="2">
        <v>397</v>
      </c>
      <c r="C126" s="2" t="s">
        <v>426</v>
      </c>
      <c r="D126" s="2" t="s">
        <v>562</v>
      </c>
      <c r="F126" s="2" t="s">
        <v>453</v>
      </c>
      <c r="H126" s="2" t="s">
        <v>563</v>
      </c>
      <c r="J126" s="421">
        <v>8.004E-2</v>
      </c>
      <c r="K126" s="405"/>
      <c r="L126" s="428"/>
    </row>
    <row r="127" spans="1:12" ht="15.6">
      <c r="A127" s="2">
        <v>117</v>
      </c>
      <c r="B127" s="2">
        <v>397.01</v>
      </c>
      <c r="C127" s="2" t="s">
        <v>426</v>
      </c>
      <c r="D127" s="2" t="s">
        <v>562</v>
      </c>
      <c r="F127" s="2" t="s">
        <v>453</v>
      </c>
      <c r="H127" s="2" t="s">
        <v>564</v>
      </c>
      <c r="J127" s="421">
        <v>0.06</v>
      </c>
      <c r="K127" s="405"/>
      <c r="L127" s="428"/>
    </row>
    <row r="128" spans="1:12" ht="15.6">
      <c r="A128" s="2">
        <v>118</v>
      </c>
      <c r="B128" s="2">
        <v>397.02</v>
      </c>
      <c r="C128" s="2" t="s">
        <v>426</v>
      </c>
      <c r="D128" s="2" t="s">
        <v>562</v>
      </c>
      <c r="F128" s="2" t="s">
        <v>453</v>
      </c>
      <c r="H128" s="2" t="s">
        <v>565</v>
      </c>
      <c r="J128" s="421">
        <v>8.004E-2</v>
      </c>
      <c r="K128" s="405"/>
      <c r="L128" s="428"/>
    </row>
    <row r="129" spans="1:12" ht="15.6">
      <c r="A129" s="2">
        <v>119</v>
      </c>
      <c r="B129" s="2">
        <v>397.03</v>
      </c>
      <c r="C129" s="2" t="s">
        <v>426</v>
      </c>
      <c r="D129" s="2" t="s">
        <v>562</v>
      </c>
      <c r="F129" s="2" t="s">
        <v>453</v>
      </c>
      <c r="H129" s="2" t="s">
        <v>566</v>
      </c>
      <c r="J129" s="421">
        <v>0.06</v>
      </c>
      <c r="K129" s="405"/>
      <c r="L129" s="428"/>
    </row>
    <row r="130" spans="1:12" ht="15.6">
      <c r="A130" s="2">
        <v>120</v>
      </c>
      <c r="B130" s="2">
        <v>397.04</v>
      </c>
      <c r="C130" s="2" t="s">
        <v>426</v>
      </c>
      <c r="D130" s="2" t="s">
        <v>562</v>
      </c>
      <c r="F130" s="2" t="s">
        <v>453</v>
      </c>
      <c r="H130" s="2" t="s">
        <v>567</v>
      </c>
      <c r="J130" s="421">
        <v>8.004E-2</v>
      </c>
      <c r="K130" s="405"/>
      <c r="L130" s="428"/>
    </row>
    <row r="131" spans="1:12">
      <c r="A131" s="2">
        <v>121</v>
      </c>
      <c r="B131" s="2">
        <v>397.05</v>
      </c>
      <c r="C131" s="2" t="s">
        <v>426</v>
      </c>
      <c r="D131" s="2" t="s">
        <v>562</v>
      </c>
      <c r="F131" s="2" t="s">
        <v>453</v>
      </c>
      <c r="H131" s="2" t="s">
        <v>568</v>
      </c>
      <c r="J131" s="421">
        <v>8.004E-2</v>
      </c>
      <c r="K131" s="405"/>
    </row>
    <row r="132" spans="1:12">
      <c r="A132" s="2">
        <v>122</v>
      </c>
      <c r="B132" s="2">
        <v>397.06</v>
      </c>
      <c r="C132" s="2" t="s">
        <v>426</v>
      </c>
      <c r="D132" s="2" t="s">
        <v>562</v>
      </c>
      <c r="F132" s="2" t="s">
        <v>453</v>
      </c>
      <c r="H132" s="2" t="s">
        <v>569</v>
      </c>
      <c r="J132" s="421">
        <v>0.06</v>
      </c>
    </row>
    <row r="133" spans="1:12">
      <c r="A133" s="2">
        <v>123</v>
      </c>
      <c r="B133" s="2">
        <v>397.1</v>
      </c>
      <c r="C133" s="2" t="s">
        <v>426</v>
      </c>
      <c r="D133" s="2" t="s">
        <v>562</v>
      </c>
      <c r="F133" s="2" t="s">
        <v>453</v>
      </c>
      <c r="H133" s="2" t="s">
        <v>570</v>
      </c>
      <c r="J133" s="421">
        <v>8.004E-2</v>
      </c>
    </row>
    <row r="134" spans="1:12">
      <c r="A134" s="2">
        <v>124</v>
      </c>
      <c r="B134" s="2">
        <v>397.49</v>
      </c>
      <c r="C134" s="2" t="s">
        <v>426</v>
      </c>
      <c r="D134" s="2" t="s">
        <v>562</v>
      </c>
      <c r="F134" s="2" t="s">
        <v>453</v>
      </c>
      <c r="H134" s="2" t="s">
        <v>571</v>
      </c>
      <c r="J134" s="421">
        <v>8.004E-2</v>
      </c>
    </row>
    <row r="135" spans="1:12">
      <c r="A135" s="2">
        <v>125</v>
      </c>
      <c r="B135" s="2">
        <v>398</v>
      </c>
      <c r="C135" s="2" t="s">
        <v>426</v>
      </c>
      <c r="D135" s="2" t="s">
        <v>572</v>
      </c>
      <c r="F135" s="2" t="s">
        <v>453</v>
      </c>
      <c r="H135" s="2" t="s">
        <v>573</v>
      </c>
      <c r="J135" s="421">
        <v>0.06</v>
      </c>
    </row>
    <row r="136" spans="1:12">
      <c r="A136" s="2">
        <v>125</v>
      </c>
      <c r="B136" s="2" t="s">
        <v>1306</v>
      </c>
    </row>
    <row r="137" spans="1:12">
      <c r="A137" s="2">
        <v>125</v>
      </c>
      <c r="B137" s="2" t="s">
        <v>1531</v>
      </c>
    </row>
  </sheetData>
  <pageMargins left="0.7" right="0.7" top="0.75" bottom="0.75" header="0.3" footer="0.3"/>
  <pageSetup scale="76" fitToHeight="4" orientation="landscape" horizontalDpi="1200" verticalDpi="1200" r:id="rId1"/>
  <headerFooter>
    <oddHeader>&amp;RPage &amp;P
Worksheet J</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287"/>
  <sheetViews>
    <sheetView zoomScaleNormal="100" workbookViewId="0">
      <selection activeCell="D214" sqref="D214"/>
    </sheetView>
  </sheetViews>
  <sheetFormatPr defaultColWidth="8" defaultRowHeight="13.2"/>
  <cols>
    <col min="1" max="1" width="5.8984375" style="45" customWidth="1"/>
    <col min="2" max="2" width="20.5" style="45" bestFit="1" customWidth="1"/>
    <col min="3" max="3" width="30.5" style="45" bestFit="1" customWidth="1"/>
    <col min="4" max="4" width="15.19921875" style="110" bestFit="1" customWidth="1"/>
    <col min="5" max="6" width="8" style="45"/>
    <col min="7" max="7" width="13.5" style="45" customWidth="1"/>
    <col min="8" max="9" width="12.09765625" style="45" customWidth="1"/>
    <col min="10" max="11" width="10.59765625" style="45" customWidth="1"/>
    <col min="12" max="12" width="11.8984375" style="45" customWidth="1"/>
    <col min="13" max="13" width="12.59765625" style="45" customWidth="1"/>
    <col min="14" max="14" width="3.69921875" style="45" customWidth="1"/>
    <col min="15" max="15" width="12.09765625" style="45" bestFit="1" customWidth="1"/>
    <col min="16" max="16" width="10" style="45" customWidth="1"/>
    <col min="17" max="16384" width="8" style="45"/>
  </cols>
  <sheetData>
    <row r="1" spans="1:18" ht="13.8">
      <c r="A1" s="41"/>
      <c r="B1" s="41"/>
      <c r="C1" s="41"/>
      <c r="D1" s="108"/>
      <c r="E1" s="41"/>
      <c r="F1" s="41"/>
      <c r="G1" s="41"/>
      <c r="H1" s="41"/>
      <c r="I1" s="41"/>
      <c r="J1" s="41"/>
      <c r="K1" s="41"/>
      <c r="L1" s="41"/>
      <c r="Q1" s="177"/>
    </row>
    <row r="2" spans="1:18" ht="15" customHeight="1">
      <c r="A2" s="41"/>
      <c r="B2" s="41"/>
      <c r="C2" s="41"/>
      <c r="D2" s="108"/>
      <c r="E2" s="41"/>
      <c r="F2" s="41"/>
      <c r="G2" s="41"/>
      <c r="H2" s="41"/>
      <c r="I2" s="41"/>
      <c r="J2" s="41"/>
      <c r="K2" s="41"/>
      <c r="L2" s="41"/>
      <c r="R2" s="177" t="s">
        <v>1466</v>
      </c>
    </row>
    <row r="3" spans="1:18" ht="15" customHeight="1">
      <c r="A3" s="41"/>
      <c r="B3" s="41"/>
      <c r="C3" s="41"/>
      <c r="D3" s="108"/>
      <c r="E3" s="41"/>
      <c r="F3" s="41"/>
      <c r="G3" s="41"/>
      <c r="H3" s="41"/>
      <c r="I3" s="41"/>
      <c r="J3" s="41"/>
      <c r="K3" s="41"/>
      <c r="L3" s="41"/>
      <c r="M3" s="41"/>
    </row>
    <row r="4" spans="1:18" ht="15" customHeight="1">
      <c r="A4" s="376" t="str">
        <f>Index!B4</f>
        <v>Western Farmers Electric Cooperative, Inc.</v>
      </c>
      <c r="B4" s="41"/>
      <c r="C4" s="41"/>
      <c r="D4" s="108"/>
      <c r="E4" s="41"/>
      <c r="F4" s="41"/>
      <c r="G4" s="41"/>
      <c r="H4" s="41"/>
      <c r="I4" s="41"/>
      <c r="J4" s="41"/>
      <c r="K4" s="41"/>
      <c r="L4" s="41"/>
      <c r="M4" s="41"/>
    </row>
    <row r="5" spans="1:18" ht="15" customHeight="1">
      <c r="A5" s="1"/>
      <c r="B5" s="41"/>
      <c r="C5" s="41"/>
      <c r="D5" s="108"/>
      <c r="E5" s="41"/>
      <c r="F5" s="41"/>
      <c r="G5" s="41"/>
      <c r="H5" s="41"/>
      <c r="I5" s="41"/>
      <c r="J5" s="41"/>
      <c r="K5" s="41"/>
      <c r="L5" s="41"/>
      <c r="M5" s="41"/>
    </row>
    <row r="6" spans="1:18" ht="15" customHeight="1">
      <c r="A6" s="1" t="s">
        <v>574</v>
      </c>
      <c r="B6" s="41"/>
      <c r="C6" s="41"/>
      <c r="D6" s="108"/>
      <c r="E6" s="41"/>
      <c r="F6" s="41"/>
      <c r="G6" s="41"/>
      <c r="H6" s="41"/>
      <c r="I6" s="41"/>
      <c r="J6" s="41"/>
      <c r="K6" s="41"/>
      <c r="L6" s="41"/>
      <c r="M6" s="41"/>
    </row>
    <row r="7" spans="1:18" ht="15" customHeight="1">
      <c r="A7" s="376" t="str">
        <f>Index!B6</f>
        <v>Year Ending December 31, 2016</v>
      </c>
      <c r="B7" s="41"/>
      <c r="C7" s="41"/>
      <c r="D7" s="108"/>
      <c r="E7" s="41"/>
      <c r="F7" s="41"/>
      <c r="G7" s="41"/>
      <c r="H7" s="41"/>
      <c r="I7" s="41"/>
      <c r="J7" s="41"/>
      <c r="K7" s="41"/>
      <c r="L7" s="41"/>
      <c r="M7" s="41"/>
    </row>
    <row r="8" spans="1:18" ht="15" customHeight="1">
      <c r="A8" s="41"/>
      <c r="B8" s="41"/>
      <c r="C8" s="41"/>
      <c r="D8" s="108"/>
      <c r="E8" s="41"/>
      <c r="F8" s="41"/>
      <c r="G8" s="41"/>
      <c r="H8" s="41"/>
      <c r="I8" s="41"/>
      <c r="J8" s="41"/>
      <c r="K8" s="41"/>
      <c r="L8" s="41"/>
      <c r="M8" s="41"/>
    </row>
    <row r="9" spans="1:18">
      <c r="D9" s="45"/>
    </row>
    <row r="10" spans="1:18" ht="13.8">
      <c r="A10" s="84" t="s">
        <v>3</v>
      </c>
      <c r="B10" s="84" t="s">
        <v>4</v>
      </c>
      <c r="C10" s="84" t="s">
        <v>5</v>
      </c>
      <c r="D10" s="84" t="s">
        <v>9</v>
      </c>
      <c r="E10" s="84" t="s">
        <v>10</v>
      </c>
      <c r="F10" s="84" t="s">
        <v>11</v>
      </c>
      <c r="G10" s="84" t="s">
        <v>12</v>
      </c>
      <c r="H10" s="84" t="s">
        <v>13</v>
      </c>
      <c r="I10" s="84" t="s">
        <v>14</v>
      </c>
      <c r="J10" s="84" t="s">
        <v>15</v>
      </c>
      <c r="K10" s="84" t="s">
        <v>60</v>
      </c>
      <c r="L10" s="84" t="s">
        <v>422</v>
      </c>
      <c r="M10" s="84" t="s">
        <v>423</v>
      </c>
      <c r="O10" s="84" t="s">
        <v>424</v>
      </c>
    </row>
    <row r="11" spans="1:18" ht="27.6">
      <c r="A11" s="200" t="s">
        <v>16</v>
      </c>
      <c r="B11" s="221" t="s">
        <v>446</v>
      </c>
      <c r="C11" s="222" t="s">
        <v>575</v>
      </c>
      <c r="D11" s="221" t="s">
        <v>576</v>
      </c>
      <c r="E11" s="223" t="s">
        <v>577</v>
      </c>
      <c r="F11" s="223" t="s">
        <v>578</v>
      </c>
      <c r="G11" s="223" t="s">
        <v>579</v>
      </c>
      <c r="H11" s="223" t="s">
        <v>580</v>
      </c>
      <c r="I11" s="223" t="s">
        <v>327</v>
      </c>
      <c r="J11" s="223" t="s">
        <v>581</v>
      </c>
      <c r="K11" s="223" t="s">
        <v>582</v>
      </c>
      <c r="L11" s="223" t="s">
        <v>583</v>
      </c>
      <c r="M11" s="223" t="s">
        <v>584</v>
      </c>
      <c r="O11" s="223" t="s">
        <v>1382</v>
      </c>
    </row>
    <row r="12" spans="1:18" ht="13.8">
      <c r="A12" s="43">
        <v>1</v>
      </c>
      <c r="B12" s="112" t="s">
        <v>585</v>
      </c>
      <c r="C12" s="44"/>
      <c r="D12" s="109"/>
      <c r="E12" s="41"/>
      <c r="F12" s="41"/>
      <c r="G12" s="41"/>
      <c r="H12" s="41"/>
      <c r="I12" s="41"/>
      <c r="J12" s="41"/>
      <c r="K12" s="41"/>
      <c r="L12" s="41"/>
      <c r="M12" s="41"/>
    </row>
    <row r="13" spans="1:18" ht="13.8">
      <c r="A13" s="43">
        <f t="shared" ref="A13:A76" si="0">SUM(A12+1)</f>
        <v>2</v>
      </c>
      <c r="B13" s="44" t="s">
        <v>586</v>
      </c>
      <c r="C13" s="44" t="s">
        <v>587</v>
      </c>
      <c r="D13" s="507">
        <v>347816.19</v>
      </c>
      <c r="E13" s="43" t="str">
        <f t="shared" ref="E13:E45" si="1">LEFT(B13,3)</f>
        <v>500</v>
      </c>
      <c r="F13" s="41" t="str">
        <f t="shared" ref="F13:F45" si="2">RIGHT(B13,LEN(B13)-3)</f>
        <v>01</v>
      </c>
      <c r="G13" s="9">
        <f>$D13</f>
        <v>347816.19</v>
      </c>
      <c r="H13" s="9"/>
      <c r="I13" s="9"/>
      <c r="J13" s="9"/>
      <c r="K13" s="9"/>
      <c r="L13" s="9"/>
      <c r="M13" s="9"/>
    </row>
    <row r="14" spans="1:18" ht="13.8">
      <c r="A14" s="43">
        <f t="shared" si="0"/>
        <v>3</v>
      </c>
      <c r="B14" s="44" t="s">
        <v>588</v>
      </c>
      <c r="C14" s="44" t="s">
        <v>589</v>
      </c>
      <c r="D14" s="507">
        <v>1715.26</v>
      </c>
      <c r="E14" s="43" t="str">
        <f t="shared" si="1"/>
        <v>501</v>
      </c>
      <c r="F14" s="41" t="str">
        <f t="shared" si="2"/>
        <v>0101</v>
      </c>
      <c r="G14" s="9">
        <f t="shared" ref="G14:G37" si="3">$D14</f>
        <v>1715.26</v>
      </c>
      <c r="H14" s="9"/>
      <c r="I14" s="9"/>
      <c r="J14" s="9"/>
      <c r="K14" s="9"/>
      <c r="L14" s="9"/>
      <c r="M14" s="9"/>
    </row>
    <row r="15" spans="1:18" ht="13.8">
      <c r="A15" s="43">
        <f t="shared" si="0"/>
        <v>4</v>
      </c>
      <c r="B15" s="44" t="s">
        <v>590</v>
      </c>
      <c r="C15" s="44" t="s">
        <v>591</v>
      </c>
      <c r="D15" s="507">
        <v>134639.12</v>
      </c>
      <c r="E15" s="43" t="str">
        <f t="shared" si="1"/>
        <v>501</v>
      </c>
      <c r="F15" s="41" t="str">
        <f t="shared" si="2"/>
        <v>0104</v>
      </c>
      <c r="G15" s="9">
        <f t="shared" si="3"/>
        <v>134639.12</v>
      </c>
      <c r="H15" s="9"/>
      <c r="I15" s="9"/>
      <c r="J15" s="9"/>
      <c r="K15" s="9"/>
      <c r="L15" s="9"/>
      <c r="M15" s="9"/>
    </row>
    <row r="16" spans="1:18" ht="13.8">
      <c r="A16" s="43">
        <f t="shared" si="0"/>
        <v>5</v>
      </c>
      <c r="B16" s="44" t="s">
        <v>592</v>
      </c>
      <c r="C16" s="44" t="s">
        <v>593</v>
      </c>
      <c r="D16" s="507">
        <v>1784008.73</v>
      </c>
      <c r="E16" s="43" t="str">
        <f t="shared" si="1"/>
        <v>502</v>
      </c>
      <c r="F16" s="41" t="str">
        <f t="shared" si="2"/>
        <v>01</v>
      </c>
      <c r="G16" s="9">
        <f t="shared" si="3"/>
        <v>1784008.73</v>
      </c>
      <c r="H16" s="9"/>
      <c r="I16" s="9"/>
      <c r="J16" s="9"/>
      <c r="K16" s="9"/>
      <c r="L16" s="9"/>
      <c r="M16" s="9"/>
    </row>
    <row r="17" spans="1:13" ht="13.8">
      <c r="A17" s="43">
        <f t="shared" si="0"/>
        <v>6</v>
      </c>
      <c r="B17" s="44" t="s">
        <v>594</v>
      </c>
      <c r="C17" s="44" t="s">
        <v>595</v>
      </c>
      <c r="D17" s="507">
        <v>1383864.83</v>
      </c>
      <c r="E17" s="43" t="str">
        <f t="shared" si="1"/>
        <v>505</v>
      </c>
      <c r="F17" s="41" t="str">
        <f t="shared" si="2"/>
        <v>01</v>
      </c>
      <c r="G17" s="9">
        <f t="shared" si="3"/>
        <v>1383864.83</v>
      </c>
      <c r="H17" s="9"/>
      <c r="I17" s="9"/>
      <c r="J17" s="9"/>
      <c r="K17" s="9"/>
      <c r="L17" s="9"/>
      <c r="M17" s="9"/>
    </row>
    <row r="18" spans="1:13" ht="13.8">
      <c r="A18" s="43">
        <f t="shared" si="0"/>
        <v>7</v>
      </c>
      <c r="B18" s="44" t="s">
        <v>596</v>
      </c>
      <c r="C18" s="44" t="s">
        <v>597</v>
      </c>
      <c r="D18" s="507">
        <v>1051133.68</v>
      </c>
      <c r="E18" s="43" t="str">
        <f t="shared" si="1"/>
        <v>506</v>
      </c>
      <c r="F18" s="41" t="str">
        <f t="shared" si="2"/>
        <v>01</v>
      </c>
      <c r="G18" s="9">
        <f t="shared" si="3"/>
        <v>1051133.68</v>
      </c>
      <c r="H18" s="9"/>
      <c r="I18" s="9"/>
      <c r="J18" s="9"/>
      <c r="K18" s="9"/>
      <c r="L18" s="9"/>
      <c r="M18" s="9"/>
    </row>
    <row r="19" spans="1:13" ht="13.8">
      <c r="A19" s="43">
        <f t="shared" si="0"/>
        <v>8</v>
      </c>
      <c r="B19" s="44" t="s">
        <v>598</v>
      </c>
      <c r="C19" s="44" t="s">
        <v>599</v>
      </c>
      <c r="D19" s="507">
        <v>97900.87</v>
      </c>
      <c r="E19" s="43" t="str">
        <f t="shared" si="1"/>
        <v>506</v>
      </c>
      <c r="F19" s="41" t="str">
        <f t="shared" si="2"/>
        <v>0145</v>
      </c>
      <c r="G19" s="9">
        <f t="shared" si="3"/>
        <v>97900.87</v>
      </c>
      <c r="H19" s="9"/>
      <c r="I19" s="9"/>
      <c r="J19" s="9"/>
      <c r="K19" s="9"/>
      <c r="L19" s="9"/>
      <c r="M19" s="9"/>
    </row>
    <row r="20" spans="1:13" ht="13.8">
      <c r="A20" s="43">
        <f t="shared" si="0"/>
        <v>9</v>
      </c>
      <c r="B20" s="44" t="s">
        <v>600</v>
      </c>
      <c r="C20" s="44" t="s">
        <v>601</v>
      </c>
      <c r="D20" s="507">
        <v>526643.03</v>
      </c>
      <c r="E20" s="43" t="str">
        <f t="shared" si="1"/>
        <v>510</v>
      </c>
      <c r="F20" s="41" t="str">
        <f t="shared" si="2"/>
        <v>01</v>
      </c>
      <c r="G20" s="9">
        <f t="shared" si="3"/>
        <v>526643.03</v>
      </c>
      <c r="H20" s="9"/>
      <c r="I20" s="9"/>
      <c r="J20" s="9"/>
      <c r="K20" s="9"/>
      <c r="L20" s="9"/>
      <c r="M20" s="9"/>
    </row>
    <row r="21" spans="1:13" ht="13.8">
      <c r="A21" s="44">
        <f t="shared" si="0"/>
        <v>10</v>
      </c>
      <c r="B21" s="44" t="s">
        <v>602</v>
      </c>
      <c r="C21" s="44" t="s">
        <v>603</v>
      </c>
      <c r="D21" s="507">
        <v>297879.18</v>
      </c>
      <c r="E21" s="43" t="str">
        <f t="shared" si="1"/>
        <v>511</v>
      </c>
      <c r="F21" s="41" t="str">
        <f t="shared" si="2"/>
        <v>01</v>
      </c>
      <c r="G21" s="9">
        <f t="shared" si="3"/>
        <v>297879.18</v>
      </c>
      <c r="H21" s="9"/>
      <c r="I21" s="9"/>
      <c r="J21" s="9"/>
      <c r="K21" s="9"/>
      <c r="L21" s="9"/>
      <c r="M21" s="9"/>
    </row>
    <row r="22" spans="1:13" ht="13.8">
      <c r="A22" s="43">
        <f t="shared" si="0"/>
        <v>11</v>
      </c>
      <c r="B22" s="44" t="s">
        <v>604</v>
      </c>
      <c r="C22" s="44" t="s">
        <v>605</v>
      </c>
      <c r="D22" s="507">
        <v>1533894.66</v>
      </c>
      <c r="E22" s="43" t="str">
        <f t="shared" si="1"/>
        <v>512</v>
      </c>
      <c r="F22" s="41" t="str">
        <f t="shared" si="2"/>
        <v>01</v>
      </c>
      <c r="G22" s="9">
        <f t="shared" si="3"/>
        <v>1533894.66</v>
      </c>
      <c r="H22" s="9"/>
      <c r="I22" s="9"/>
      <c r="J22" s="9"/>
      <c r="K22" s="9"/>
      <c r="L22" s="9"/>
      <c r="M22" s="9"/>
    </row>
    <row r="23" spans="1:13" ht="13.8">
      <c r="A23" s="43">
        <f t="shared" si="0"/>
        <v>12</v>
      </c>
      <c r="B23" s="44" t="s">
        <v>606</v>
      </c>
      <c r="C23" s="44" t="s">
        <v>607</v>
      </c>
      <c r="D23" s="507">
        <v>847690.41</v>
      </c>
      <c r="E23" s="43" t="str">
        <f t="shared" si="1"/>
        <v>513</v>
      </c>
      <c r="F23" s="41" t="str">
        <f t="shared" si="2"/>
        <v>01</v>
      </c>
      <c r="G23" s="9">
        <f t="shared" si="3"/>
        <v>847690.41</v>
      </c>
      <c r="H23" s="9"/>
      <c r="I23" s="9"/>
      <c r="J23" s="9"/>
      <c r="K23" s="9"/>
      <c r="L23" s="9"/>
      <c r="M23" s="9"/>
    </row>
    <row r="24" spans="1:13" ht="13.8">
      <c r="A24" s="43">
        <f t="shared" si="0"/>
        <v>13</v>
      </c>
      <c r="B24" s="44" t="s">
        <v>608</v>
      </c>
      <c r="C24" s="44" t="s">
        <v>609</v>
      </c>
      <c r="D24" s="507">
        <v>-300.83999999999997</v>
      </c>
      <c r="E24" s="43" t="str">
        <f t="shared" si="1"/>
        <v>513</v>
      </c>
      <c r="F24" s="41" t="str">
        <f t="shared" si="2"/>
        <v>0101</v>
      </c>
      <c r="G24" s="9">
        <f t="shared" si="3"/>
        <v>-300.83999999999997</v>
      </c>
      <c r="H24" s="9"/>
      <c r="I24" s="9"/>
      <c r="J24" s="9"/>
      <c r="K24" s="9"/>
      <c r="L24" s="9"/>
      <c r="M24" s="9"/>
    </row>
    <row r="25" spans="1:13" ht="13.8">
      <c r="A25" s="43">
        <f t="shared" si="0"/>
        <v>14</v>
      </c>
      <c r="B25" s="44" t="s">
        <v>610</v>
      </c>
      <c r="C25" s="44" t="s">
        <v>611</v>
      </c>
      <c r="D25" s="507">
        <v>82011.27</v>
      </c>
      <c r="E25" s="43" t="str">
        <f t="shared" si="1"/>
        <v>514</v>
      </c>
      <c r="F25" s="41" t="str">
        <f t="shared" si="2"/>
        <v>01</v>
      </c>
      <c r="G25" s="9">
        <f t="shared" si="3"/>
        <v>82011.27</v>
      </c>
      <c r="H25" s="9"/>
      <c r="I25" s="9"/>
      <c r="J25" s="9"/>
      <c r="K25" s="9"/>
      <c r="L25" s="9"/>
      <c r="M25" s="9"/>
    </row>
    <row r="26" spans="1:13" ht="13.8">
      <c r="A26" s="43">
        <f t="shared" si="0"/>
        <v>15</v>
      </c>
      <c r="B26" s="44" t="s">
        <v>612</v>
      </c>
      <c r="C26" s="44" t="s">
        <v>613</v>
      </c>
      <c r="D26" s="507">
        <v>340196.11</v>
      </c>
      <c r="E26" s="43" t="str">
        <f t="shared" si="1"/>
        <v>546</v>
      </c>
      <c r="F26" s="41" t="str">
        <f t="shared" si="2"/>
        <v>01</v>
      </c>
      <c r="G26" s="9">
        <f t="shared" si="3"/>
        <v>340196.11</v>
      </c>
      <c r="H26" s="9"/>
      <c r="I26" s="9"/>
      <c r="J26" s="9"/>
      <c r="K26" s="9"/>
      <c r="L26" s="9"/>
      <c r="M26" s="9"/>
    </row>
    <row r="27" spans="1:13" ht="13.8">
      <c r="A27" s="43">
        <f t="shared" si="0"/>
        <v>16</v>
      </c>
      <c r="B27" s="111">
        <v>5460101</v>
      </c>
      <c r="C27" s="44" t="s">
        <v>1272</v>
      </c>
      <c r="D27" s="507">
        <v>9561.9</v>
      </c>
      <c r="E27" s="43" t="str">
        <f t="shared" si="1"/>
        <v>546</v>
      </c>
      <c r="F27" s="41" t="str">
        <f t="shared" si="2"/>
        <v>0101</v>
      </c>
      <c r="G27" s="9">
        <f t="shared" si="3"/>
        <v>9561.9</v>
      </c>
      <c r="H27" s="9"/>
      <c r="I27" s="9"/>
      <c r="J27" s="9"/>
      <c r="K27" s="9"/>
      <c r="L27" s="9"/>
      <c r="M27" s="9"/>
    </row>
    <row r="28" spans="1:13" ht="13.8">
      <c r="A28" s="43">
        <f t="shared" si="0"/>
        <v>17</v>
      </c>
      <c r="B28" s="44" t="s">
        <v>614</v>
      </c>
      <c r="C28" s="44" t="s">
        <v>615</v>
      </c>
      <c r="D28" s="507">
        <v>4103.8</v>
      </c>
      <c r="E28" s="43" t="str">
        <f t="shared" si="1"/>
        <v>547</v>
      </c>
      <c r="F28" s="41" t="str">
        <f t="shared" si="2"/>
        <v>0101</v>
      </c>
      <c r="G28" s="9">
        <f t="shared" si="3"/>
        <v>4103.8</v>
      </c>
      <c r="H28" s="9"/>
      <c r="I28" s="9"/>
      <c r="J28" s="9"/>
      <c r="K28" s="9"/>
      <c r="L28" s="9"/>
      <c r="M28" s="9"/>
    </row>
    <row r="29" spans="1:13" ht="13.8">
      <c r="A29" s="43">
        <f t="shared" si="0"/>
        <v>18</v>
      </c>
      <c r="B29" s="44" t="s">
        <v>616</v>
      </c>
      <c r="C29" s="44" t="s">
        <v>617</v>
      </c>
      <c r="D29" s="507">
        <v>1666910.77</v>
      </c>
      <c r="E29" s="43" t="str">
        <f t="shared" si="1"/>
        <v>548</v>
      </c>
      <c r="F29" s="41" t="str">
        <f t="shared" si="2"/>
        <v>01</v>
      </c>
      <c r="G29" s="9">
        <f t="shared" si="3"/>
        <v>1666910.77</v>
      </c>
      <c r="H29" s="9"/>
      <c r="I29" s="9"/>
      <c r="J29" s="9"/>
      <c r="K29" s="9"/>
      <c r="L29" s="9"/>
      <c r="M29" s="9"/>
    </row>
    <row r="30" spans="1:13" ht="13.8">
      <c r="A30" s="43">
        <f t="shared" si="0"/>
        <v>19</v>
      </c>
      <c r="B30" s="44" t="s">
        <v>618</v>
      </c>
      <c r="C30" s="44" t="s">
        <v>619</v>
      </c>
      <c r="D30" s="507">
        <v>503265.18</v>
      </c>
      <c r="E30" s="43" t="str">
        <f t="shared" si="1"/>
        <v>549</v>
      </c>
      <c r="F30" s="41" t="str">
        <f t="shared" si="2"/>
        <v>01</v>
      </c>
      <c r="G30" s="9">
        <f t="shared" si="3"/>
        <v>503265.18</v>
      </c>
      <c r="H30" s="9"/>
      <c r="I30" s="9"/>
      <c r="J30" s="9"/>
      <c r="K30" s="9"/>
      <c r="L30" s="9"/>
      <c r="M30" s="9"/>
    </row>
    <row r="31" spans="1:13" ht="13.8">
      <c r="A31" s="43">
        <f t="shared" si="0"/>
        <v>20</v>
      </c>
      <c r="B31" s="44" t="s">
        <v>620</v>
      </c>
      <c r="C31" s="44" t="s">
        <v>621</v>
      </c>
      <c r="D31" s="507">
        <v>73383.210000000006</v>
      </c>
      <c r="E31" s="43" t="str">
        <f t="shared" si="1"/>
        <v>549</v>
      </c>
      <c r="F31" s="41" t="str">
        <f t="shared" si="2"/>
        <v>0145</v>
      </c>
      <c r="G31" s="9">
        <f t="shared" si="3"/>
        <v>73383.210000000006</v>
      </c>
      <c r="H31" s="9"/>
      <c r="I31" s="9"/>
      <c r="J31" s="9"/>
      <c r="K31" s="9"/>
      <c r="L31" s="9"/>
      <c r="M31" s="9"/>
    </row>
    <row r="32" spans="1:13" ht="13.8">
      <c r="A32" s="43">
        <f t="shared" si="0"/>
        <v>21</v>
      </c>
      <c r="B32" s="44" t="s">
        <v>622</v>
      </c>
      <c r="C32" s="44" t="s">
        <v>623</v>
      </c>
      <c r="D32" s="507">
        <v>134249.79</v>
      </c>
      <c r="E32" s="43" t="str">
        <f t="shared" si="1"/>
        <v>551</v>
      </c>
      <c r="F32" s="41" t="str">
        <f t="shared" si="2"/>
        <v>01</v>
      </c>
      <c r="G32" s="9">
        <f t="shared" si="3"/>
        <v>134249.79</v>
      </c>
      <c r="H32" s="9"/>
      <c r="I32" s="9"/>
      <c r="J32" s="9"/>
      <c r="K32" s="9"/>
      <c r="L32" s="9"/>
      <c r="M32" s="9"/>
    </row>
    <row r="33" spans="1:15" ht="13.8">
      <c r="A33" s="43">
        <f t="shared" si="0"/>
        <v>22</v>
      </c>
      <c r="B33" s="44" t="s">
        <v>624</v>
      </c>
      <c r="C33" s="44" t="s">
        <v>625</v>
      </c>
      <c r="D33" s="507">
        <v>161698.31</v>
      </c>
      <c r="E33" s="43" t="str">
        <f t="shared" si="1"/>
        <v>552</v>
      </c>
      <c r="F33" s="41" t="str">
        <f t="shared" si="2"/>
        <v>01</v>
      </c>
      <c r="G33" s="9">
        <f t="shared" si="3"/>
        <v>161698.31</v>
      </c>
      <c r="H33" s="9"/>
      <c r="I33" s="9"/>
      <c r="J33" s="9"/>
      <c r="K33" s="9"/>
      <c r="L33" s="9"/>
      <c r="M33" s="9"/>
    </row>
    <row r="34" spans="1:15" ht="13.8">
      <c r="A34" s="43">
        <f t="shared" si="0"/>
        <v>23</v>
      </c>
      <c r="B34" s="44" t="s">
        <v>626</v>
      </c>
      <c r="C34" s="44" t="s">
        <v>627</v>
      </c>
      <c r="D34" s="507">
        <v>409151.42</v>
      </c>
      <c r="E34" s="43" t="str">
        <f t="shared" si="1"/>
        <v>553</v>
      </c>
      <c r="F34" s="41" t="str">
        <f t="shared" si="2"/>
        <v>01</v>
      </c>
      <c r="G34" s="9">
        <f t="shared" si="3"/>
        <v>409151.42</v>
      </c>
      <c r="H34" s="9"/>
      <c r="I34" s="9"/>
      <c r="J34" s="9"/>
      <c r="K34" s="9"/>
      <c r="L34" s="9"/>
      <c r="M34" s="9"/>
    </row>
    <row r="35" spans="1:15" ht="13.8">
      <c r="A35" s="43">
        <f t="shared" si="0"/>
        <v>24</v>
      </c>
      <c r="B35" s="44" t="s">
        <v>628</v>
      </c>
      <c r="C35" s="44" t="s">
        <v>629</v>
      </c>
      <c r="D35" s="507">
        <v>298346.63</v>
      </c>
      <c r="E35" s="43" t="str">
        <f t="shared" si="1"/>
        <v>554</v>
      </c>
      <c r="F35" s="41" t="str">
        <f t="shared" si="2"/>
        <v>01</v>
      </c>
      <c r="G35" s="9">
        <f t="shared" si="3"/>
        <v>298346.63</v>
      </c>
      <c r="H35" s="9"/>
      <c r="I35" s="9"/>
      <c r="J35" s="9"/>
      <c r="K35" s="9"/>
      <c r="L35" s="9"/>
      <c r="M35" s="9"/>
    </row>
    <row r="36" spans="1:15" ht="13.8">
      <c r="A36" s="43">
        <f t="shared" si="0"/>
        <v>25</v>
      </c>
      <c r="B36" s="44" t="s">
        <v>630</v>
      </c>
      <c r="C36" s="44" t="s">
        <v>631</v>
      </c>
      <c r="D36" s="507">
        <v>46745.78</v>
      </c>
      <c r="E36" s="43" t="str">
        <f t="shared" si="1"/>
        <v>556</v>
      </c>
      <c r="F36" s="41" t="str">
        <f t="shared" si="2"/>
        <v>0101</v>
      </c>
      <c r="G36" s="9">
        <f t="shared" si="3"/>
        <v>46745.78</v>
      </c>
      <c r="H36" s="9"/>
      <c r="I36" s="9"/>
      <c r="J36" s="9"/>
      <c r="K36" s="9"/>
      <c r="L36" s="9"/>
      <c r="M36" s="9"/>
    </row>
    <row r="37" spans="1:15" ht="13.8">
      <c r="A37" s="43">
        <f t="shared" si="0"/>
        <v>26</v>
      </c>
      <c r="B37" s="44" t="s">
        <v>632</v>
      </c>
      <c r="C37" s="44" t="s">
        <v>633</v>
      </c>
      <c r="D37" s="507">
        <v>19432.89</v>
      </c>
      <c r="E37" s="43" t="str">
        <f t="shared" si="1"/>
        <v>556</v>
      </c>
      <c r="F37" s="41" t="str">
        <f t="shared" si="2"/>
        <v>0103</v>
      </c>
      <c r="G37" s="9">
        <f t="shared" si="3"/>
        <v>19432.89</v>
      </c>
      <c r="H37" s="9"/>
      <c r="I37" s="9"/>
      <c r="J37" s="9"/>
      <c r="K37" s="9"/>
      <c r="L37" s="9"/>
      <c r="M37" s="9"/>
    </row>
    <row r="38" spans="1:15" ht="13.8">
      <c r="A38" s="43">
        <f t="shared" si="0"/>
        <v>27</v>
      </c>
      <c r="B38" s="44" t="s">
        <v>634</v>
      </c>
      <c r="C38" s="44" t="s">
        <v>635</v>
      </c>
      <c r="D38" s="507">
        <v>338721.23</v>
      </c>
      <c r="E38" s="43" t="str">
        <f t="shared" si="1"/>
        <v>560</v>
      </c>
      <c r="F38" s="41" t="str">
        <f t="shared" si="2"/>
        <v>01</v>
      </c>
      <c r="G38" s="9"/>
      <c r="H38" s="9">
        <f>$D38</f>
        <v>338721.23</v>
      </c>
      <c r="I38" s="9"/>
      <c r="J38" s="9"/>
      <c r="K38" s="9"/>
      <c r="L38" s="9"/>
      <c r="M38" s="9"/>
    </row>
    <row r="39" spans="1:15" ht="13.8">
      <c r="A39" s="43">
        <f t="shared" si="0"/>
        <v>28</v>
      </c>
      <c r="B39" s="44" t="s">
        <v>636</v>
      </c>
      <c r="C39" s="44" t="s">
        <v>637</v>
      </c>
      <c r="D39" s="507">
        <v>215090.92</v>
      </c>
      <c r="E39" s="43" t="str">
        <f t="shared" si="1"/>
        <v>561</v>
      </c>
      <c r="F39" s="41" t="str">
        <f t="shared" si="2"/>
        <v>01</v>
      </c>
      <c r="G39" s="9"/>
      <c r="I39" s="9"/>
      <c r="J39" s="9"/>
      <c r="K39" s="9"/>
      <c r="L39" s="9"/>
      <c r="M39" s="9"/>
      <c r="O39" s="9">
        <f t="shared" ref="H39:O55" si="4">$D39</f>
        <v>215090.92</v>
      </c>
    </row>
    <row r="40" spans="1:15" ht="13.8">
      <c r="A40" s="43">
        <f t="shared" si="0"/>
        <v>29</v>
      </c>
      <c r="B40" s="44" t="s">
        <v>638</v>
      </c>
      <c r="C40" s="44" t="s">
        <v>639</v>
      </c>
      <c r="D40" s="507">
        <v>752405.5</v>
      </c>
      <c r="E40" s="43" t="str">
        <f t="shared" si="1"/>
        <v>561</v>
      </c>
      <c r="F40" s="41" t="str">
        <f t="shared" si="2"/>
        <v>0101</v>
      </c>
      <c r="G40" s="9"/>
      <c r="I40" s="9"/>
      <c r="J40" s="9"/>
      <c r="K40" s="9"/>
      <c r="L40" s="9"/>
      <c r="M40" s="9"/>
      <c r="O40" s="9">
        <f t="shared" si="4"/>
        <v>752405.5</v>
      </c>
    </row>
    <row r="41" spans="1:15" ht="13.8">
      <c r="A41" s="43">
        <f t="shared" si="0"/>
        <v>30</v>
      </c>
      <c r="B41" s="44" t="s">
        <v>640</v>
      </c>
      <c r="C41" s="44" t="s">
        <v>641</v>
      </c>
      <c r="D41" s="507">
        <v>12667.51</v>
      </c>
      <c r="E41" s="43" t="str">
        <f t="shared" si="1"/>
        <v>561</v>
      </c>
      <c r="F41" s="41" t="str">
        <f t="shared" si="2"/>
        <v>0103</v>
      </c>
      <c r="G41" s="9"/>
      <c r="I41" s="9"/>
      <c r="J41" s="9"/>
      <c r="K41" s="9"/>
      <c r="L41" s="9"/>
      <c r="M41" s="9"/>
      <c r="O41" s="9">
        <f t="shared" si="4"/>
        <v>12667.51</v>
      </c>
    </row>
    <row r="42" spans="1:15" ht="13.8">
      <c r="A42" s="43">
        <f t="shared" si="0"/>
        <v>31</v>
      </c>
      <c r="B42" s="44" t="s">
        <v>642</v>
      </c>
      <c r="C42" s="44" t="s">
        <v>643</v>
      </c>
      <c r="D42" s="507">
        <v>454194.29</v>
      </c>
      <c r="E42" s="43" t="str">
        <f t="shared" si="1"/>
        <v>561</v>
      </c>
      <c r="F42" s="41" t="str">
        <f t="shared" si="2"/>
        <v>0104</v>
      </c>
      <c r="G42" s="9"/>
      <c r="I42" s="9"/>
      <c r="J42" s="9"/>
      <c r="K42" s="9"/>
      <c r="L42" s="9"/>
      <c r="M42" s="9"/>
      <c r="O42" s="9">
        <f t="shared" si="4"/>
        <v>454194.29</v>
      </c>
    </row>
    <row r="43" spans="1:15" ht="13.8">
      <c r="A43" s="43">
        <f t="shared" si="0"/>
        <v>32</v>
      </c>
      <c r="B43" s="44" t="s">
        <v>644</v>
      </c>
      <c r="C43" s="44" t="s">
        <v>645</v>
      </c>
      <c r="D43" s="507">
        <v>294984.69</v>
      </c>
      <c r="E43" s="43" t="str">
        <f t="shared" si="1"/>
        <v>561</v>
      </c>
      <c r="F43" s="41" t="str">
        <f t="shared" si="2"/>
        <v>0145</v>
      </c>
      <c r="G43" s="9"/>
      <c r="I43" s="9"/>
      <c r="J43" s="9"/>
      <c r="K43" s="9"/>
      <c r="L43" s="9"/>
      <c r="M43" s="9"/>
      <c r="O43" s="9">
        <f t="shared" si="4"/>
        <v>294984.69</v>
      </c>
    </row>
    <row r="44" spans="1:15" ht="13.8">
      <c r="A44" s="43">
        <f t="shared" si="0"/>
        <v>33</v>
      </c>
      <c r="B44" s="44" t="s">
        <v>646</v>
      </c>
      <c r="C44" s="44" t="s">
        <v>647</v>
      </c>
      <c r="D44" s="507">
        <v>597988.16</v>
      </c>
      <c r="E44" s="43" t="str">
        <f t="shared" si="1"/>
        <v>562</v>
      </c>
      <c r="F44" s="41" t="str">
        <f t="shared" si="2"/>
        <v>01</v>
      </c>
      <c r="G44" s="9"/>
      <c r="H44" s="9">
        <f t="shared" si="4"/>
        <v>597988.16</v>
      </c>
      <c r="I44" s="9"/>
      <c r="J44" s="9"/>
      <c r="K44" s="9"/>
      <c r="L44" s="9"/>
      <c r="M44" s="9"/>
    </row>
    <row r="45" spans="1:15" ht="13.8">
      <c r="A45" s="43">
        <f t="shared" si="0"/>
        <v>34</v>
      </c>
      <c r="B45" s="44" t="s">
        <v>648</v>
      </c>
      <c r="C45" s="44" t="s">
        <v>649</v>
      </c>
      <c r="D45" s="507">
        <v>0</v>
      </c>
      <c r="E45" s="43" t="str">
        <f t="shared" si="1"/>
        <v>562</v>
      </c>
      <c r="F45" s="41" t="str">
        <f t="shared" si="2"/>
        <v>0101</v>
      </c>
      <c r="G45" s="9"/>
      <c r="H45" s="9">
        <f t="shared" si="4"/>
        <v>0</v>
      </c>
      <c r="I45" s="9"/>
      <c r="J45" s="9"/>
      <c r="K45" s="9"/>
      <c r="L45" s="9"/>
      <c r="M45" s="9"/>
    </row>
    <row r="46" spans="1:15" ht="13.8">
      <c r="A46" s="43">
        <f t="shared" si="0"/>
        <v>35</v>
      </c>
      <c r="B46" s="44" t="s">
        <v>650</v>
      </c>
      <c r="C46" s="44" t="s">
        <v>651</v>
      </c>
      <c r="D46" s="507">
        <v>515.76</v>
      </c>
      <c r="E46" s="43" t="str">
        <f t="shared" ref="E46:E82" si="5">LEFT(B46,3)</f>
        <v>562</v>
      </c>
      <c r="F46" s="41" t="str">
        <f t="shared" ref="F46:F83" si="6">RIGHT(B46,LEN(B46)-3)</f>
        <v>0107</v>
      </c>
      <c r="G46" s="9"/>
      <c r="H46" s="9">
        <f t="shared" si="4"/>
        <v>515.76</v>
      </c>
      <c r="I46" s="9"/>
      <c r="J46" s="9"/>
      <c r="K46" s="9"/>
      <c r="L46" s="9"/>
      <c r="M46" s="9"/>
    </row>
    <row r="47" spans="1:15" ht="13.8">
      <c r="A47" s="43">
        <f t="shared" si="0"/>
        <v>36</v>
      </c>
      <c r="B47" s="44" t="s">
        <v>652</v>
      </c>
      <c r="C47" s="44" t="s">
        <v>653</v>
      </c>
      <c r="D47" s="507">
        <v>1106514.6000000001</v>
      </c>
      <c r="E47" s="43" t="str">
        <f t="shared" si="5"/>
        <v>563</v>
      </c>
      <c r="F47" s="41" t="str">
        <f t="shared" si="6"/>
        <v>01</v>
      </c>
      <c r="G47" s="9"/>
      <c r="H47" s="9">
        <f t="shared" si="4"/>
        <v>1106514.6000000001</v>
      </c>
      <c r="I47" s="9"/>
      <c r="J47" s="9"/>
      <c r="K47" s="9"/>
      <c r="L47" s="9"/>
      <c r="M47" s="9"/>
    </row>
    <row r="48" spans="1:15" ht="13.8">
      <c r="A48" s="43">
        <f t="shared" si="0"/>
        <v>37</v>
      </c>
      <c r="B48" s="44" t="s">
        <v>654</v>
      </c>
      <c r="C48" s="44" t="s">
        <v>655</v>
      </c>
      <c r="D48" s="507">
        <v>861888.89</v>
      </c>
      <c r="E48" s="43" t="str">
        <f t="shared" si="5"/>
        <v>566</v>
      </c>
      <c r="F48" s="41" t="str">
        <f t="shared" si="6"/>
        <v>01</v>
      </c>
      <c r="G48" s="9"/>
      <c r="H48" s="9">
        <f t="shared" si="4"/>
        <v>861888.89</v>
      </c>
      <c r="I48" s="9"/>
      <c r="J48" s="9"/>
      <c r="K48" s="9"/>
      <c r="L48" s="9"/>
      <c r="M48" s="9"/>
    </row>
    <row r="49" spans="1:13" ht="13.8">
      <c r="A49" s="43">
        <f t="shared" si="0"/>
        <v>38</v>
      </c>
      <c r="B49" s="44" t="s">
        <v>656</v>
      </c>
      <c r="C49" s="44" t="s">
        <v>657</v>
      </c>
      <c r="D49" s="507">
        <v>2224.42</v>
      </c>
      <c r="E49" s="43" t="str">
        <f t="shared" si="5"/>
        <v>566</v>
      </c>
      <c r="F49" s="41" t="str">
        <f t="shared" si="6"/>
        <v>0101</v>
      </c>
      <c r="G49" s="9"/>
      <c r="H49" s="9">
        <f t="shared" si="4"/>
        <v>2224.42</v>
      </c>
      <c r="I49" s="9"/>
      <c r="J49" s="9"/>
      <c r="K49" s="9"/>
      <c r="L49" s="9"/>
      <c r="M49" s="9"/>
    </row>
    <row r="50" spans="1:13" ht="13.8">
      <c r="A50" s="43">
        <f t="shared" si="0"/>
        <v>39</v>
      </c>
      <c r="B50" s="44" t="s">
        <v>658</v>
      </c>
      <c r="C50" s="44" t="s">
        <v>659</v>
      </c>
      <c r="D50" s="507">
        <v>526419.51</v>
      </c>
      <c r="E50" s="43" t="str">
        <f t="shared" si="5"/>
        <v>566</v>
      </c>
      <c r="F50" s="41" t="str">
        <f t="shared" si="6"/>
        <v>0145</v>
      </c>
      <c r="G50" s="9"/>
      <c r="H50" s="9">
        <f t="shared" si="4"/>
        <v>526419.51</v>
      </c>
      <c r="I50" s="9"/>
      <c r="J50" s="9"/>
      <c r="K50" s="9"/>
      <c r="L50" s="9"/>
      <c r="M50" s="9"/>
    </row>
    <row r="51" spans="1:13" ht="13.8">
      <c r="A51" s="43">
        <f t="shared" si="0"/>
        <v>40</v>
      </c>
      <c r="B51" s="44" t="s">
        <v>660</v>
      </c>
      <c r="C51" s="44" t="s">
        <v>661</v>
      </c>
      <c r="D51" s="507">
        <v>45731.9</v>
      </c>
      <c r="E51" s="43" t="str">
        <f t="shared" si="5"/>
        <v>570</v>
      </c>
      <c r="F51" s="41" t="str">
        <f t="shared" si="6"/>
        <v>01</v>
      </c>
      <c r="G51" s="9"/>
      <c r="H51" s="9">
        <f t="shared" si="4"/>
        <v>45731.9</v>
      </c>
      <c r="I51" s="9"/>
      <c r="J51" s="9"/>
      <c r="K51" s="9"/>
      <c r="L51" s="9"/>
      <c r="M51" s="9"/>
    </row>
    <row r="52" spans="1:13" ht="13.8">
      <c r="A52" s="43">
        <f t="shared" si="0"/>
        <v>41</v>
      </c>
      <c r="B52" s="44" t="s">
        <v>662</v>
      </c>
      <c r="C52" s="44" t="s">
        <v>663</v>
      </c>
      <c r="D52" s="507">
        <v>22325.51</v>
      </c>
      <c r="E52" s="43" t="str">
        <f t="shared" si="5"/>
        <v>571</v>
      </c>
      <c r="F52" s="41" t="str">
        <f t="shared" si="6"/>
        <v>01</v>
      </c>
      <c r="G52" s="9"/>
      <c r="H52" s="9">
        <f t="shared" si="4"/>
        <v>22325.51</v>
      </c>
      <c r="I52" s="9"/>
      <c r="J52" s="9"/>
      <c r="K52" s="9"/>
      <c r="L52" s="9"/>
      <c r="M52" s="9"/>
    </row>
    <row r="53" spans="1:13" ht="13.8">
      <c r="A53" s="43">
        <f t="shared" si="0"/>
        <v>42</v>
      </c>
      <c r="B53" s="44" t="s">
        <v>664</v>
      </c>
      <c r="C53" s="44" t="s">
        <v>665</v>
      </c>
      <c r="D53" s="507">
        <v>17961.79</v>
      </c>
      <c r="E53" s="43" t="str">
        <f t="shared" si="5"/>
        <v>571</v>
      </c>
      <c r="F53" s="41" t="str">
        <f t="shared" si="6"/>
        <v>0101</v>
      </c>
      <c r="G53" s="9"/>
      <c r="H53" s="9">
        <f t="shared" si="4"/>
        <v>17961.79</v>
      </c>
      <c r="I53" s="9"/>
      <c r="J53" s="9"/>
      <c r="K53" s="9"/>
      <c r="L53" s="9"/>
      <c r="M53" s="9"/>
    </row>
    <row r="54" spans="1:13" ht="13.8">
      <c r="A54" s="43">
        <f t="shared" si="0"/>
        <v>43</v>
      </c>
      <c r="B54" s="44" t="s">
        <v>666</v>
      </c>
      <c r="C54" s="44" t="s">
        <v>667</v>
      </c>
      <c r="D54" s="507">
        <v>212210.12</v>
      </c>
      <c r="E54" s="43" t="str">
        <f t="shared" si="5"/>
        <v>571</v>
      </c>
      <c r="F54" s="41" t="str">
        <f t="shared" si="6"/>
        <v>0102</v>
      </c>
      <c r="G54" s="9"/>
      <c r="H54" s="9">
        <f t="shared" si="4"/>
        <v>212210.12</v>
      </c>
      <c r="I54" s="9"/>
      <c r="J54" s="9"/>
      <c r="K54" s="9"/>
      <c r="L54" s="9"/>
      <c r="M54" s="9"/>
    </row>
    <row r="55" spans="1:13" ht="13.8">
      <c r="A55" s="43">
        <f t="shared" si="0"/>
        <v>44</v>
      </c>
      <c r="B55" s="44" t="s">
        <v>668</v>
      </c>
      <c r="C55" s="44" t="s">
        <v>669</v>
      </c>
      <c r="D55" s="507">
        <v>162122.97</v>
      </c>
      <c r="E55" s="43" t="str">
        <f t="shared" si="5"/>
        <v>573</v>
      </c>
      <c r="F55" s="41" t="str">
        <f t="shared" si="6"/>
        <v>01</v>
      </c>
      <c r="G55" s="9"/>
      <c r="H55" s="9">
        <f t="shared" si="4"/>
        <v>162122.97</v>
      </c>
      <c r="I55" s="9"/>
      <c r="J55" s="9"/>
      <c r="K55" s="9"/>
      <c r="L55" s="9"/>
      <c r="M55" s="9"/>
    </row>
    <row r="56" spans="1:13" ht="13.8">
      <c r="A56" s="43">
        <f t="shared" si="0"/>
        <v>45</v>
      </c>
      <c r="B56" s="44" t="s">
        <v>670</v>
      </c>
      <c r="C56" s="44" t="s">
        <v>671</v>
      </c>
      <c r="D56" s="507">
        <v>235875.93</v>
      </c>
      <c r="E56" s="43" t="str">
        <f t="shared" si="5"/>
        <v>580</v>
      </c>
      <c r="F56" s="41" t="str">
        <f t="shared" si="6"/>
        <v>01</v>
      </c>
      <c r="G56" s="9"/>
      <c r="H56" s="9"/>
      <c r="I56" s="9">
        <f>$D56</f>
        <v>235875.93</v>
      </c>
      <c r="J56" s="9"/>
      <c r="K56" s="9"/>
      <c r="L56" s="9"/>
      <c r="M56" s="9"/>
    </row>
    <row r="57" spans="1:13" ht="13.8">
      <c r="A57" s="43">
        <f t="shared" si="0"/>
        <v>46</v>
      </c>
      <c r="B57" s="44" t="s">
        <v>672</v>
      </c>
      <c r="C57" s="44" t="s">
        <v>673</v>
      </c>
      <c r="D57" s="507">
        <v>1059297.01</v>
      </c>
      <c r="E57" s="43" t="str">
        <f t="shared" si="5"/>
        <v>582</v>
      </c>
      <c r="F57" s="41" t="str">
        <f t="shared" si="6"/>
        <v>01</v>
      </c>
      <c r="G57" s="9"/>
      <c r="H57" s="9"/>
      <c r="I57" s="9">
        <f t="shared" ref="I57:L68" si="7">$D57</f>
        <v>1059297.01</v>
      </c>
      <c r="J57" s="9"/>
      <c r="K57" s="9"/>
      <c r="L57" s="9"/>
      <c r="M57" s="9"/>
    </row>
    <row r="58" spans="1:13" ht="13.8">
      <c r="A58" s="43">
        <f t="shared" si="0"/>
        <v>47</v>
      </c>
      <c r="B58" s="44" t="s">
        <v>674</v>
      </c>
      <c r="C58" s="44" t="s">
        <v>675</v>
      </c>
      <c r="D58" s="507">
        <v>1401.86</v>
      </c>
      <c r="E58" s="43" t="str">
        <f t="shared" si="5"/>
        <v>582</v>
      </c>
      <c r="F58" s="41" t="str">
        <f t="shared" si="6"/>
        <v>0101</v>
      </c>
      <c r="G58" s="9"/>
      <c r="H58" s="9"/>
      <c r="I58" s="9">
        <f t="shared" si="7"/>
        <v>1401.86</v>
      </c>
      <c r="J58" s="9"/>
      <c r="K58" s="9"/>
      <c r="L58" s="9"/>
      <c r="M58" s="9"/>
    </row>
    <row r="59" spans="1:13" ht="13.8">
      <c r="A59" s="43">
        <f t="shared" si="0"/>
        <v>48</v>
      </c>
      <c r="B59" s="44" t="s">
        <v>676</v>
      </c>
      <c r="C59" s="44" t="s">
        <v>677</v>
      </c>
      <c r="D59" s="507">
        <v>17091.52</v>
      </c>
      <c r="E59" s="43" t="str">
        <f t="shared" si="5"/>
        <v>582</v>
      </c>
      <c r="F59" s="41" t="str">
        <f t="shared" si="6"/>
        <v>0145</v>
      </c>
      <c r="G59" s="9"/>
      <c r="H59" s="9"/>
      <c r="I59" s="9">
        <f t="shared" si="7"/>
        <v>17091.52</v>
      </c>
      <c r="J59" s="9"/>
      <c r="K59" s="9"/>
      <c r="L59" s="9"/>
      <c r="M59" s="9"/>
    </row>
    <row r="60" spans="1:13" ht="13.8">
      <c r="A60" s="43">
        <f t="shared" si="0"/>
        <v>49</v>
      </c>
      <c r="B60" s="44" t="s">
        <v>678</v>
      </c>
      <c r="C60" s="44" t="s">
        <v>679</v>
      </c>
      <c r="D60" s="507">
        <v>170914.22</v>
      </c>
      <c r="E60" s="43" t="str">
        <f t="shared" si="5"/>
        <v>586</v>
      </c>
      <c r="F60" s="41" t="str">
        <f t="shared" si="6"/>
        <v>01</v>
      </c>
      <c r="G60" s="9"/>
      <c r="H60" s="9"/>
      <c r="I60" s="9">
        <f t="shared" si="7"/>
        <v>170914.22</v>
      </c>
      <c r="J60" s="9"/>
      <c r="K60" s="9"/>
      <c r="L60" s="9"/>
      <c r="M60" s="9"/>
    </row>
    <row r="61" spans="1:13" ht="13.8">
      <c r="A61" s="43">
        <f t="shared" si="0"/>
        <v>50</v>
      </c>
      <c r="B61" s="44" t="s">
        <v>680</v>
      </c>
      <c r="C61" s="44" t="s">
        <v>681</v>
      </c>
      <c r="D61" s="507">
        <v>242579.86</v>
      </c>
      <c r="E61" s="43" t="str">
        <f t="shared" si="5"/>
        <v>588</v>
      </c>
      <c r="F61" s="41" t="str">
        <f t="shared" si="6"/>
        <v>01</v>
      </c>
      <c r="G61" s="9"/>
      <c r="H61" s="9"/>
      <c r="I61" s="9">
        <f t="shared" si="7"/>
        <v>242579.86</v>
      </c>
      <c r="J61" s="9"/>
      <c r="K61" s="9"/>
      <c r="L61" s="9"/>
      <c r="M61" s="9"/>
    </row>
    <row r="62" spans="1:13" ht="13.8">
      <c r="A62" s="43">
        <f t="shared" si="0"/>
        <v>51</v>
      </c>
      <c r="B62" s="44" t="s">
        <v>682</v>
      </c>
      <c r="C62" s="44" t="s">
        <v>683</v>
      </c>
      <c r="D62" s="507">
        <v>192034.2</v>
      </c>
      <c r="E62" s="43" t="str">
        <f t="shared" si="5"/>
        <v>592</v>
      </c>
      <c r="F62" s="41" t="str">
        <f t="shared" si="6"/>
        <v>01</v>
      </c>
      <c r="G62" s="9"/>
      <c r="H62" s="9"/>
      <c r="I62" s="9">
        <f t="shared" si="7"/>
        <v>192034.2</v>
      </c>
      <c r="J62" s="9"/>
      <c r="K62" s="9"/>
      <c r="L62" s="9"/>
      <c r="M62" s="9"/>
    </row>
    <row r="63" spans="1:13" ht="13.8">
      <c r="A63" s="43">
        <f t="shared" si="0"/>
        <v>52</v>
      </c>
      <c r="B63" s="44" t="s">
        <v>684</v>
      </c>
      <c r="C63" s="44" t="s">
        <v>685</v>
      </c>
      <c r="D63" s="507">
        <v>72270.880000000005</v>
      </c>
      <c r="E63" s="43" t="str">
        <f t="shared" si="5"/>
        <v>592</v>
      </c>
      <c r="F63" s="41" t="str">
        <f t="shared" si="6"/>
        <v>0103</v>
      </c>
      <c r="G63" s="9"/>
      <c r="H63" s="9"/>
      <c r="I63" s="9">
        <f t="shared" si="7"/>
        <v>72270.880000000005</v>
      </c>
      <c r="J63" s="9"/>
      <c r="K63" s="9"/>
      <c r="L63" s="9"/>
      <c r="M63" s="9"/>
    </row>
    <row r="64" spans="1:13" ht="13.8">
      <c r="A64" s="43">
        <f t="shared" si="0"/>
        <v>53</v>
      </c>
      <c r="B64" s="44" t="s">
        <v>686</v>
      </c>
      <c r="C64" s="44" t="s">
        <v>687</v>
      </c>
      <c r="D64" s="507">
        <v>93.46</v>
      </c>
      <c r="E64" s="43" t="str">
        <f t="shared" si="5"/>
        <v>597</v>
      </c>
      <c r="F64" s="41" t="str">
        <f t="shared" si="6"/>
        <v>01</v>
      </c>
      <c r="G64" s="9"/>
      <c r="H64" s="9"/>
      <c r="I64" s="9">
        <f t="shared" si="7"/>
        <v>93.46</v>
      </c>
      <c r="J64" s="9"/>
      <c r="K64" s="9"/>
      <c r="L64" s="9"/>
      <c r="M64" s="9"/>
    </row>
    <row r="65" spans="1:13" ht="13.8">
      <c r="A65" s="43">
        <f t="shared" si="0"/>
        <v>54</v>
      </c>
      <c r="B65" s="44" t="s">
        <v>688</v>
      </c>
      <c r="C65" s="44" t="s">
        <v>689</v>
      </c>
      <c r="D65" s="507">
        <v>0</v>
      </c>
      <c r="E65" s="43" t="str">
        <f t="shared" si="5"/>
        <v>598</v>
      </c>
      <c r="F65" s="41" t="str">
        <f t="shared" si="6"/>
        <v>01</v>
      </c>
      <c r="G65" s="9"/>
      <c r="H65" s="9"/>
      <c r="I65" s="9">
        <f t="shared" si="7"/>
        <v>0</v>
      </c>
      <c r="J65" s="9"/>
      <c r="K65" s="9"/>
      <c r="L65" s="9"/>
      <c r="M65" s="9"/>
    </row>
    <row r="66" spans="1:13" ht="13.8">
      <c r="A66" s="43">
        <f t="shared" si="0"/>
        <v>55</v>
      </c>
      <c r="B66" s="44" t="s">
        <v>690</v>
      </c>
      <c r="C66" s="44" t="s">
        <v>691</v>
      </c>
      <c r="D66" s="507">
        <v>63595.89</v>
      </c>
      <c r="E66" s="43" t="str">
        <f t="shared" si="5"/>
        <v>902</v>
      </c>
      <c r="F66" s="41" t="str">
        <f t="shared" si="6"/>
        <v>01</v>
      </c>
      <c r="G66" s="9"/>
      <c r="H66" s="9"/>
      <c r="I66" s="9"/>
      <c r="J66" s="9">
        <f t="shared" si="7"/>
        <v>63595.89</v>
      </c>
      <c r="K66" s="9"/>
      <c r="L66" s="9"/>
      <c r="M66" s="9"/>
    </row>
    <row r="67" spans="1:13" ht="13.8">
      <c r="A67" s="43">
        <f t="shared" si="0"/>
        <v>56</v>
      </c>
      <c r="B67" s="44" t="s">
        <v>692</v>
      </c>
      <c r="C67" s="44" t="s">
        <v>693</v>
      </c>
      <c r="D67" s="507">
        <v>61134.65</v>
      </c>
      <c r="E67" s="43" t="str">
        <f t="shared" si="5"/>
        <v>903</v>
      </c>
      <c r="F67" s="41" t="str">
        <f t="shared" si="6"/>
        <v>01</v>
      </c>
      <c r="G67" s="9"/>
      <c r="H67" s="9"/>
      <c r="I67" s="9"/>
      <c r="J67" s="9">
        <f t="shared" si="7"/>
        <v>61134.65</v>
      </c>
      <c r="K67" s="9"/>
      <c r="L67" s="9"/>
      <c r="M67" s="9"/>
    </row>
    <row r="68" spans="1:13" ht="13.8">
      <c r="A68" s="43">
        <f t="shared" si="0"/>
        <v>57</v>
      </c>
      <c r="B68" s="44" t="s">
        <v>694</v>
      </c>
      <c r="C68" s="44" t="s">
        <v>695</v>
      </c>
      <c r="D68" s="507">
        <v>598699.68999999994</v>
      </c>
      <c r="E68" s="43" t="str">
        <f t="shared" si="5"/>
        <v>912</v>
      </c>
      <c r="F68" s="41" t="str">
        <f t="shared" si="6"/>
        <v>01</v>
      </c>
      <c r="G68" s="9"/>
      <c r="H68" s="9"/>
      <c r="I68" s="9"/>
      <c r="J68" s="9"/>
      <c r="K68" s="9"/>
      <c r="L68" s="9">
        <f t="shared" si="7"/>
        <v>598699.68999999994</v>
      </c>
      <c r="M68" s="9"/>
    </row>
    <row r="69" spans="1:13" ht="13.8">
      <c r="A69" s="43">
        <f t="shared" si="0"/>
        <v>58</v>
      </c>
      <c r="B69" s="44" t="s">
        <v>696</v>
      </c>
      <c r="C69" s="44" t="s">
        <v>697</v>
      </c>
      <c r="D69" s="507">
        <v>3282636.49</v>
      </c>
      <c r="E69" s="43" t="str">
        <f t="shared" si="5"/>
        <v>920</v>
      </c>
      <c r="F69" s="41" t="str">
        <f t="shared" si="6"/>
        <v>01</v>
      </c>
      <c r="G69" s="9"/>
      <c r="H69" s="9"/>
      <c r="I69" s="9"/>
      <c r="J69" s="9"/>
      <c r="K69" s="9"/>
      <c r="L69" s="9"/>
      <c r="M69" s="9">
        <f t="shared" ref="M69:M83" si="8">$D69</f>
        <v>3282636.49</v>
      </c>
    </row>
    <row r="70" spans="1:13" ht="13.8">
      <c r="A70" s="43">
        <f t="shared" si="0"/>
        <v>59</v>
      </c>
      <c r="B70" s="44" t="s">
        <v>698</v>
      </c>
      <c r="C70" s="44" t="s">
        <v>699</v>
      </c>
      <c r="D70" s="507">
        <v>136499.62</v>
      </c>
      <c r="E70" s="43" t="str">
        <f t="shared" si="5"/>
        <v>935</v>
      </c>
      <c r="F70" s="41" t="str">
        <f t="shared" si="6"/>
        <v>0103</v>
      </c>
      <c r="G70" s="9"/>
      <c r="H70" s="9"/>
      <c r="I70" s="9"/>
      <c r="J70" s="9"/>
      <c r="K70" s="9"/>
      <c r="L70" s="9"/>
      <c r="M70" s="9">
        <f t="shared" si="8"/>
        <v>136499.62</v>
      </c>
    </row>
    <row r="71" spans="1:13" ht="13.8">
      <c r="A71" s="43">
        <f t="shared" si="0"/>
        <v>60</v>
      </c>
      <c r="B71" s="44" t="s">
        <v>700</v>
      </c>
      <c r="C71" s="44" t="s">
        <v>701</v>
      </c>
      <c r="D71" s="507">
        <v>5263.13</v>
      </c>
      <c r="E71" s="43" t="str">
        <f t="shared" si="5"/>
        <v>935</v>
      </c>
      <c r="F71" s="41" t="str">
        <f t="shared" si="6"/>
        <v>0104</v>
      </c>
      <c r="G71" s="9"/>
      <c r="H71" s="9"/>
      <c r="I71" s="9"/>
      <c r="J71" s="9"/>
      <c r="K71" s="9"/>
      <c r="L71" s="9"/>
      <c r="M71" s="9">
        <f t="shared" si="8"/>
        <v>5263.13</v>
      </c>
    </row>
    <row r="72" spans="1:13" ht="13.8">
      <c r="A72" s="43">
        <f t="shared" si="0"/>
        <v>61</v>
      </c>
      <c r="B72" s="44" t="s">
        <v>702</v>
      </c>
      <c r="C72" s="44" t="s">
        <v>703</v>
      </c>
      <c r="D72" s="507">
        <v>124.63</v>
      </c>
      <c r="E72" s="43" t="str">
        <f t="shared" si="5"/>
        <v>935</v>
      </c>
      <c r="F72" s="41" t="str">
        <f t="shared" si="6"/>
        <v>0105</v>
      </c>
      <c r="G72" s="9"/>
      <c r="H72" s="9"/>
      <c r="I72" s="9"/>
      <c r="J72" s="9"/>
      <c r="K72" s="9"/>
      <c r="L72" s="9"/>
      <c r="M72" s="9">
        <f t="shared" si="8"/>
        <v>124.63</v>
      </c>
    </row>
    <row r="73" spans="1:13" ht="13.8">
      <c r="A73" s="43">
        <f t="shared" si="0"/>
        <v>62</v>
      </c>
      <c r="B73" s="44" t="s">
        <v>704</v>
      </c>
      <c r="C73" s="44" t="s">
        <v>705</v>
      </c>
      <c r="D73" s="507">
        <v>6742.31</v>
      </c>
      <c r="E73" s="43" t="str">
        <f t="shared" si="5"/>
        <v>935</v>
      </c>
      <c r="F73" s="41" t="str">
        <f t="shared" si="6"/>
        <v>0106</v>
      </c>
      <c r="G73" s="9"/>
      <c r="H73" s="9"/>
      <c r="I73" s="9"/>
      <c r="J73" s="9"/>
      <c r="K73" s="9"/>
      <c r="L73" s="9"/>
      <c r="M73" s="9">
        <f t="shared" si="8"/>
        <v>6742.31</v>
      </c>
    </row>
    <row r="74" spans="1:13" ht="13.8">
      <c r="A74" s="43">
        <f t="shared" si="0"/>
        <v>63</v>
      </c>
      <c r="B74" s="44" t="s">
        <v>706</v>
      </c>
      <c r="C74" s="44" t="s">
        <v>707</v>
      </c>
      <c r="D74" s="507">
        <v>1758.4</v>
      </c>
      <c r="E74" s="43" t="str">
        <f t="shared" si="5"/>
        <v>935</v>
      </c>
      <c r="F74" s="41" t="str">
        <f t="shared" si="6"/>
        <v>0107</v>
      </c>
      <c r="G74" s="9"/>
      <c r="H74" s="9"/>
      <c r="I74" s="9"/>
      <c r="J74" s="9"/>
      <c r="K74" s="9"/>
      <c r="L74" s="9"/>
      <c r="M74" s="9">
        <f t="shared" si="8"/>
        <v>1758.4</v>
      </c>
    </row>
    <row r="75" spans="1:13" ht="13.8">
      <c r="A75" s="43">
        <f t="shared" si="0"/>
        <v>64</v>
      </c>
      <c r="B75" s="44" t="s">
        <v>708</v>
      </c>
      <c r="C75" s="44" t="s">
        <v>709</v>
      </c>
      <c r="D75" s="507">
        <v>-48.85</v>
      </c>
      <c r="E75" s="43" t="str">
        <f t="shared" si="5"/>
        <v>935</v>
      </c>
      <c r="F75" s="41" t="str">
        <f t="shared" si="6"/>
        <v>0108</v>
      </c>
      <c r="G75" s="9"/>
      <c r="H75" s="9"/>
      <c r="I75" s="9"/>
      <c r="J75" s="9"/>
      <c r="K75" s="9"/>
      <c r="L75" s="9"/>
      <c r="M75" s="9">
        <f t="shared" si="8"/>
        <v>-48.85</v>
      </c>
    </row>
    <row r="76" spans="1:13" ht="13.8">
      <c r="A76" s="43">
        <f t="shared" si="0"/>
        <v>65</v>
      </c>
      <c r="B76" s="44" t="s">
        <v>710</v>
      </c>
      <c r="C76" s="44" t="s">
        <v>711</v>
      </c>
      <c r="D76" s="507">
        <v>172.38</v>
      </c>
      <c r="E76" s="43" t="str">
        <f t="shared" si="5"/>
        <v>935</v>
      </c>
      <c r="F76" s="41" t="str">
        <f t="shared" si="6"/>
        <v>0109</v>
      </c>
      <c r="G76" s="9"/>
      <c r="H76" s="9"/>
      <c r="I76" s="9"/>
      <c r="J76" s="9"/>
      <c r="K76" s="9"/>
      <c r="L76" s="9"/>
      <c r="M76" s="9">
        <f t="shared" si="8"/>
        <v>172.38</v>
      </c>
    </row>
    <row r="77" spans="1:13" ht="13.8">
      <c r="A77" s="43">
        <f t="shared" ref="A77:A84" si="9">SUM(A76+1)</f>
        <v>66</v>
      </c>
      <c r="B77" s="44" t="s">
        <v>712</v>
      </c>
      <c r="C77" s="44" t="s">
        <v>713</v>
      </c>
      <c r="D77" s="507">
        <v>671.76</v>
      </c>
      <c r="E77" s="43" t="str">
        <f t="shared" si="5"/>
        <v>935</v>
      </c>
      <c r="F77" s="41" t="str">
        <f t="shared" si="6"/>
        <v>0110</v>
      </c>
      <c r="G77" s="9"/>
      <c r="H77" s="9"/>
      <c r="I77" s="9"/>
      <c r="J77" s="9"/>
      <c r="K77" s="9"/>
      <c r="L77" s="9"/>
      <c r="M77" s="9">
        <f t="shared" si="8"/>
        <v>671.76</v>
      </c>
    </row>
    <row r="78" spans="1:13" ht="13.8">
      <c r="A78" s="43">
        <f t="shared" si="9"/>
        <v>67</v>
      </c>
      <c r="B78" s="44" t="s">
        <v>714</v>
      </c>
      <c r="C78" s="44" t="s">
        <v>715</v>
      </c>
      <c r="D78" s="507">
        <v>37778.78</v>
      </c>
      <c r="E78" s="43" t="str">
        <f t="shared" si="5"/>
        <v>935</v>
      </c>
      <c r="F78" s="41" t="str">
        <f t="shared" si="6"/>
        <v>0111</v>
      </c>
      <c r="G78" s="9"/>
      <c r="H78" s="9"/>
      <c r="I78" s="9"/>
      <c r="J78" s="9"/>
      <c r="K78" s="9"/>
      <c r="L78" s="9"/>
      <c r="M78" s="9">
        <f t="shared" si="8"/>
        <v>37778.78</v>
      </c>
    </row>
    <row r="79" spans="1:13" ht="13.8">
      <c r="A79" s="43">
        <f t="shared" si="9"/>
        <v>68</v>
      </c>
      <c r="B79" s="44" t="s">
        <v>716</v>
      </c>
      <c r="C79" s="44" t="s">
        <v>717</v>
      </c>
      <c r="D79" s="507">
        <v>363.04</v>
      </c>
      <c r="E79" s="43" t="str">
        <f t="shared" si="5"/>
        <v>935</v>
      </c>
      <c r="F79" s="41" t="str">
        <f t="shared" si="6"/>
        <v>0113</v>
      </c>
      <c r="G79" s="9"/>
      <c r="H79" s="9"/>
      <c r="I79" s="9"/>
      <c r="J79" s="9"/>
      <c r="K79" s="9"/>
      <c r="L79" s="9"/>
      <c r="M79" s="9">
        <f t="shared" si="8"/>
        <v>363.04</v>
      </c>
    </row>
    <row r="80" spans="1:13" ht="13.8">
      <c r="A80" s="43">
        <f t="shared" si="9"/>
        <v>69</v>
      </c>
      <c r="B80" s="44" t="s">
        <v>718</v>
      </c>
      <c r="C80" s="44" t="s">
        <v>719</v>
      </c>
      <c r="D80" s="507">
        <v>1352.84</v>
      </c>
      <c r="E80" s="43" t="str">
        <f t="shared" si="5"/>
        <v>935</v>
      </c>
      <c r="F80" s="41" t="str">
        <f t="shared" si="6"/>
        <v>0114</v>
      </c>
      <c r="G80" s="9"/>
      <c r="H80" s="9"/>
      <c r="I80" s="9"/>
      <c r="J80" s="9"/>
      <c r="K80" s="9"/>
      <c r="L80" s="9"/>
      <c r="M80" s="9">
        <f t="shared" si="8"/>
        <v>1352.84</v>
      </c>
    </row>
    <row r="81" spans="1:15" ht="13.8">
      <c r="A81" s="43">
        <f t="shared" si="9"/>
        <v>70</v>
      </c>
      <c r="B81" s="44" t="s">
        <v>720</v>
      </c>
      <c r="C81" s="44" t="s">
        <v>721</v>
      </c>
      <c r="D81" s="507">
        <v>1316.21</v>
      </c>
      <c r="E81" s="43" t="str">
        <f t="shared" si="5"/>
        <v>935</v>
      </c>
      <c r="F81" s="41" t="str">
        <f t="shared" si="6"/>
        <v>0115</v>
      </c>
      <c r="G81" s="9"/>
      <c r="H81" s="9"/>
      <c r="I81" s="9"/>
      <c r="J81" s="9"/>
      <c r="K81" s="9"/>
      <c r="L81" s="9"/>
      <c r="M81" s="9">
        <f t="shared" si="8"/>
        <v>1316.21</v>
      </c>
    </row>
    <row r="82" spans="1:15" ht="13.8">
      <c r="A82" s="43">
        <f t="shared" si="9"/>
        <v>71</v>
      </c>
      <c r="B82" s="44" t="s">
        <v>722</v>
      </c>
      <c r="C82" s="44" t="s">
        <v>723</v>
      </c>
      <c r="D82" s="507">
        <v>1364.89</v>
      </c>
      <c r="E82" s="43" t="str">
        <f t="shared" si="5"/>
        <v>935</v>
      </c>
      <c r="F82" s="41" t="str">
        <f t="shared" si="6"/>
        <v>0116</v>
      </c>
      <c r="G82" s="9"/>
      <c r="H82" s="9"/>
      <c r="I82" s="9"/>
      <c r="J82" s="9"/>
      <c r="K82" s="9"/>
      <c r="L82" s="9"/>
      <c r="M82" s="9">
        <f t="shared" si="8"/>
        <v>1364.89</v>
      </c>
    </row>
    <row r="83" spans="1:15" ht="13.8">
      <c r="A83" s="43">
        <f t="shared" si="9"/>
        <v>72</v>
      </c>
      <c r="B83" s="44" t="s">
        <v>1532</v>
      </c>
      <c r="C83" s="44" t="s">
        <v>1533</v>
      </c>
      <c r="D83" s="507">
        <v>1672.14</v>
      </c>
      <c r="E83" s="43">
        <v>935</v>
      </c>
      <c r="F83" s="41" t="str">
        <f t="shared" si="6"/>
        <v>0117</v>
      </c>
      <c r="G83" s="9"/>
      <c r="H83" s="9"/>
      <c r="I83" s="9"/>
      <c r="J83" s="9"/>
      <c r="K83" s="9"/>
      <c r="L83" s="9"/>
      <c r="M83" s="9">
        <f t="shared" si="8"/>
        <v>1672.14</v>
      </c>
    </row>
    <row r="84" spans="1:15" s="110" customFormat="1" ht="12.6" customHeight="1">
      <c r="A84" s="43">
        <f t="shared" si="9"/>
        <v>73</v>
      </c>
      <c r="B84" s="114"/>
      <c r="C84" s="115" t="s">
        <v>54</v>
      </c>
      <c r="D84" s="12">
        <f>SUM(D12:D83)</f>
        <v>23572566.889999997</v>
      </c>
      <c r="E84" s="113"/>
      <c r="F84" s="108"/>
      <c r="G84" s="12">
        <f>SUM(G13:G83)</f>
        <v>11755942.180000002</v>
      </c>
      <c r="H84" s="12">
        <f>SUM(H13:H83)</f>
        <v>3894624.8600000003</v>
      </c>
      <c r="I84" s="12">
        <f>SUM(I13:I83)</f>
        <v>1991558.94</v>
      </c>
      <c r="J84" s="12">
        <f>SUM(J13:J82)</f>
        <v>124730.54000000001</v>
      </c>
      <c r="K84" s="12"/>
      <c r="L84" s="12">
        <f>SUM(L13:L82)</f>
        <v>598699.68999999994</v>
      </c>
      <c r="M84" s="12">
        <f>SUM(M13:M83)</f>
        <v>3477667.7699999996</v>
      </c>
      <c r="O84" s="12">
        <f>SUM(O13:O83)</f>
        <v>1729342.91</v>
      </c>
    </row>
    <row r="85" spans="1:15" ht="13.8">
      <c r="A85" s="43"/>
      <c r="B85" s="116"/>
      <c r="C85" s="116"/>
      <c r="D85" s="42"/>
      <c r="E85" s="43"/>
      <c r="F85" s="41"/>
      <c r="G85" s="9"/>
      <c r="H85" s="9"/>
      <c r="I85" s="9"/>
      <c r="J85" s="9"/>
      <c r="K85" s="9"/>
      <c r="L85" s="9"/>
      <c r="M85" s="9"/>
    </row>
    <row r="86" spans="1:15" ht="13.8">
      <c r="A86" s="43">
        <f>A84+1</f>
        <v>74</v>
      </c>
      <c r="B86" s="117" t="s">
        <v>724</v>
      </c>
      <c r="C86" s="116"/>
      <c r="D86" s="42"/>
      <c r="E86" s="43"/>
      <c r="F86" s="41"/>
      <c r="G86" s="9"/>
      <c r="H86" s="9"/>
      <c r="I86" s="9"/>
      <c r="J86" s="9"/>
      <c r="K86" s="9"/>
      <c r="L86" s="9"/>
      <c r="M86" s="9"/>
    </row>
    <row r="87" spans="1:15" ht="13.8">
      <c r="A87" s="43">
        <f t="shared" ref="A87:A147" si="10">SUM(A86+1)</f>
        <v>75</v>
      </c>
      <c r="B87" s="44" t="s">
        <v>725</v>
      </c>
      <c r="C87" s="44" t="s">
        <v>726</v>
      </c>
      <c r="D87" s="369">
        <v>1910.39</v>
      </c>
      <c r="E87" s="43" t="str">
        <f t="shared" ref="E87:E119" si="11">LEFT(B87,3)</f>
        <v>500</v>
      </c>
      <c r="F87" s="41" t="str">
        <f t="shared" ref="F87:F119" si="12">RIGHT(B87,LEN(B87)-3)</f>
        <v>02</v>
      </c>
      <c r="G87" s="9">
        <f t="shared" ref="G87:O109" si="13">$D87</f>
        <v>1910.39</v>
      </c>
      <c r="H87" s="9"/>
      <c r="I87" s="9"/>
      <c r="J87" s="9"/>
      <c r="K87" s="9"/>
      <c r="L87" s="9"/>
      <c r="M87" s="9"/>
    </row>
    <row r="88" spans="1:15" ht="13.8">
      <c r="A88" s="43">
        <f t="shared" si="10"/>
        <v>76</v>
      </c>
      <c r="B88" s="44" t="s">
        <v>727</v>
      </c>
      <c r="C88" s="44" t="s">
        <v>728</v>
      </c>
      <c r="D88" s="369">
        <v>0</v>
      </c>
      <c r="E88" s="43" t="str">
        <f t="shared" si="11"/>
        <v>501</v>
      </c>
      <c r="F88" s="41" t="str">
        <f t="shared" si="12"/>
        <v>0201</v>
      </c>
      <c r="G88" s="9">
        <f t="shared" si="13"/>
        <v>0</v>
      </c>
      <c r="H88" s="9"/>
      <c r="I88" s="9"/>
      <c r="J88" s="9"/>
      <c r="K88" s="9"/>
      <c r="L88" s="9"/>
      <c r="M88" s="9"/>
    </row>
    <row r="89" spans="1:15" ht="13.8">
      <c r="A89" s="43">
        <f t="shared" si="10"/>
        <v>77</v>
      </c>
      <c r="B89" s="44" t="s">
        <v>729</v>
      </c>
      <c r="C89" s="44" t="s">
        <v>730</v>
      </c>
      <c r="D89" s="369">
        <v>370698.5</v>
      </c>
      <c r="E89" s="43" t="str">
        <f t="shared" si="11"/>
        <v>502</v>
      </c>
      <c r="F89" s="41" t="str">
        <f t="shared" si="12"/>
        <v>02</v>
      </c>
      <c r="G89" s="9">
        <f t="shared" si="13"/>
        <v>370698.5</v>
      </c>
      <c r="H89" s="9"/>
      <c r="I89" s="9"/>
      <c r="J89" s="9"/>
      <c r="K89" s="9"/>
      <c r="L89" s="9"/>
      <c r="M89" s="9"/>
    </row>
    <row r="90" spans="1:15" ht="13.8">
      <c r="A90" s="43">
        <f t="shared" si="10"/>
        <v>78</v>
      </c>
      <c r="B90" s="44" t="s">
        <v>731</v>
      </c>
      <c r="C90" s="44" t="s">
        <v>732</v>
      </c>
      <c r="D90" s="369">
        <v>131914.65</v>
      </c>
      <c r="E90" s="43" t="str">
        <f t="shared" si="11"/>
        <v>505</v>
      </c>
      <c r="F90" s="41" t="str">
        <f t="shared" si="12"/>
        <v>02</v>
      </c>
      <c r="G90" s="9">
        <f t="shared" si="13"/>
        <v>131914.65</v>
      </c>
      <c r="H90" s="9"/>
      <c r="I90" s="9"/>
      <c r="J90" s="9"/>
      <c r="K90" s="9"/>
      <c r="L90" s="9"/>
      <c r="M90" s="9"/>
    </row>
    <row r="91" spans="1:15" ht="13.8">
      <c r="A91" s="43">
        <f t="shared" si="10"/>
        <v>79</v>
      </c>
      <c r="B91" s="44" t="s">
        <v>733</v>
      </c>
      <c r="C91" s="44" t="s">
        <v>734</v>
      </c>
      <c r="D91" s="369">
        <v>5528.17</v>
      </c>
      <c r="E91" s="43" t="str">
        <f t="shared" si="11"/>
        <v>506</v>
      </c>
      <c r="F91" s="41" t="str">
        <f t="shared" si="12"/>
        <v>02</v>
      </c>
      <c r="G91" s="9">
        <f t="shared" si="13"/>
        <v>5528.17</v>
      </c>
      <c r="H91" s="9"/>
      <c r="I91" s="9"/>
      <c r="J91" s="9"/>
      <c r="K91" s="9"/>
      <c r="L91" s="9"/>
      <c r="M91" s="9"/>
    </row>
    <row r="92" spans="1:15" ht="13.8">
      <c r="A92" s="43">
        <f t="shared" si="10"/>
        <v>80</v>
      </c>
      <c r="B92" s="44" t="s">
        <v>735</v>
      </c>
      <c r="C92" s="44" t="s">
        <v>736</v>
      </c>
      <c r="D92" s="369">
        <v>0</v>
      </c>
      <c r="E92" s="43" t="str">
        <f t="shared" si="11"/>
        <v>506</v>
      </c>
      <c r="F92" s="41" t="str">
        <f t="shared" si="12"/>
        <v>0245</v>
      </c>
      <c r="G92" s="9">
        <f t="shared" si="13"/>
        <v>0</v>
      </c>
      <c r="H92" s="9"/>
      <c r="I92" s="9"/>
      <c r="J92" s="9"/>
      <c r="K92" s="9"/>
      <c r="L92" s="9"/>
      <c r="M92" s="9"/>
    </row>
    <row r="93" spans="1:15" ht="13.8">
      <c r="A93" s="43">
        <f t="shared" si="10"/>
        <v>81</v>
      </c>
      <c r="B93" s="44" t="s">
        <v>737</v>
      </c>
      <c r="C93" s="44" t="s">
        <v>738</v>
      </c>
      <c r="D93" s="369">
        <v>15921.67</v>
      </c>
      <c r="E93" s="43" t="str">
        <f t="shared" si="11"/>
        <v>510</v>
      </c>
      <c r="F93" s="41" t="str">
        <f t="shared" si="12"/>
        <v>02</v>
      </c>
      <c r="G93" s="9">
        <f t="shared" si="13"/>
        <v>15921.67</v>
      </c>
      <c r="H93" s="9"/>
      <c r="I93" s="9"/>
      <c r="J93" s="9"/>
      <c r="K93" s="9"/>
      <c r="L93" s="9"/>
      <c r="M93" s="9"/>
    </row>
    <row r="94" spans="1:15" ht="13.8">
      <c r="A94" s="43">
        <f t="shared" si="10"/>
        <v>82</v>
      </c>
      <c r="B94" s="44" t="s">
        <v>739</v>
      </c>
      <c r="C94" s="44" t="s">
        <v>740</v>
      </c>
      <c r="D94" s="369">
        <v>43703.28</v>
      </c>
      <c r="E94" s="43" t="str">
        <f t="shared" si="11"/>
        <v>511</v>
      </c>
      <c r="F94" s="41" t="str">
        <f t="shared" si="12"/>
        <v>02</v>
      </c>
      <c r="G94" s="9">
        <f t="shared" si="13"/>
        <v>43703.28</v>
      </c>
      <c r="H94" s="9"/>
      <c r="I94" s="9"/>
      <c r="J94" s="9"/>
      <c r="K94" s="9"/>
      <c r="L94" s="9"/>
      <c r="M94" s="9"/>
    </row>
    <row r="95" spans="1:15" ht="13.8">
      <c r="A95" s="43">
        <f t="shared" si="10"/>
        <v>83</v>
      </c>
      <c r="B95" s="44" t="s">
        <v>741</v>
      </c>
      <c r="C95" s="44" t="s">
        <v>742</v>
      </c>
      <c r="D95" s="369">
        <v>506975.63</v>
      </c>
      <c r="E95" s="43" t="str">
        <f t="shared" si="11"/>
        <v>512</v>
      </c>
      <c r="F95" s="41" t="str">
        <f t="shared" si="12"/>
        <v>02</v>
      </c>
      <c r="G95" s="9">
        <f t="shared" si="13"/>
        <v>506975.63</v>
      </c>
      <c r="H95" s="9"/>
      <c r="I95" s="9"/>
      <c r="J95" s="9"/>
      <c r="K95" s="9"/>
      <c r="L95" s="9"/>
      <c r="M95" s="9"/>
    </row>
    <row r="96" spans="1:15" ht="13.8">
      <c r="A96" s="43">
        <f t="shared" si="10"/>
        <v>84</v>
      </c>
      <c r="B96" s="44" t="s">
        <v>743</v>
      </c>
      <c r="C96" s="44" t="s">
        <v>744</v>
      </c>
      <c r="D96" s="369">
        <v>77107.570000000007</v>
      </c>
      <c r="E96" s="43" t="str">
        <f t="shared" si="11"/>
        <v>513</v>
      </c>
      <c r="F96" s="41" t="str">
        <f t="shared" si="12"/>
        <v>02</v>
      </c>
      <c r="G96" s="9">
        <f t="shared" si="13"/>
        <v>77107.570000000007</v>
      </c>
      <c r="H96" s="9"/>
      <c r="I96" s="9"/>
      <c r="J96" s="9"/>
      <c r="K96" s="9"/>
      <c r="L96" s="9"/>
      <c r="M96" s="9"/>
    </row>
    <row r="97" spans="1:15" ht="13.8">
      <c r="A97" s="43">
        <f t="shared" si="10"/>
        <v>85</v>
      </c>
      <c r="B97" s="44" t="s">
        <v>745</v>
      </c>
      <c r="C97" s="44" t="s">
        <v>746</v>
      </c>
      <c r="D97" s="369">
        <v>0</v>
      </c>
      <c r="E97" s="43" t="str">
        <f t="shared" si="11"/>
        <v>513</v>
      </c>
      <c r="F97" s="41" t="str">
        <f t="shared" si="12"/>
        <v>0201</v>
      </c>
      <c r="G97" s="9">
        <f t="shared" si="13"/>
        <v>0</v>
      </c>
      <c r="H97" s="9"/>
      <c r="I97" s="9"/>
      <c r="J97" s="9"/>
      <c r="K97" s="9"/>
      <c r="L97" s="9"/>
      <c r="M97" s="9"/>
    </row>
    <row r="98" spans="1:15" ht="13.8">
      <c r="A98" s="43">
        <f t="shared" si="10"/>
        <v>86</v>
      </c>
      <c r="B98" s="44" t="s">
        <v>747</v>
      </c>
      <c r="C98" s="44" t="s">
        <v>748</v>
      </c>
      <c r="D98" s="369">
        <v>5789.01</v>
      </c>
      <c r="E98" s="43" t="str">
        <f t="shared" si="11"/>
        <v>514</v>
      </c>
      <c r="F98" s="41" t="str">
        <f t="shared" si="12"/>
        <v>02</v>
      </c>
      <c r="G98" s="9">
        <f t="shared" si="13"/>
        <v>5789.01</v>
      </c>
      <c r="H98" s="9"/>
      <c r="I98" s="9"/>
      <c r="J98" s="9"/>
      <c r="K98" s="9"/>
      <c r="L98" s="9"/>
      <c r="M98" s="9"/>
    </row>
    <row r="99" spans="1:15" ht="13.8">
      <c r="A99" s="43">
        <f t="shared" si="10"/>
        <v>87</v>
      </c>
      <c r="B99" s="44" t="s">
        <v>749</v>
      </c>
      <c r="C99" s="44" t="s">
        <v>750</v>
      </c>
      <c r="D99" s="369">
        <v>581.91</v>
      </c>
      <c r="E99" s="43" t="str">
        <f t="shared" si="11"/>
        <v>546</v>
      </c>
      <c r="F99" s="41" t="str">
        <f t="shared" si="12"/>
        <v>02</v>
      </c>
      <c r="G99" s="9">
        <f t="shared" si="13"/>
        <v>581.91</v>
      </c>
      <c r="H99" s="9"/>
      <c r="I99" s="9"/>
      <c r="J99" s="9"/>
      <c r="K99" s="9"/>
      <c r="L99" s="9"/>
      <c r="M99" s="9"/>
    </row>
    <row r="100" spans="1:15" ht="13.8">
      <c r="A100" s="43">
        <f t="shared" si="10"/>
        <v>88</v>
      </c>
      <c r="B100" s="44" t="s">
        <v>751</v>
      </c>
      <c r="C100" s="44" t="s">
        <v>728</v>
      </c>
      <c r="D100" s="369">
        <v>0</v>
      </c>
      <c r="E100" s="43" t="str">
        <f t="shared" si="11"/>
        <v>547</v>
      </c>
      <c r="F100" s="41" t="str">
        <f t="shared" si="12"/>
        <v>0201</v>
      </c>
      <c r="G100" s="9">
        <f t="shared" si="13"/>
        <v>0</v>
      </c>
      <c r="H100" s="9"/>
      <c r="I100" s="9"/>
      <c r="J100" s="9"/>
      <c r="K100" s="9"/>
      <c r="L100" s="9"/>
      <c r="M100" s="9"/>
    </row>
    <row r="101" spans="1:15" ht="13.8">
      <c r="A101" s="43">
        <f t="shared" si="10"/>
        <v>89</v>
      </c>
      <c r="B101" s="44" t="s">
        <v>752</v>
      </c>
      <c r="C101" s="44" t="s">
        <v>753</v>
      </c>
      <c r="D101" s="369">
        <v>166161.32</v>
      </c>
      <c r="E101" s="43" t="str">
        <f t="shared" si="11"/>
        <v>548</v>
      </c>
      <c r="F101" s="41" t="str">
        <f t="shared" si="12"/>
        <v>02</v>
      </c>
      <c r="G101" s="9">
        <f t="shared" si="13"/>
        <v>166161.32</v>
      </c>
      <c r="H101" s="9"/>
      <c r="I101" s="9"/>
      <c r="J101" s="9"/>
      <c r="K101" s="9"/>
      <c r="L101" s="9"/>
      <c r="M101" s="9"/>
    </row>
    <row r="102" spans="1:15" ht="13.8">
      <c r="A102" s="43">
        <f t="shared" si="10"/>
        <v>90</v>
      </c>
      <c r="B102" s="44" t="s">
        <v>754</v>
      </c>
      <c r="C102" s="44" t="s">
        <v>755</v>
      </c>
      <c r="D102" s="369">
        <v>43203.53</v>
      </c>
      <c r="E102" s="43" t="str">
        <f t="shared" si="11"/>
        <v>549</v>
      </c>
      <c r="F102" s="41" t="str">
        <f t="shared" si="12"/>
        <v>02</v>
      </c>
      <c r="G102" s="9">
        <f t="shared" si="13"/>
        <v>43203.53</v>
      </c>
      <c r="H102" s="9"/>
      <c r="I102" s="9"/>
      <c r="J102" s="9"/>
      <c r="K102" s="9"/>
      <c r="L102" s="9"/>
      <c r="M102" s="9"/>
    </row>
    <row r="103" spans="1:15" ht="13.8">
      <c r="A103" s="43">
        <f t="shared" si="10"/>
        <v>91</v>
      </c>
      <c r="B103" s="111">
        <v>55102</v>
      </c>
      <c r="C103" s="44" t="s">
        <v>1273</v>
      </c>
      <c r="D103" s="369">
        <v>-72.64</v>
      </c>
      <c r="E103" s="43" t="str">
        <f t="shared" ref="E103" si="14">LEFT(B103,3)</f>
        <v>551</v>
      </c>
      <c r="F103" s="41" t="str">
        <f t="shared" ref="F103" si="15">RIGHT(B103,LEN(B103)-3)</f>
        <v>02</v>
      </c>
      <c r="G103" s="9">
        <f t="shared" si="13"/>
        <v>-72.64</v>
      </c>
      <c r="H103" s="9"/>
      <c r="I103" s="9"/>
      <c r="J103" s="9"/>
      <c r="K103" s="9"/>
      <c r="L103" s="9"/>
      <c r="M103" s="9"/>
    </row>
    <row r="104" spans="1:15" ht="13.8">
      <c r="A104" s="43">
        <f t="shared" si="10"/>
        <v>92</v>
      </c>
      <c r="B104" s="44" t="s">
        <v>756</v>
      </c>
      <c r="C104" s="44" t="s">
        <v>757</v>
      </c>
      <c r="D104" s="369">
        <v>5237.91</v>
      </c>
      <c r="E104" s="43" t="str">
        <f t="shared" si="11"/>
        <v>552</v>
      </c>
      <c r="F104" s="41" t="str">
        <f t="shared" si="12"/>
        <v>02</v>
      </c>
      <c r="G104" s="9">
        <f t="shared" si="13"/>
        <v>5237.91</v>
      </c>
      <c r="H104" s="9"/>
      <c r="I104" s="9"/>
      <c r="J104" s="9"/>
      <c r="K104" s="9"/>
      <c r="L104" s="9"/>
      <c r="M104" s="9"/>
    </row>
    <row r="105" spans="1:15" ht="13.8">
      <c r="A105" s="43">
        <f t="shared" si="10"/>
        <v>93</v>
      </c>
      <c r="B105" s="44" t="s">
        <v>758</v>
      </c>
      <c r="C105" s="44" t="s">
        <v>759</v>
      </c>
      <c r="D105" s="369">
        <v>167686.1</v>
      </c>
      <c r="E105" s="43" t="str">
        <f t="shared" si="11"/>
        <v>553</v>
      </c>
      <c r="F105" s="41" t="str">
        <f t="shared" si="12"/>
        <v>02</v>
      </c>
      <c r="G105" s="9">
        <f t="shared" si="13"/>
        <v>167686.1</v>
      </c>
      <c r="H105" s="9"/>
      <c r="I105" s="9"/>
      <c r="J105" s="9"/>
      <c r="K105" s="9"/>
      <c r="L105" s="9"/>
      <c r="M105" s="9"/>
    </row>
    <row r="106" spans="1:15" ht="13.8">
      <c r="A106" s="43">
        <f t="shared" si="10"/>
        <v>94</v>
      </c>
      <c r="B106" s="44" t="s">
        <v>760</v>
      </c>
      <c r="C106" s="44" t="s">
        <v>761</v>
      </c>
      <c r="D106" s="369">
        <v>49477.7</v>
      </c>
      <c r="E106" s="43" t="str">
        <f t="shared" si="11"/>
        <v>554</v>
      </c>
      <c r="F106" s="41" t="str">
        <f t="shared" si="12"/>
        <v>02</v>
      </c>
      <c r="G106" s="9">
        <f t="shared" si="13"/>
        <v>49477.7</v>
      </c>
      <c r="H106" s="9"/>
      <c r="I106" s="9"/>
      <c r="J106" s="9"/>
      <c r="K106" s="9"/>
      <c r="L106" s="9"/>
      <c r="M106" s="9"/>
    </row>
    <row r="107" spans="1:15" ht="13.8">
      <c r="A107" s="43">
        <f t="shared" si="10"/>
        <v>95</v>
      </c>
      <c r="B107" s="44" t="s">
        <v>762</v>
      </c>
      <c r="C107" s="44" t="s">
        <v>763</v>
      </c>
      <c r="D107" s="369">
        <v>0</v>
      </c>
      <c r="E107" s="43" t="str">
        <f t="shared" si="11"/>
        <v>556</v>
      </c>
      <c r="F107" s="41" t="str">
        <f t="shared" si="12"/>
        <v>0203</v>
      </c>
      <c r="G107" s="9">
        <f t="shared" si="13"/>
        <v>0</v>
      </c>
      <c r="H107" s="9"/>
      <c r="I107" s="9"/>
      <c r="J107" s="9"/>
      <c r="K107" s="9"/>
      <c r="L107" s="9"/>
      <c r="M107" s="9"/>
    </row>
    <row r="108" spans="1:15" ht="13.8">
      <c r="A108" s="43">
        <f t="shared" si="10"/>
        <v>96</v>
      </c>
      <c r="B108" s="44" t="s">
        <v>764</v>
      </c>
      <c r="C108" s="44" t="s">
        <v>765</v>
      </c>
      <c r="D108" s="369">
        <v>13878.71</v>
      </c>
      <c r="E108" s="43" t="str">
        <f t="shared" si="11"/>
        <v>561</v>
      </c>
      <c r="F108" s="41" t="str">
        <f t="shared" si="12"/>
        <v>0201</v>
      </c>
      <c r="G108" s="9"/>
      <c r="I108" s="9"/>
      <c r="J108" s="9"/>
      <c r="K108" s="9"/>
      <c r="L108" s="9"/>
      <c r="M108" s="9"/>
      <c r="O108" s="9">
        <f t="shared" si="13"/>
        <v>13878.71</v>
      </c>
    </row>
    <row r="109" spans="1:15" ht="13.8">
      <c r="A109" s="43">
        <f t="shared" si="10"/>
        <v>97</v>
      </c>
      <c r="B109" s="44" t="s">
        <v>766</v>
      </c>
      <c r="C109" s="44" t="s">
        <v>767</v>
      </c>
      <c r="D109" s="369">
        <v>0</v>
      </c>
      <c r="E109" s="43" t="str">
        <f t="shared" si="11"/>
        <v>561</v>
      </c>
      <c r="F109" s="41" t="str">
        <f t="shared" si="12"/>
        <v>0203</v>
      </c>
      <c r="G109" s="9"/>
      <c r="I109" s="9"/>
      <c r="J109" s="9"/>
      <c r="K109" s="9"/>
      <c r="L109" s="9"/>
      <c r="M109" s="9"/>
      <c r="O109" s="9">
        <f t="shared" si="13"/>
        <v>0</v>
      </c>
    </row>
    <row r="110" spans="1:15" ht="13.8">
      <c r="A110" s="43">
        <f t="shared" si="10"/>
        <v>98</v>
      </c>
      <c r="B110" s="44" t="s">
        <v>768</v>
      </c>
      <c r="C110" s="44" t="s">
        <v>769</v>
      </c>
      <c r="D110" s="369">
        <v>476.21</v>
      </c>
      <c r="E110" s="43" t="str">
        <f t="shared" si="11"/>
        <v>561</v>
      </c>
      <c r="F110" s="41" t="str">
        <f t="shared" si="12"/>
        <v>0204</v>
      </c>
      <c r="G110" s="9"/>
      <c r="I110" s="9"/>
      <c r="J110" s="9"/>
      <c r="K110" s="9"/>
      <c r="L110" s="9"/>
      <c r="M110" s="9"/>
      <c r="O110" s="9">
        <f t="shared" ref="H110:O126" si="16">$D110</f>
        <v>476.21</v>
      </c>
    </row>
    <row r="111" spans="1:15" ht="13.8">
      <c r="A111" s="43">
        <f t="shared" si="10"/>
        <v>99</v>
      </c>
      <c r="B111" s="44" t="s">
        <v>770</v>
      </c>
      <c r="C111" s="44" t="s">
        <v>771</v>
      </c>
      <c r="D111" s="369">
        <v>117341.24</v>
      </c>
      <c r="E111" s="43" t="str">
        <f t="shared" si="11"/>
        <v>562</v>
      </c>
      <c r="F111" s="41" t="str">
        <f t="shared" si="12"/>
        <v>02</v>
      </c>
      <c r="G111" s="9"/>
      <c r="H111" s="9">
        <f t="shared" si="16"/>
        <v>117341.24</v>
      </c>
      <c r="I111" s="9"/>
      <c r="J111" s="9"/>
      <c r="K111" s="9"/>
      <c r="L111" s="9"/>
      <c r="M111" s="9"/>
    </row>
    <row r="112" spans="1:15" ht="13.8">
      <c r="A112" s="43">
        <f t="shared" si="10"/>
        <v>100</v>
      </c>
      <c r="B112" s="44" t="s">
        <v>772</v>
      </c>
      <c r="C112" s="44" t="s">
        <v>773</v>
      </c>
      <c r="D112" s="369">
        <v>0</v>
      </c>
      <c r="E112" s="43" t="str">
        <f t="shared" si="11"/>
        <v>562</v>
      </c>
      <c r="F112" s="41" t="str">
        <f t="shared" si="12"/>
        <v>0201</v>
      </c>
      <c r="G112" s="9"/>
      <c r="H112" s="9">
        <f t="shared" si="16"/>
        <v>0</v>
      </c>
      <c r="I112" s="9"/>
      <c r="J112" s="9"/>
      <c r="K112" s="9"/>
      <c r="L112" s="9"/>
      <c r="M112" s="9"/>
    </row>
    <row r="113" spans="1:13" ht="13.8">
      <c r="A113" s="43">
        <f t="shared" si="10"/>
        <v>101</v>
      </c>
      <c r="B113" s="44" t="s">
        <v>774</v>
      </c>
      <c r="C113" s="44" t="s">
        <v>775</v>
      </c>
      <c r="D113" s="369">
        <v>599.22</v>
      </c>
      <c r="E113" s="43" t="str">
        <f t="shared" si="11"/>
        <v>562</v>
      </c>
      <c r="F113" s="41" t="str">
        <f t="shared" si="12"/>
        <v>0207</v>
      </c>
      <c r="G113" s="9"/>
      <c r="H113" s="9">
        <f t="shared" si="16"/>
        <v>599.22</v>
      </c>
      <c r="I113" s="9"/>
      <c r="J113" s="9"/>
      <c r="K113" s="9"/>
      <c r="L113" s="9"/>
      <c r="M113" s="9"/>
    </row>
    <row r="114" spans="1:13" ht="13.8">
      <c r="A114" s="43">
        <f t="shared" si="10"/>
        <v>102</v>
      </c>
      <c r="B114" s="44" t="s">
        <v>776</v>
      </c>
      <c r="C114" s="44" t="s">
        <v>777</v>
      </c>
      <c r="D114" s="369">
        <v>86026.51</v>
      </c>
      <c r="E114" s="43" t="str">
        <f t="shared" si="11"/>
        <v>563</v>
      </c>
      <c r="F114" s="41" t="str">
        <f t="shared" si="12"/>
        <v>02</v>
      </c>
      <c r="G114" s="9"/>
      <c r="H114" s="9">
        <f t="shared" si="16"/>
        <v>86026.51</v>
      </c>
      <c r="I114" s="9"/>
      <c r="J114" s="9"/>
      <c r="K114" s="9"/>
      <c r="L114" s="9"/>
      <c r="M114" s="9"/>
    </row>
    <row r="115" spans="1:13" ht="13.8">
      <c r="A115" s="43">
        <f t="shared" si="10"/>
        <v>103</v>
      </c>
      <c r="B115" s="44" t="s">
        <v>778</v>
      </c>
      <c r="C115" s="44" t="s">
        <v>779</v>
      </c>
      <c r="D115" s="369">
        <v>5228.5600000000004</v>
      </c>
      <c r="E115" s="43" t="str">
        <f t="shared" si="11"/>
        <v>566</v>
      </c>
      <c r="F115" s="41" t="str">
        <f t="shared" si="12"/>
        <v>02</v>
      </c>
      <c r="G115" s="9"/>
      <c r="H115" s="9">
        <f t="shared" si="16"/>
        <v>5228.5600000000004</v>
      </c>
      <c r="I115" s="9"/>
      <c r="J115" s="9"/>
      <c r="K115" s="9"/>
      <c r="L115" s="9"/>
      <c r="M115" s="9"/>
    </row>
    <row r="116" spans="1:13" ht="13.8">
      <c r="A116" s="43">
        <f t="shared" si="10"/>
        <v>104</v>
      </c>
      <c r="B116" s="44" t="s">
        <v>780</v>
      </c>
      <c r="C116" s="44" t="s">
        <v>781</v>
      </c>
      <c r="D116" s="369">
        <v>341.76</v>
      </c>
      <c r="E116" s="43" t="str">
        <f t="shared" si="11"/>
        <v>566</v>
      </c>
      <c r="F116" s="41" t="str">
        <f t="shared" si="12"/>
        <v>0201</v>
      </c>
      <c r="G116" s="9"/>
      <c r="H116" s="9">
        <f t="shared" si="16"/>
        <v>341.76</v>
      </c>
      <c r="I116" s="9"/>
      <c r="J116" s="9"/>
      <c r="K116" s="9"/>
      <c r="L116" s="9"/>
      <c r="M116" s="9"/>
    </row>
    <row r="117" spans="1:13" ht="13.8">
      <c r="A117" s="43">
        <f t="shared" si="10"/>
        <v>105</v>
      </c>
      <c r="B117" s="44" t="s">
        <v>782</v>
      </c>
      <c r="C117" s="44" t="s">
        <v>783</v>
      </c>
      <c r="D117" s="369">
        <v>30257.33</v>
      </c>
      <c r="E117" s="43" t="str">
        <f t="shared" si="11"/>
        <v>566</v>
      </c>
      <c r="F117" s="41" t="str">
        <f t="shared" si="12"/>
        <v>0245</v>
      </c>
      <c r="G117" s="9"/>
      <c r="H117" s="9">
        <f t="shared" si="16"/>
        <v>30257.33</v>
      </c>
      <c r="I117" s="9"/>
      <c r="J117" s="9"/>
      <c r="K117" s="9"/>
      <c r="L117" s="9"/>
      <c r="M117" s="9"/>
    </row>
    <row r="118" spans="1:13" ht="13.8">
      <c r="A118" s="43">
        <f t="shared" si="10"/>
        <v>106</v>
      </c>
      <c r="B118" s="44" t="s">
        <v>784</v>
      </c>
      <c r="C118" s="44" t="s">
        <v>785</v>
      </c>
      <c r="D118" s="369">
        <v>13539.62</v>
      </c>
      <c r="E118" s="43" t="str">
        <f t="shared" si="11"/>
        <v>570</v>
      </c>
      <c r="F118" s="41" t="str">
        <f t="shared" si="12"/>
        <v>02</v>
      </c>
      <c r="G118" s="9"/>
      <c r="H118" s="9">
        <f t="shared" si="16"/>
        <v>13539.62</v>
      </c>
      <c r="I118" s="9"/>
      <c r="J118" s="9"/>
      <c r="K118" s="9"/>
      <c r="L118" s="9"/>
      <c r="M118" s="9"/>
    </row>
    <row r="119" spans="1:13" ht="13.8">
      <c r="A119" s="43">
        <f t="shared" si="10"/>
        <v>107</v>
      </c>
      <c r="B119" s="44" t="s">
        <v>786</v>
      </c>
      <c r="C119" s="44" t="s">
        <v>787</v>
      </c>
      <c r="D119" s="369">
        <v>10564.58</v>
      </c>
      <c r="E119" s="43" t="str">
        <f t="shared" si="11"/>
        <v>571</v>
      </c>
      <c r="F119" s="41" t="str">
        <f t="shared" si="12"/>
        <v>02</v>
      </c>
      <c r="G119" s="9"/>
      <c r="H119" s="9">
        <f t="shared" si="16"/>
        <v>10564.58</v>
      </c>
      <c r="I119" s="9"/>
      <c r="J119" s="9"/>
      <c r="K119" s="9"/>
      <c r="L119" s="9"/>
      <c r="M119" s="9"/>
    </row>
    <row r="120" spans="1:13" ht="13.8">
      <c r="A120" s="43">
        <f t="shared" si="10"/>
        <v>108</v>
      </c>
      <c r="B120" s="44" t="s">
        <v>788</v>
      </c>
      <c r="C120" s="44" t="s">
        <v>789</v>
      </c>
      <c r="D120" s="369">
        <v>341.38</v>
      </c>
      <c r="E120" s="43" t="str">
        <f t="shared" ref="E120:E146" si="17">LEFT(B120,3)</f>
        <v>571</v>
      </c>
      <c r="F120" s="41" t="str">
        <f t="shared" ref="F120:F146" si="18">RIGHT(B120,LEN(B120)-3)</f>
        <v>0201</v>
      </c>
      <c r="G120" s="9"/>
      <c r="H120" s="9">
        <f t="shared" si="16"/>
        <v>341.38</v>
      </c>
      <c r="I120" s="9"/>
      <c r="J120" s="9"/>
      <c r="K120" s="9"/>
      <c r="L120" s="9"/>
      <c r="M120" s="9"/>
    </row>
    <row r="121" spans="1:13" ht="13.8">
      <c r="A121" s="43">
        <f t="shared" si="10"/>
        <v>109</v>
      </c>
      <c r="B121" s="44" t="s">
        <v>790</v>
      </c>
      <c r="C121" s="44" t="s">
        <v>791</v>
      </c>
      <c r="D121" s="369">
        <v>7576.32</v>
      </c>
      <c r="E121" s="43" t="str">
        <f t="shared" si="17"/>
        <v>571</v>
      </c>
      <c r="F121" s="41" t="str">
        <f t="shared" si="18"/>
        <v>0202</v>
      </c>
      <c r="G121" s="9"/>
      <c r="H121" s="9">
        <f t="shared" si="16"/>
        <v>7576.32</v>
      </c>
      <c r="I121" s="9"/>
      <c r="J121" s="9"/>
      <c r="K121" s="9"/>
      <c r="L121" s="9"/>
      <c r="M121" s="9"/>
    </row>
    <row r="122" spans="1:13" ht="13.8">
      <c r="A122" s="43">
        <f t="shared" si="10"/>
        <v>110</v>
      </c>
      <c r="B122" s="44" t="s">
        <v>792</v>
      </c>
      <c r="C122" s="44" t="s">
        <v>793</v>
      </c>
      <c r="D122" s="369">
        <v>970.66</v>
      </c>
      <c r="E122" s="43" t="str">
        <f t="shared" si="17"/>
        <v>573</v>
      </c>
      <c r="F122" s="41" t="str">
        <f t="shared" si="18"/>
        <v>02</v>
      </c>
      <c r="G122" s="9"/>
      <c r="H122" s="9">
        <f t="shared" si="16"/>
        <v>970.66</v>
      </c>
      <c r="I122" s="9"/>
      <c r="J122" s="9"/>
      <c r="K122" s="9"/>
      <c r="L122" s="9"/>
      <c r="M122" s="9"/>
    </row>
    <row r="123" spans="1:13" ht="13.8">
      <c r="A123" s="43">
        <f t="shared" si="10"/>
        <v>111</v>
      </c>
      <c r="B123" s="44" t="s">
        <v>794</v>
      </c>
      <c r="C123" s="44" t="s">
        <v>795</v>
      </c>
      <c r="D123" s="369">
        <v>0</v>
      </c>
      <c r="E123" s="43" t="str">
        <f t="shared" si="17"/>
        <v>580</v>
      </c>
      <c r="F123" s="41" t="str">
        <f t="shared" si="18"/>
        <v>02</v>
      </c>
      <c r="G123" s="9"/>
      <c r="H123" s="9">
        <f t="shared" si="16"/>
        <v>0</v>
      </c>
      <c r="I123" s="9">
        <f t="shared" si="16"/>
        <v>0</v>
      </c>
      <c r="J123" s="9"/>
      <c r="K123" s="9"/>
      <c r="L123" s="9"/>
      <c r="M123" s="9"/>
    </row>
    <row r="124" spans="1:13" ht="13.8">
      <c r="A124" s="43">
        <f t="shared" si="10"/>
        <v>112</v>
      </c>
      <c r="B124" s="44" t="s">
        <v>796</v>
      </c>
      <c r="C124" s="44" t="s">
        <v>797</v>
      </c>
      <c r="D124" s="369">
        <v>48228.27</v>
      </c>
      <c r="E124" s="43" t="str">
        <f t="shared" si="17"/>
        <v>582</v>
      </c>
      <c r="F124" s="41" t="str">
        <f t="shared" si="18"/>
        <v>02</v>
      </c>
      <c r="G124" s="9"/>
      <c r="H124" s="9"/>
      <c r="I124" s="9">
        <f t="shared" si="16"/>
        <v>48228.27</v>
      </c>
      <c r="J124" s="9"/>
      <c r="K124" s="9"/>
      <c r="L124" s="9"/>
      <c r="M124" s="9"/>
    </row>
    <row r="125" spans="1:13" ht="13.8">
      <c r="A125" s="43">
        <f t="shared" si="10"/>
        <v>113</v>
      </c>
      <c r="B125" s="111">
        <v>58202045</v>
      </c>
      <c r="C125" s="44" t="s">
        <v>1274</v>
      </c>
      <c r="D125" s="369">
        <v>0</v>
      </c>
      <c r="E125" s="43" t="str">
        <f t="shared" ref="E125" si="19">LEFT(B125,3)</f>
        <v>582</v>
      </c>
      <c r="F125" s="41" t="str">
        <f t="shared" ref="F125" si="20">RIGHT(B125,LEN(B125)-3)</f>
        <v>02045</v>
      </c>
      <c r="G125" s="9"/>
      <c r="H125" s="9"/>
      <c r="I125" s="9">
        <f t="shared" si="16"/>
        <v>0</v>
      </c>
      <c r="J125" s="9"/>
      <c r="K125" s="9"/>
      <c r="L125" s="9"/>
      <c r="M125" s="9"/>
    </row>
    <row r="126" spans="1:13" ht="13.8">
      <c r="A126" s="43">
        <f t="shared" si="10"/>
        <v>114</v>
      </c>
      <c r="B126" s="44" t="s">
        <v>798</v>
      </c>
      <c r="C126" s="44" t="s">
        <v>799</v>
      </c>
      <c r="D126" s="369">
        <v>15671.64</v>
      </c>
      <c r="E126" s="43" t="str">
        <f t="shared" si="17"/>
        <v>586</v>
      </c>
      <c r="F126" s="41" t="str">
        <f t="shared" si="18"/>
        <v>02</v>
      </c>
      <c r="G126" s="9"/>
      <c r="H126" s="9"/>
      <c r="I126" s="9">
        <f t="shared" si="16"/>
        <v>15671.64</v>
      </c>
      <c r="J126" s="9"/>
      <c r="K126" s="9"/>
      <c r="L126" s="9"/>
      <c r="M126" s="9"/>
    </row>
    <row r="127" spans="1:13" ht="13.8">
      <c r="A127" s="43">
        <f t="shared" si="10"/>
        <v>115</v>
      </c>
      <c r="B127" s="44" t="s">
        <v>800</v>
      </c>
      <c r="C127" s="44" t="s">
        <v>801</v>
      </c>
      <c r="D127" s="369">
        <v>201.71</v>
      </c>
      <c r="E127" s="43" t="str">
        <f t="shared" si="17"/>
        <v>588</v>
      </c>
      <c r="F127" s="41" t="str">
        <f t="shared" si="18"/>
        <v>02</v>
      </c>
      <c r="G127" s="9"/>
      <c r="H127" s="9"/>
      <c r="I127" s="9">
        <f t="shared" ref="I127:M142" si="21">$D127</f>
        <v>201.71</v>
      </c>
      <c r="J127" s="9"/>
      <c r="K127" s="9"/>
      <c r="L127" s="9"/>
      <c r="M127" s="9"/>
    </row>
    <row r="128" spans="1:13" ht="13.8">
      <c r="A128" s="43">
        <f t="shared" si="10"/>
        <v>116</v>
      </c>
      <c r="B128" s="44" t="s">
        <v>802</v>
      </c>
      <c r="C128" s="44" t="s">
        <v>803</v>
      </c>
      <c r="D128" s="369">
        <v>40243.879999999997</v>
      </c>
      <c r="E128" s="43" t="str">
        <f t="shared" si="17"/>
        <v>592</v>
      </c>
      <c r="F128" s="41" t="str">
        <f t="shared" si="18"/>
        <v>02</v>
      </c>
      <c r="G128" s="9"/>
      <c r="H128" s="9"/>
      <c r="I128" s="9">
        <f t="shared" si="21"/>
        <v>40243.879999999997</v>
      </c>
      <c r="J128" s="9"/>
      <c r="K128" s="9"/>
      <c r="L128" s="9"/>
      <c r="M128" s="9"/>
    </row>
    <row r="129" spans="1:13" ht="13.8">
      <c r="A129" s="43">
        <f t="shared" si="10"/>
        <v>117</v>
      </c>
      <c r="B129" s="44" t="s">
        <v>804</v>
      </c>
      <c r="C129" s="44" t="s">
        <v>805</v>
      </c>
      <c r="D129" s="369">
        <v>14243.31</v>
      </c>
      <c r="E129" s="43" t="str">
        <f t="shared" si="17"/>
        <v>592</v>
      </c>
      <c r="F129" s="41" t="str">
        <f t="shared" si="18"/>
        <v>0203</v>
      </c>
      <c r="G129" s="9"/>
      <c r="H129" s="9"/>
      <c r="I129" s="9">
        <f t="shared" si="21"/>
        <v>14243.31</v>
      </c>
      <c r="J129" s="9"/>
      <c r="K129" s="9"/>
      <c r="L129" s="9"/>
      <c r="M129" s="9"/>
    </row>
    <row r="130" spans="1:13" ht="13.8">
      <c r="A130" s="43">
        <f t="shared" si="10"/>
        <v>118</v>
      </c>
      <c r="B130" s="44" t="s">
        <v>806</v>
      </c>
      <c r="C130" s="44" t="s">
        <v>807</v>
      </c>
      <c r="D130" s="369">
        <v>3736.29</v>
      </c>
      <c r="E130" s="43" t="str">
        <f t="shared" si="17"/>
        <v>902</v>
      </c>
      <c r="F130" s="41" t="str">
        <f t="shared" si="18"/>
        <v>02</v>
      </c>
      <c r="G130" s="9"/>
      <c r="H130" s="9"/>
      <c r="I130" s="9"/>
      <c r="J130" s="9">
        <f t="shared" si="21"/>
        <v>3736.29</v>
      </c>
      <c r="K130" s="9"/>
      <c r="L130" s="9"/>
      <c r="M130" s="9"/>
    </row>
    <row r="131" spans="1:13" ht="13.8">
      <c r="A131" s="43">
        <f t="shared" si="10"/>
        <v>119</v>
      </c>
      <c r="B131" s="44" t="s">
        <v>808</v>
      </c>
      <c r="C131" s="44" t="s">
        <v>809</v>
      </c>
      <c r="D131" s="369">
        <v>1675.92</v>
      </c>
      <c r="E131" s="43" t="str">
        <f t="shared" si="17"/>
        <v>912</v>
      </c>
      <c r="F131" s="41" t="str">
        <f t="shared" si="18"/>
        <v>02</v>
      </c>
      <c r="G131" s="9"/>
      <c r="H131" s="9"/>
      <c r="I131" s="9"/>
      <c r="J131" s="9"/>
      <c r="K131" s="9"/>
      <c r="L131" s="9">
        <f t="shared" si="21"/>
        <v>1675.92</v>
      </c>
      <c r="M131" s="9"/>
    </row>
    <row r="132" spans="1:13" ht="13.8">
      <c r="A132" s="43">
        <f t="shared" si="10"/>
        <v>120</v>
      </c>
      <c r="B132" s="44" t="s">
        <v>810</v>
      </c>
      <c r="C132" s="44" t="s">
        <v>811</v>
      </c>
      <c r="D132" s="369">
        <v>7641.14</v>
      </c>
      <c r="E132" s="43" t="str">
        <f t="shared" si="17"/>
        <v>920</v>
      </c>
      <c r="F132" s="41" t="str">
        <f t="shared" si="18"/>
        <v>02</v>
      </c>
      <c r="G132" s="9"/>
      <c r="H132" s="9"/>
      <c r="I132" s="9"/>
      <c r="J132" s="9"/>
      <c r="K132" s="9"/>
      <c r="L132" s="9"/>
      <c r="M132" s="9">
        <f t="shared" si="21"/>
        <v>7641.14</v>
      </c>
    </row>
    <row r="133" spans="1:13" ht="13.8">
      <c r="A133" s="43">
        <f t="shared" si="10"/>
        <v>121</v>
      </c>
      <c r="B133" s="44" t="s">
        <v>812</v>
      </c>
      <c r="C133" s="44" t="s">
        <v>813</v>
      </c>
      <c r="D133" s="369">
        <v>30581.48</v>
      </c>
      <c r="E133" s="43" t="str">
        <f t="shared" si="17"/>
        <v>935</v>
      </c>
      <c r="F133" s="41" t="str">
        <f t="shared" si="18"/>
        <v>0203</v>
      </c>
      <c r="G133" s="9"/>
      <c r="H133" s="9"/>
      <c r="I133" s="9"/>
      <c r="J133" s="9"/>
      <c r="K133" s="9"/>
      <c r="L133" s="9"/>
      <c r="M133" s="9">
        <f t="shared" si="21"/>
        <v>30581.48</v>
      </c>
    </row>
    <row r="134" spans="1:13" ht="13.8">
      <c r="A134" s="43">
        <f t="shared" si="10"/>
        <v>122</v>
      </c>
      <c r="B134" s="44" t="s">
        <v>814</v>
      </c>
      <c r="C134" s="44" t="s">
        <v>815</v>
      </c>
      <c r="D134" s="369">
        <v>43.1</v>
      </c>
      <c r="E134" s="43" t="str">
        <f t="shared" si="17"/>
        <v>935</v>
      </c>
      <c r="F134" s="41" t="str">
        <f t="shared" si="18"/>
        <v>0204</v>
      </c>
      <c r="G134" s="9"/>
      <c r="H134" s="9"/>
      <c r="I134" s="9"/>
      <c r="J134" s="9"/>
      <c r="K134" s="9"/>
      <c r="L134" s="9"/>
      <c r="M134" s="9">
        <f t="shared" si="21"/>
        <v>43.1</v>
      </c>
    </row>
    <row r="135" spans="1:13" ht="13.8">
      <c r="A135" s="43">
        <f t="shared" si="10"/>
        <v>123</v>
      </c>
      <c r="B135" s="44" t="s">
        <v>816</v>
      </c>
      <c r="C135" s="44" t="s">
        <v>817</v>
      </c>
      <c r="D135" s="369">
        <v>0</v>
      </c>
      <c r="E135" s="43" t="str">
        <f t="shared" si="17"/>
        <v>935</v>
      </c>
      <c r="F135" s="41" t="str">
        <f t="shared" si="18"/>
        <v>0205</v>
      </c>
      <c r="G135" s="9"/>
      <c r="H135" s="9"/>
      <c r="I135" s="9"/>
      <c r="J135" s="9"/>
      <c r="K135" s="9"/>
      <c r="L135" s="9"/>
      <c r="M135" s="9">
        <f t="shared" si="21"/>
        <v>0</v>
      </c>
    </row>
    <row r="136" spans="1:13" ht="13.8">
      <c r="A136" s="43">
        <f t="shared" si="10"/>
        <v>124</v>
      </c>
      <c r="B136" s="44" t="s">
        <v>818</v>
      </c>
      <c r="C136" s="44" t="s">
        <v>819</v>
      </c>
      <c r="D136" s="369">
        <v>0</v>
      </c>
      <c r="E136" s="43" t="str">
        <f t="shared" si="17"/>
        <v>935</v>
      </c>
      <c r="F136" s="41" t="str">
        <f t="shared" si="18"/>
        <v>0206</v>
      </c>
      <c r="G136" s="9"/>
      <c r="H136" s="9"/>
      <c r="I136" s="9"/>
      <c r="J136" s="9"/>
      <c r="K136" s="9"/>
      <c r="L136" s="9"/>
      <c r="M136" s="9">
        <f t="shared" si="21"/>
        <v>0</v>
      </c>
    </row>
    <row r="137" spans="1:13" ht="13.8">
      <c r="A137" s="43">
        <f t="shared" si="10"/>
        <v>125</v>
      </c>
      <c r="B137" s="44" t="s">
        <v>820</v>
      </c>
      <c r="C137" s="44" t="s">
        <v>821</v>
      </c>
      <c r="D137" s="369">
        <v>216.36</v>
      </c>
      <c r="E137" s="43" t="str">
        <f t="shared" si="17"/>
        <v>935</v>
      </c>
      <c r="F137" s="41" t="str">
        <f t="shared" si="18"/>
        <v>0207</v>
      </c>
      <c r="G137" s="9"/>
      <c r="H137" s="9"/>
      <c r="I137" s="9"/>
      <c r="J137" s="9"/>
      <c r="K137" s="9"/>
      <c r="L137" s="9"/>
      <c r="M137" s="9">
        <f t="shared" si="21"/>
        <v>216.36</v>
      </c>
    </row>
    <row r="138" spans="1:13" ht="13.8">
      <c r="A138" s="43">
        <f t="shared" si="10"/>
        <v>126</v>
      </c>
      <c r="B138" s="44" t="s">
        <v>822</v>
      </c>
      <c r="C138" s="44" t="s">
        <v>823</v>
      </c>
      <c r="D138" s="369">
        <v>-60.83</v>
      </c>
      <c r="E138" s="43" t="str">
        <f t="shared" si="17"/>
        <v>935</v>
      </c>
      <c r="F138" s="41" t="str">
        <f t="shared" si="18"/>
        <v>0208</v>
      </c>
      <c r="G138" s="9"/>
      <c r="H138" s="9"/>
      <c r="I138" s="9"/>
      <c r="J138" s="9"/>
      <c r="K138" s="9"/>
      <c r="L138" s="9"/>
      <c r="M138" s="9">
        <f t="shared" si="21"/>
        <v>-60.83</v>
      </c>
    </row>
    <row r="139" spans="1:13" ht="13.8">
      <c r="A139" s="43">
        <f t="shared" si="10"/>
        <v>127</v>
      </c>
      <c r="B139" s="44" t="s">
        <v>824</v>
      </c>
      <c r="C139" s="44" t="s">
        <v>825</v>
      </c>
      <c r="D139" s="369">
        <v>43.1</v>
      </c>
      <c r="E139" s="43" t="str">
        <f t="shared" si="17"/>
        <v>935</v>
      </c>
      <c r="F139" s="41" t="str">
        <f t="shared" si="18"/>
        <v>0209</v>
      </c>
      <c r="G139" s="9"/>
      <c r="H139" s="9"/>
      <c r="I139" s="9"/>
      <c r="J139" s="9"/>
      <c r="K139" s="9"/>
      <c r="L139" s="9"/>
      <c r="M139" s="9">
        <f t="shared" si="21"/>
        <v>43.1</v>
      </c>
    </row>
    <row r="140" spans="1:13" ht="13.8">
      <c r="A140" s="43">
        <f t="shared" si="10"/>
        <v>128</v>
      </c>
      <c r="B140" s="44" t="s">
        <v>826</v>
      </c>
      <c r="C140" s="44" t="s">
        <v>827</v>
      </c>
      <c r="D140" s="369">
        <v>107.68</v>
      </c>
      <c r="E140" s="43" t="str">
        <f t="shared" si="17"/>
        <v>935</v>
      </c>
      <c r="F140" s="41" t="str">
        <f t="shared" si="18"/>
        <v>0210</v>
      </c>
      <c r="G140" s="9"/>
      <c r="H140" s="9"/>
      <c r="I140" s="9"/>
      <c r="J140" s="9"/>
      <c r="K140" s="9"/>
      <c r="L140" s="9"/>
      <c r="M140" s="9">
        <f t="shared" si="21"/>
        <v>107.68</v>
      </c>
    </row>
    <row r="141" spans="1:13" ht="13.8">
      <c r="A141" s="43">
        <f t="shared" si="10"/>
        <v>129</v>
      </c>
      <c r="B141" s="44" t="s">
        <v>828</v>
      </c>
      <c r="C141" s="44" t="s">
        <v>829</v>
      </c>
      <c r="D141" s="369">
        <v>2918.76</v>
      </c>
      <c r="E141" s="43" t="str">
        <f t="shared" si="17"/>
        <v>935</v>
      </c>
      <c r="F141" s="41" t="str">
        <f t="shared" si="18"/>
        <v>0211</v>
      </c>
      <c r="G141" s="9"/>
      <c r="H141" s="9"/>
      <c r="I141" s="9"/>
      <c r="J141" s="9"/>
      <c r="K141" s="9"/>
      <c r="L141" s="9"/>
      <c r="M141" s="9">
        <f t="shared" si="21"/>
        <v>2918.76</v>
      </c>
    </row>
    <row r="142" spans="1:13" ht="13.8">
      <c r="A142" s="43">
        <f t="shared" si="10"/>
        <v>130</v>
      </c>
      <c r="B142" s="44" t="s">
        <v>830</v>
      </c>
      <c r="C142" s="44" t="s">
        <v>831</v>
      </c>
      <c r="D142" s="369">
        <v>65.05</v>
      </c>
      <c r="E142" s="43" t="str">
        <f t="shared" si="17"/>
        <v>935</v>
      </c>
      <c r="F142" s="41" t="str">
        <f t="shared" si="18"/>
        <v>0213</v>
      </c>
      <c r="G142" s="9"/>
      <c r="H142" s="9"/>
      <c r="I142" s="9"/>
      <c r="J142" s="9"/>
      <c r="K142" s="9"/>
      <c r="L142" s="9"/>
      <c r="M142" s="9">
        <f t="shared" si="21"/>
        <v>65.05</v>
      </c>
    </row>
    <row r="143" spans="1:13" ht="13.8">
      <c r="A143" s="43">
        <f t="shared" si="10"/>
        <v>131</v>
      </c>
      <c r="B143" s="44" t="s">
        <v>832</v>
      </c>
      <c r="C143" s="44" t="s">
        <v>833</v>
      </c>
      <c r="D143" s="369">
        <v>1317.26</v>
      </c>
      <c r="E143" s="43" t="str">
        <f t="shared" si="17"/>
        <v>935</v>
      </c>
      <c r="F143" s="41" t="str">
        <f t="shared" si="18"/>
        <v>0214</v>
      </c>
      <c r="G143" s="9"/>
      <c r="H143" s="9"/>
      <c r="I143" s="9"/>
      <c r="J143" s="9"/>
      <c r="K143" s="9"/>
      <c r="L143" s="9"/>
      <c r="M143" s="9">
        <f t="shared" ref="M143:M146" si="22">$D143</f>
        <v>1317.26</v>
      </c>
    </row>
    <row r="144" spans="1:13" ht="13.8">
      <c r="A144" s="43">
        <f t="shared" si="10"/>
        <v>132</v>
      </c>
      <c r="B144" s="44" t="s">
        <v>834</v>
      </c>
      <c r="C144" s="44" t="s">
        <v>835</v>
      </c>
      <c r="D144" s="369">
        <v>37.76</v>
      </c>
      <c r="E144" s="43" t="str">
        <f t="shared" si="17"/>
        <v>935</v>
      </c>
      <c r="F144" s="41" t="str">
        <f t="shared" si="18"/>
        <v>0215</v>
      </c>
      <c r="G144" s="9"/>
      <c r="H144" s="9"/>
      <c r="I144" s="9"/>
      <c r="J144" s="9"/>
      <c r="K144" s="9"/>
      <c r="L144" s="9"/>
      <c r="M144" s="9">
        <f t="shared" si="22"/>
        <v>37.76</v>
      </c>
    </row>
    <row r="145" spans="1:15" ht="13.8">
      <c r="A145" s="43">
        <f t="shared" si="10"/>
        <v>133</v>
      </c>
      <c r="B145" s="44" t="s">
        <v>836</v>
      </c>
      <c r="C145" s="44" t="s">
        <v>837</v>
      </c>
      <c r="D145" s="369">
        <v>282.99</v>
      </c>
      <c r="E145" s="43" t="str">
        <f t="shared" si="17"/>
        <v>935</v>
      </c>
      <c r="F145" s="41" t="str">
        <f t="shared" si="18"/>
        <v>0216</v>
      </c>
      <c r="G145" s="9"/>
      <c r="H145" s="9"/>
      <c r="I145" s="9"/>
      <c r="J145" s="9"/>
      <c r="K145" s="9"/>
      <c r="L145" s="9"/>
      <c r="M145" s="9">
        <f t="shared" si="22"/>
        <v>282.99</v>
      </c>
    </row>
    <row r="146" spans="1:15" ht="13.8">
      <c r="A146" s="43">
        <f t="shared" si="10"/>
        <v>134</v>
      </c>
      <c r="B146" s="44" t="s">
        <v>1534</v>
      </c>
      <c r="C146" s="44" t="s">
        <v>1535</v>
      </c>
      <c r="D146" s="369">
        <v>215.48</v>
      </c>
      <c r="E146" s="43" t="str">
        <f t="shared" si="17"/>
        <v>935</v>
      </c>
      <c r="F146" s="41" t="str">
        <f t="shared" si="18"/>
        <v>0217</v>
      </c>
      <c r="G146" s="9"/>
      <c r="H146" s="9"/>
      <c r="I146" s="9"/>
      <c r="J146" s="9"/>
      <c r="K146" s="9"/>
      <c r="L146" s="9"/>
      <c r="M146" s="9">
        <f t="shared" si="22"/>
        <v>215.48</v>
      </c>
    </row>
    <row r="147" spans="1:15" s="110" customFormat="1" ht="13.8">
      <c r="A147" s="43">
        <f t="shared" si="10"/>
        <v>135</v>
      </c>
      <c r="B147" s="114"/>
      <c r="C147" s="115" t="s">
        <v>54</v>
      </c>
      <c r="D147" s="12">
        <f>SUM(D87:D146)</f>
        <v>2046377.1500000001</v>
      </c>
      <c r="E147" s="113"/>
      <c r="F147" s="41"/>
      <c r="G147" s="12">
        <f>SUM(G87:G145)</f>
        <v>1591824.7000000002</v>
      </c>
      <c r="H147" s="12">
        <f>SUM(H87:H146)</f>
        <v>272787.18</v>
      </c>
      <c r="I147" s="12">
        <f>SUM(I87:I146)</f>
        <v>118588.81</v>
      </c>
      <c r="J147" s="12">
        <f>SUM(J87:J145)</f>
        <v>3736.29</v>
      </c>
      <c r="K147" s="12"/>
      <c r="L147" s="12">
        <f>SUM(L87:L145)</f>
        <v>1675.92</v>
      </c>
      <c r="M147" s="12">
        <f>SUM(M87:M146)</f>
        <v>43409.330000000009</v>
      </c>
      <c r="O147" s="12">
        <f>SUM(O87:O145)</f>
        <v>14354.919999999998</v>
      </c>
    </row>
    <row r="148" spans="1:15" ht="13.8">
      <c r="A148" s="43"/>
      <c r="B148" s="116"/>
      <c r="C148" s="116"/>
      <c r="D148" s="42"/>
      <c r="E148" s="43"/>
      <c r="F148" s="41"/>
      <c r="G148" s="9"/>
      <c r="H148" s="9"/>
      <c r="I148" s="9"/>
      <c r="J148" s="9"/>
      <c r="K148" s="9"/>
      <c r="L148" s="9"/>
      <c r="M148" s="9"/>
    </row>
    <row r="149" spans="1:15" ht="13.8">
      <c r="A149" s="43">
        <f>A147+1</f>
        <v>136</v>
      </c>
      <c r="B149" s="117" t="s">
        <v>838</v>
      </c>
      <c r="C149" s="116"/>
      <c r="D149" s="42"/>
      <c r="E149" s="43"/>
      <c r="F149" s="41"/>
      <c r="G149" s="9"/>
      <c r="H149" s="9"/>
      <c r="I149" s="9"/>
      <c r="J149" s="9"/>
      <c r="K149" s="9"/>
      <c r="L149" s="9"/>
      <c r="M149" s="9"/>
    </row>
    <row r="150" spans="1:15" ht="13.8">
      <c r="A150" s="43">
        <f t="shared" ref="A150:A193" si="23">SUM(A149+1)</f>
        <v>137</v>
      </c>
      <c r="B150" s="44" t="s">
        <v>839</v>
      </c>
      <c r="C150" s="44" t="s">
        <v>840</v>
      </c>
      <c r="D150" s="369">
        <v>2036.38</v>
      </c>
      <c r="E150" s="43" t="str">
        <f t="shared" ref="E150:E192" si="24">LEFT(B150,3)</f>
        <v>500</v>
      </c>
      <c r="F150" s="41" t="str">
        <f t="shared" ref="F150:F192" si="25">RIGHT(B150,LEN(B150)-3)</f>
        <v>05</v>
      </c>
      <c r="G150" s="9">
        <f t="shared" ref="G150:H165" si="26">$D150</f>
        <v>2036.38</v>
      </c>
      <c r="H150" s="9"/>
      <c r="I150" s="9"/>
      <c r="J150" s="9"/>
      <c r="K150" s="9"/>
      <c r="L150" s="9"/>
      <c r="M150" s="9"/>
    </row>
    <row r="151" spans="1:15" ht="13.8">
      <c r="A151" s="43">
        <f t="shared" si="23"/>
        <v>138</v>
      </c>
      <c r="B151" s="44" t="s">
        <v>841</v>
      </c>
      <c r="C151" s="44" t="s">
        <v>842</v>
      </c>
      <c r="D151" s="369">
        <v>23295.48</v>
      </c>
      <c r="E151" s="43" t="str">
        <f t="shared" si="24"/>
        <v>502</v>
      </c>
      <c r="F151" s="41" t="str">
        <f t="shared" si="25"/>
        <v>05</v>
      </c>
      <c r="G151" s="9">
        <f t="shared" si="26"/>
        <v>23295.48</v>
      </c>
      <c r="H151" s="9"/>
      <c r="I151" s="9"/>
      <c r="J151" s="9"/>
      <c r="K151" s="9"/>
      <c r="L151" s="9"/>
      <c r="M151" s="9"/>
    </row>
    <row r="152" spans="1:15" ht="13.8">
      <c r="A152" s="43">
        <f t="shared" si="23"/>
        <v>139</v>
      </c>
      <c r="B152" s="44" t="s">
        <v>843</v>
      </c>
      <c r="C152" s="44" t="s">
        <v>844</v>
      </c>
      <c r="D152" s="369">
        <v>0</v>
      </c>
      <c r="E152" s="43" t="str">
        <f t="shared" si="24"/>
        <v>505</v>
      </c>
      <c r="F152" s="41" t="str">
        <f t="shared" si="25"/>
        <v>05</v>
      </c>
      <c r="G152" s="9">
        <f t="shared" si="26"/>
        <v>0</v>
      </c>
      <c r="H152" s="9"/>
      <c r="I152" s="9"/>
      <c r="J152" s="9"/>
      <c r="K152" s="9"/>
      <c r="L152" s="9"/>
      <c r="M152" s="9"/>
    </row>
    <row r="153" spans="1:15" ht="13.8">
      <c r="A153" s="43">
        <f t="shared" si="23"/>
        <v>140</v>
      </c>
      <c r="B153" s="44" t="s">
        <v>845</v>
      </c>
      <c r="C153" s="44" t="s">
        <v>846</v>
      </c>
      <c r="D153" s="369">
        <v>14010.76</v>
      </c>
      <c r="E153" s="43" t="str">
        <f t="shared" si="24"/>
        <v>506</v>
      </c>
      <c r="F153" s="41" t="str">
        <f t="shared" si="25"/>
        <v>03</v>
      </c>
      <c r="G153" s="9">
        <f t="shared" si="26"/>
        <v>14010.76</v>
      </c>
      <c r="H153" s="9"/>
      <c r="I153" s="9"/>
      <c r="J153" s="9"/>
      <c r="K153" s="9"/>
      <c r="L153" s="9"/>
      <c r="M153" s="9"/>
    </row>
    <row r="154" spans="1:15" ht="13.8">
      <c r="A154" s="43">
        <f t="shared" si="23"/>
        <v>141</v>
      </c>
      <c r="B154" s="44" t="s">
        <v>847</v>
      </c>
      <c r="C154" s="44" t="s">
        <v>848</v>
      </c>
      <c r="D154" s="369">
        <v>171378.73</v>
      </c>
      <c r="E154" s="43" t="str">
        <f t="shared" si="24"/>
        <v>506</v>
      </c>
      <c r="F154" s="41" t="str">
        <f t="shared" si="25"/>
        <v>05</v>
      </c>
      <c r="G154" s="9">
        <f t="shared" si="26"/>
        <v>171378.73</v>
      </c>
      <c r="H154" s="9"/>
      <c r="I154" s="9"/>
      <c r="J154" s="9"/>
      <c r="K154" s="9"/>
      <c r="L154" s="9"/>
      <c r="M154" s="9"/>
    </row>
    <row r="155" spans="1:15" ht="13.8">
      <c r="A155" s="43">
        <f t="shared" si="23"/>
        <v>142</v>
      </c>
      <c r="B155" s="44" t="s">
        <v>849</v>
      </c>
      <c r="C155" s="44" t="s">
        <v>850</v>
      </c>
      <c r="D155" s="369">
        <v>17916.86</v>
      </c>
      <c r="E155" s="43" t="str">
        <f t="shared" si="24"/>
        <v>510</v>
      </c>
      <c r="F155" s="41" t="str">
        <f t="shared" si="25"/>
        <v>05</v>
      </c>
      <c r="G155" s="9">
        <f t="shared" si="26"/>
        <v>17916.86</v>
      </c>
      <c r="H155" s="9"/>
      <c r="I155" s="9"/>
      <c r="J155" s="9"/>
      <c r="K155" s="9"/>
      <c r="L155" s="9"/>
      <c r="M155" s="9"/>
    </row>
    <row r="156" spans="1:15" ht="13.8">
      <c r="A156" s="43">
        <f t="shared" si="23"/>
        <v>143</v>
      </c>
      <c r="B156" s="44" t="s">
        <v>851</v>
      </c>
      <c r="C156" s="44" t="s">
        <v>852</v>
      </c>
      <c r="D156" s="369">
        <v>0</v>
      </c>
      <c r="E156" s="43" t="str">
        <f t="shared" si="24"/>
        <v>511</v>
      </c>
      <c r="F156" s="41" t="str">
        <f t="shared" si="25"/>
        <v>03</v>
      </c>
      <c r="G156" s="9">
        <f t="shared" si="26"/>
        <v>0</v>
      </c>
      <c r="H156" s="9"/>
      <c r="I156" s="9"/>
      <c r="J156" s="9"/>
      <c r="K156" s="9"/>
      <c r="L156" s="9"/>
      <c r="M156" s="9"/>
    </row>
    <row r="157" spans="1:15" ht="13.8">
      <c r="A157" s="43">
        <f t="shared" si="23"/>
        <v>144</v>
      </c>
      <c r="B157" s="44" t="s">
        <v>853</v>
      </c>
      <c r="C157" s="44" t="s">
        <v>854</v>
      </c>
      <c r="D157" s="369">
        <v>3432.86</v>
      </c>
      <c r="E157" s="43" t="str">
        <f t="shared" si="24"/>
        <v>512</v>
      </c>
      <c r="F157" s="41" t="str">
        <f t="shared" si="25"/>
        <v>05</v>
      </c>
      <c r="G157" s="9">
        <f t="shared" si="26"/>
        <v>3432.86</v>
      </c>
      <c r="H157" s="9"/>
      <c r="I157" s="9"/>
      <c r="J157" s="9"/>
      <c r="K157" s="9"/>
      <c r="L157" s="9"/>
      <c r="M157" s="9"/>
    </row>
    <row r="158" spans="1:15" ht="13.8">
      <c r="A158" s="43">
        <f t="shared" si="23"/>
        <v>145</v>
      </c>
      <c r="B158" s="44" t="s">
        <v>855</v>
      </c>
      <c r="C158" s="44" t="s">
        <v>856</v>
      </c>
      <c r="D158" s="369">
        <v>3097.82</v>
      </c>
      <c r="E158" s="43" t="str">
        <f t="shared" si="24"/>
        <v>513</v>
      </c>
      <c r="F158" s="41" t="str">
        <f t="shared" si="25"/>
        <v>05</v>
      </c>
      <c r="G158" s="9">
        <f t="shared" si="26"/>
        <v>3097.82</v>
      </c>
      <c r="H158" s="9"/>
      <c r="I158" s="9"/>
      <c r="J158" s="9"/>
      <c r="K158" s="9"/>
      <c r="L158" s="9"/>
      <c r="M158" s="9"/>
    </row>
    <row r="159" spans="1:15" ht="13.8">
      <c r="A159" s="43">
        <f t="shared" si="23"/>
        <v>146</v>
      </c>
      <c r="B159" s="44" t="s">
        <v>857</v>
      </c>
      <c r="C159" s="44" t="s">
        <v>858</v>
      </c>
      <c r="D159" s="369">
        <v>0</v>
      </c>
      <c r="E159" s="43" t="str">
        <f t="shared" si="24"/>
        <v>546</v>
      </c>
      <c r="F159" s="41" t="str">
        <f t="shared" si="25"/>
        <v>05</v>
      </c>
      <c r="G159" s="9">
        <f t="shared" si="26"/>
        <v>0</v>
      </c>
      <c r="H159" s="9"/>
      <c r="I159" s="9"/>
      <c r="J159" s="9"/>
      <c r="K159" s="9"/>
      <c r="L159" s="9"/>
      <c r="M159" s="9"/>
    </row>
    <row r="160" spans="1:15" ht="13.8">
      <c r="A160" s="43">
        <f t="shared" si="23"/>
        <v>147</v>
      </c>
      <c r="B160" s="44" t="s">
        <v>859</v>
      </c>
      <c r="C160" s="44" t="s">
        <v>860</v>
      </c>
      <c r="D160" s="369">
        <v>0</v>
      </c>
      <c r="E160" s="43" t="str">
        <f t="shared" si="24"/>
        <v>548</v>
      </c>
      <c r="F160" s="41" t="str">
        <f t="shared" si="25"/>
        <v>03</v>
      </c>
      <c r="G160" s="9">
        <f t="shared" si="26"/>
        <v>0</v>
      </c>
      <c r="H160" s="9"/>
      <c r="I160" s="9"/>
      <c r="J160" s="9"/>
      <c r="K160" s="9"/>
      <c r="L160" s="9"/>
      <c r="M160" s="9"/>
    </row>
    <row r="161" spans="1:15" ht="13.8">
      <c r="A161" s="43">
        <f t="shared" si="23"/>
        <v>148</v>
      </c>
      <c r="B161" s="44" t="s">
        <v>861</v>
      </c>
      <c r="C161" s="44" t="s">
        <v>862</v>
      </c>
      <c r="D161" s="369">
        <v>36820.19</v>
      </c>
      <c r="E161" s="43" t="str">
        <f t="shared" si="24"/>
        <v>548</v>
      </c>
      <c r="F161" s="41" t="str">
        <f t="shared" si="25"/>
        <v>05</v>
      </c>
      <c r="G161" s="9">
        <f t="shared" si="26"/>
        <v>36820.19</v>
      </c>
      <c r="H161" s="9"/>
      <c r="I161" s="9"/>
      <c r="J161" s="9"/>
      <c r="K161" s="9"/>
      <c r="L161" s="9"/>
      <c r="M161" s="9"/>
    </row>
    <row r="162" spans="1:15" ht="13.8">
      <c r="A162" s="43">
        <f t="shared" si="23"/>
        <v>149</v>
      </c>
      <c r="B162" s="44" t="s">
        <v>863</v>
      </c>
      <c r="C162" s="44" t="s">
        <v>864</v>
      </c>
      <c r="D162" s="369">
        <v>24198.35</v>
      </c>
      <c r="E162" s="43" t="str">
        <f t="shared" si="24"/>
        <v>549</v>
      </c>
      <c r="F162" s="41" t="str">
        <f t="shared" si="25"/>
        <v>03</v>
      </c>
      <c r="G162" s="9">
        <f t="shared" si="26"/>
        <v>24198.35</v>
      </c>
      <c r="H162" s="9"/>
      <c r="I162" s="9"/>
      <c r="J162" s="9"/>
      <c r="K162" s="9"/>
      <c r="L162" s="9"/>
      <c r="M162" s="9"/>
    </row>
    <row r="163" spans="1:15" ht="13.8">
      <c r="A163" s="43">
        <f t="shared" si="23"/>
        <v>150</v>
      </c>
      <c r="B163" s="44" t="s">
        <v>865</v>
      </c>
      <c r="C163" s="44" t="s">
        <v>866</v>
      </c>
      <c r="D163" s="369">
        <v>36667.379999999997</v>
      </c>
      <c r="E163" s="43" t="str">
        <f t="shared" si="24"/>
        <v>549</v>
      </c>
      <c r="F163" s="41" t="str">
        <f t="shared" si="25"/>
        <v>05</v>
      </c>
      <c r="G163" s="9">
        <f t="shared" si="26"/>
        <v>36667.379999999997</v>
      </c>
      <c r="H163" s="9"/>
      <c r="I163" s="9"/>
      <c r="J163" s="9"/>
      <c r="K163" s="9"/>
      <c r="L163" s="9"/>
      <c r="M163" s="9"/>
    </row>
    <row r="164" spans="1:15" ht="13.8">
      <c r="A164" s="43">
        <f t="shared" si="23"/>
        <v>151</v>
      </c>
      <c r="B164" s="44" t="s">
        <v>867</v>
      </c>
      <c r="C164" s="44" t="s">
        <v>868</v>
      </c>
      <c r="D164" s="369">
        <v>14611.04</v>
      </c>
      <c r="E164" s="43" t="str">
        <f t="shared" si="24"/>
        <v>556</v>
      </c>
      <c r="F164" s="41" t="str">
        <f t="shared" si="25"/>
        <v>0501</v>
      </c>
      <c r="G164" s="9">
        <f t="shared" si="26"/>
        <v>14611.04</v>
      </c>
      <c r="H164" s="9"/>
      <c r="I164" s="9"/>
      <c r="J164" s="9"/>
      <c r="K164" s="9"/>
      <c r="L164" s="9"/>
      <c r="M164" s="9"/>
    </row>
    <row r="165" spans="1:15" ht="13.8">
      <c r="A165" s="43">
        <f t="shared" si="23"/>
        <v>152</v>
      </c>
      <c r="B165" s="44" t="s">
        <v>869</v>
      </c>
      <c r="C165" s="44" t="s">
        <v>870</v>
      </c>
      <c r="D165" s="369">
        <v>23767.81</v>
      </c>
      <c r="E165" s="43" t="str">
        <f t="shared" si="24"/>
        <v>560</v>
      </c>
      <c r="F165" s="41" t="str">
        <f t="shared" si="25"/>
        <v>05</v>
      </c>
      <c r="G165" s="9"/>
      <c r="H165" s="9">
        <f t="shared" si="26"/>
        <v>23767.81</v>
      </c>
      <c r="I165" s="9"/>
      <c r="J165" s="9"/>
      <c r="K165" s="9"/>
      <c r="L165" s="9"/>
      <c r="M165" s="9"/>
    </row>
    <row r="166" spans="1:15" ht="13.8">
      <c r="A166" s="43">
        <f t="shared" si="23"/>
        <v>153</v>
      </c>
      <c r="B166" s="44" t="s">
        <v>871</v>
      </c>
      <c r="C166" s="44" t="s">
        <v>872</v>
      </c>
      <c r="D166" s="369">
        <v>4344.43</v>
      </c>
      <c r="E166" s="43" t="str">
        <f t="shared" si="24"/>
        <v>561</v>
      </c>
      <c r="F166" s="41" t="str">
        <f t="shared" si="25"/>
        <v>05</v>
      </c>
      <c r="G166" s="9"/>
      <c r="I166" s="9"/>
      <c r="J166" s="9"/>
      <c r="K166" s="9"/>
      <c r="L166" s="9"/>
      <c r="M166" s="9"/>
      <c r="O166" s="9">
        <f t="shared" ref="H166:O178" si="27">$D166</f>
        <v>4344.43</v>
      </c>
    </row>
    <row r="167" spans="1:15" ht="13.8">
      <c r="A167" s="43">
        <f t="shared" si="23"/>
        <v>154</v>
      </c>
      <c r="B167" s="44" t="s">
        <v>873</v>
      </c>
      <c r="C167" s="44" t="s">
        <v>874</v>
      </c>
      <c r="D167" s="369">
        <v>14092.09</v>
      </c>
      <c r="E167" s="43" t="str">
        <f t="shared" si="24"/>
        <v>561</v>
      </c>
      <c r="F167" s="41" t="str">
        <f t="shared" si="25"/>
        <v>0501</v>
      </c>
      <c r="G167" s="9"/>
      <c r="I167" s="9"/>
      <c r="J167" s="9"/>
      <c r="K167" s="9"/>
      <c r="L167" s="9"/>
      <c r="M167" s="9"/>
      <c r="O167" s="9">
        <f t="shared" si="27"/>
        <v>14092.09</v>
      </c>
    </row>
    <row r="168" spans="1:15" ht="13.8">
      <c r="A168" s="43">
        <f t="shared" si="23"/>
        <v>155</v>
      </c>
      <c r="B168" s="44" t="s">
        <v>875</v>
      </c>
      <c r="C168" s="44" t="s">
        <v>876</v>
      </c>
      <c r="D168" s="369">
        <v>0</v>
      </c>
      <c r="E168" s="43" t="str">
        <f t="shared" si="24"/>
        <v>562</v>
      </c>
      <c r="F168" s="41" t="str">
        <f t="shared" si="25"/>
        <v>03</v>
      </c>
      <c r="G168" s="9"/>
      <c r="H168" s="9">
        <f t="shared" si="27"/>
        <v>0</v>
      </c>
      <c r="I168" s="9"/>
      <c r="J168" s="9"/>
      <c r="K168" s="9"/>
      <c r="L168" s="9"/>
      <c r="M168" s="9"/>
    </row>
    <row r="169" spans="1:15" ht="13.8">
      <c r="A169" s="43">
        <f t="shared" si="23"/>
        <v>156</v>
      </c>
      <c r="B169" s="111">
        <v>562037</v>
      </c>
      <c r="C169" s="44" t="s">
        <v>1275</v>
      </c>
      <c r="D169" s="369">
        <v>0</v>
      </c>
      <c r="E169" s="43" t="str">
        <f t="shared" ref="E169" si="28">LEFT(B169,3)</f>
        <v>562</v>
      </c>
      <c r="F169" s="41" t="str">
        <f t="shared" ref="F169" si="29">RIGHT(B169,LEN(B169)-3)</f>
        <v>037</v>
      </c>
      <c r="G169" s="9"/>
      <c r="H169" s="9">
        <f t="shared" si="27"/>
        <v>0</v>
      </c>
      <c r="I169" s="9"/>
      <c r="J169" s="9"/>
      <c r="K169" s="9"/>
      <c r="L169" s="9"/>
      <c r="M169" s="9"/>
    </row>
    <row r="170" spans="1:15" ht="13.8">
      <c r="A170" s="43">
        <f t="shared" si="23"/>
        <v>157</v>
      </c>
      <c r="B170" s="44" t="s">
        <v>877</v>
      </c>
      <c r="C170" s="44" t="s">
        <v>878</v>
      </c>
      <c r="D170" s="369">
        <v>11101.71</v>
      </c>
      <c r="E170" s="43" t="str">
        <f t="shared" si="24"/>
        <v>563</v>
      </c>
      <c r="F170" s="41" t="str">
        <f t="shared" si="25"/>
        <v>03</v>
      </c>
      <c r="G170" s="9"/>
      <c r="H170" s="9">
        <f t="shared" si="27"/>
        <v>11101.71</v>
      </c>
      <c r="I170" s="9"/>
      <c r="J170" s="9"/>
      <c r="K170" s="9"/>
      <c r="L170" s="9"/>
      <c r="M170" s="9"/>
    </row>
    <row r="171" spans="1:15" ht="13.8">
      <c r="A171" s="43">
        <f t="shared" si="23"/>
        <v>158</v>
      </c>
      <c r="B171" s="44" t="s">
        <v>879</v>
      </c>
      <c r="C171" s="44" t="s">
        <v>880</v>
      </c>
      <c r="D171" s="369">
        <v>47679.56</v>
      </c>
      <c r="E171" s="43" t="str">
        <f t="shared" si="24"/>
        <v>563</v>
      </c>
      <c r="F171" s="41" t="str">
        <f t="shared" si="25"/>
        <v>05</v>
      </c>
      <c r="G171" s="9"/>
      <c r="H171" s="9">
        <f t="shared" si="27"/>
        <v>47679.56</v>
      </c>
      <c r="I171" s="9"/>
      <c r="J171" s="9"/>
      <c r="K171" s="9"/>
      <c r="L171" s="9"/>
      <c r="M171" s="9"/>
    </row>
    <row r="172" spans="1:15" ht="13.8">
      <c r="A172" s="43">
        <f t="shared" si="23"/>
        <v>159</v>
      </c>
      <c r="B172" s="44" t="s">
        <v>881</v>
      </c>
      <c r="C172" s="44" t="s">
        <v>882</v>
      </c>
      <c r="D172" s="369">
        <v>7888</v>
      </c>
      <c r="E172" s="43" t="str">
        <f t="shared" si="24"/>
        <v>566</v>
      </c>
      <c r="F172" s="41" t="str">
        <f t="shared" si="25"/>
        <v>03</v>
      </c>
      <c r="G172" s="9"/>
      <c r="H172" s="9">
        <f t="shared" si="27"/>
        <v>7888</v>
      </c>
      <c r="I172" s="9"/>
      <c r="J172" s="9"/>
      <c r="K172" s="9"/>
      <c r="L172" s="9"/>
      <c r="M172" s="9"/>
    </row>
    <row r="173" spans="1:15" ht="13.8">
      <c r="A173" s="43">
        <f t="shared" si="23"/>
        <v>160</v>
      </c>
      <c r="B173" s="44" t="s">
        <v>883</v>
      </c>
      <c r="C173" s="44" t="s">
        <v>884</v>
      </c>
      <c r="D173" s="369">
        <v>37158.120000000003</v>
      </c>
      <c r="E173" s="43" t="str">
        <f t="shared" si="24"/>
        <v>566</v>
      </c>
      <c r="F173" s="41" t="str">
        <f t="shared" si="25"/>
        <v>05</v>
      </c>
      <c r="G173" s="9"/>
      <c r="H173" s="9">
        <f t="shared" si="27"/>
        <v>37158.120000000003</v>
      </c>
      <c r="I173" s="9"/>
      <c r="J173" s="9"/>
      <c r="K173" s="9"/>
      <c r="L173" s="9"/>
      <c r="M173" s="9"/>
    </row>
    <row r="174" spans="1:15" ht="13.8">
      <c r="A174" s="43">
        <f t="shared" si="23"/>
        <v>161</v>
      </c>
      <c r="B174" s="44" t="s">
        <v>885</v>
      </c>
      <c r="C174" s="44" t="s">
        <v>886</v>
      </c>
      <c r="D174" s="369">
        <v>4927.92</v>
      </c>
      <c r="E174" s="43" t="str">
        <f t="shared" si="24"/>
        <v>570</v>
      </c>
      <c r="F174" s="41" t="str">
        <f t="shared" si="25"/>
        <v>05</v>
      </c>
      <c r="G174" s="9"/>
      <c r="H174" s="9">
        <f t="shared" si="27"/>
        <v>4927.92</v>
      </c>
      <c r="I174" s="9"/>
      <c r="J174" s="9"/>
      <c r="K174" s="9"/>
      <c r="L174" s="9"/>
      <c r="M174" s="9"/>
    </row>
    <row r="175" spans="1:15" ht="13.8">
      <c r="A175" s="43">
        <f t="shared" si="23"/>
        <v>162</v>
      </c>
      <c r="B175" s="111">
        <v>57103</v>
      </c>
      <c r="C175" s="44" t="s">
        <v>1276</v>
      </c>
      <c r="D175" s="369">
        <v>74.040000000000006</v>
      </c>
      <c r="E175" s="43" t="str">
        <f t="shared" ref="E175" si="30">LEFT(B175,3)</f>
        <v>571</v>
      </c>
      <c r="F175" s="41" t="str">
        <f t="shared" ref="F175" si="31">RIGHT(B175,LEN(B175)-3)</f>
        <v>03</v>
      </c>
      <c r="G175" s="9"/>
      <c r="H175" s="9">
        <f t="shared" si="27"/>
        <v>74.040000000000006</v>
      </c>
      <c r="I175" s="9"/>
      <c r="J175" s="9"/>
      <c r="K175" s="9"/>
      <c r="L175" s="9"/>
      <c r="M175" s="9"/>
    </row>
    <row r="176" spans="1:15" ht="13.8">
      <c r="A176" s="43">
        <f t="shared" si="23"/>
        <v>163</v>
      </c>
      <c r="B176" s="44" t="s">
        <v>887</v>
      </c>
      <c r="C176" s="44" t="s">
        <v>888</v>
      </c>
      <c r="D176" s="369">
        <v>0</v>
      </c>
      <c r="E176" s="43" t="str">
        <f t="shared" si="24"/>
        <v>571</v>
      </c>
      <c r="F176" s="41" t="str">
        <f t="shared" si="25"/>
        <v>0301</v>
      </c>
      <c r="G176" s="9"/>
      <c r="H176" s="9">
        <f t="shared" si="27"/>
        <v>0</v>
      </c>
      <c r="I176" s="9"/>
      <c r="J176" s="9"/>
      <c r="K176" s="9"/>
      <c r="L176" s="9"/>
      <c r="M176" s="9"/>
    </row>
    <row r="177" spans="1:13" ht="13.8">
      <c r="A177" s="43">
        <f t="shared" si="23"/>
        <v>164</v>
      </c>
      <c r="B177" s="44" t="s">
        <v>889</v>
      </c>
      <c r="C177" s="44" t="s">
        <v>890</v>
      </c>
      <c r="D177" s="369">
        <v>0</v>
      </c>
      <c r="E177" s="43" t="str">
        <f t="shared" si="24"/>
        <v>571</v>
      </c>
      <c r="F177" s="41" t="str">
        <f t="shared" si="25"/>
        <v>0302</v>
      </c>
      <c r="G177" s="9"/>
      <c r="H177" s="9">
        <f t="shared" si="27"/>
        <v>0</v>
      </c>
      <c r="I177" s="9"/>
      <c r="J177" s="9"/>
      <c r="K177" s="9"/>
      <c r="L177" s="9"/>
      <c r="M177" s="9"/>
    </row>
    <row r="178" spans="1:13" ht="13.8">
      <c r="A178" s="43">
        <f t="shared" si="23"/>
        <v>165</v>
      </c>
      <c r="B178" s="44" t="s">
        <v>891</v>
      </c>
      <c r="C178" s="44" t="s">
        <v>892</v>
      </c>
      <c r="D178" s="369">
        <v>17.93</v>
      </c>
      <c r="E178" s="43" t="str">
        <f t="shared" si="24"/>
        <v>573</v>
      </c>
      <c r="F178" s="41" t="str">
        <f t="shared" si="25"/>
        <v>03</v>
      </c>
      <c r="G178" s="9"/>
      <c r="H178" s="9">
        <f t="shared" si="27"/>
        <v>17.93</v>
      </c>
      <c r="I178" s="9"/>
      <c r="J178" s="9"/>
      <c r="K178" s="9"/>
      <c r="L178" s="9"/>
      <c r="M178" s="9"/>
    </row>
    <row r="179" spans="1:13" ht="13.8">
      <c r="A179" s="43">
        <f t="shared" si="23"/>
        <v>166</v>
      </c>
      <c r="B179" s="44" t="s">
        <v>893</v>
      </c>
      <c r="C179" s="44" t="s">
        <v>894</v>
      </c>
      <c r="D179" s="369">
        <v>268.95</v>
      </c>
      <c r="E179" s="43" t="str">
        <f t="shared" si="24"/>
        <v>582</v>
      </c>
      <c r="F179" s="41" t="str">
        <f t="shared" si="25"/>
        <v>03</v>
      </c>
      <c r="G179" s="9"/>
      <c r="H179" s="9"/>
      <c r="I179" s="9">
        <f t="shared" ref="I179:I183" si="32">$D179</f>
        <v>268.95</v>
      </c>
      <c r="J179" s="9"/>
      <c r="K179" s="9"/>
      <c r="L179" s="9"/>
      <c r="M179" s="9"/>
    </row>
    <row r="180" spans="1:13" ht="13.8">
      <c r="A180" s="43">
        <f t="shared" si="23"/>
        <v>167</v>
      </c>
      <c r="B180" s="44" t="s">
        <v>895</v>
      </c>
      <c r="C180" s="44" t="s">
        <v>896</v>
      </c>
      <c r="D180" s="369">
        <v>65901.72</v>
      </c>
      <c r="E180" s="43" t="str">
        <f t="shared" si="24"/>
        <v>582</v>
      </c>
      <c r="F180" s="41" t="str">
        <f t="shared" si="25"/>
        <v>05</v>
      </c>
      <c r="G180" s="9"/>
      <c r="H180" s="9"/>
      <c r="I180" s="9">
        <f t="shared" si="32"/>
        <v>65901.72</v>
      </c>
      <c r="J180" s="9"/>
      <c r="K180" s="9"/>
      <c r="L180" s="9"/>
      <c r="M180" s="9"/>
    </row>
    <row r="181" spans="1:13" ht="13.8">
      <c r="A181" s="43">
        <f t="shared" si="23"/>
        <v>168</v>
      </c>
      <c r="B181" s="44" t="s">
        <v>897</v>
      </c>
      <c r="C181" s="44" t="s">
        <v>898</v>
      </c>
      <c r="D181" s="369">
        <v>1914.55</v>
      </c>
      <c r="E181" s="43" t="str">
        <f t="shared" si="24"/>
        <v>586</v>
      </c>
      <c r="F181" s="41" t="str">
        <f t="shared" si="25"/>
        <v>05</v>
      </c>
      <c r="G181" s="9"/>
      <c r="H181" s="9"/>
      <c r="I181" s="9">
        <f t="shared" si="32"/>
        <v>1914.55</v>
      </c>
      <c r="J181" s="9"/>
      <c r="K181" s="9"/>
      <c r="L181" s="9"/>
      <c r="M181" s="9"/>
    </row>
    <row r="182" spans="1:13" ht="13.8">
      <c r="A182" s="43">
        <f t="shared" si="23"/>
        <v>169</v>
      </c>
      <c r="B182" s="44" t="s">
        <v>899</v>
      </c>
      <c r="C182" s="44" t="s">
        <v>900</v>
      </c>
      <c r="D182" s="369">
        <v>0</v>
      </c>
      <c r="E182" s="43" t="str">
        <f t="shared" si="24"/>
        <v>592</v>
      </c>
      <c r="F182" s="41" t="str">
        <f t="shared" si="25"/>
        <v>03</v>
      </c>
      <c r="G182" s="9"/>
      <c r="H182" s="9"/>
      <c r="I182" s="9">
        <f t="shared" si="32"/>
        <v>0</v>
      </c>
      <c r="J182" s="9"/>
      <c r="K182" s="9"/>
      <c r="L182" s="9"/>
      <c r="M182" s="9"/>
    </row>
    <row r="183" spans="1:13" ht="13.8">
      <c r="A183" s="43">
        <f t="shared" si="23"/>
        <v>170</v>
      </c>
      <c r="B183" s="44" t="s">
        <v>901</v>
      </c>
      <c r="C183" s="44" t="s">
        <v>902</v>
      </c>
      <c r="D183" s="369">
        <v>0</v>
      </c>
      <c r="E183" s="43" t="str">
        <f t="shared" si="24"/>
        <v>592</v>
      </c>
      <c r="F183" s="41" t="str">
        <f t="shared" si="25"/>
        <v>05</v>
      </c>
      <c r="G183" s="9"/>
      <c r="H183" s="9"/>
      <c r="I183" s="9">
        <f t="shared" si="32"/>
        <v>0</v>
      </c>
      <c r="J183" s="9"/>
      <c r="K183" s="9"/>
      <c r="L183" s="9"/>
      <c r="M183" s="9"/>
    </row>
    <row r="184" spans="1:13" ht="13.8">
      <c r="A184" s="43">
        <f t="shared" si="23"/>
        <v>171</v>
      </c>
      <c r="B184" s="44" t="s">
        <v>903</v>
      </c>
      <c r="C184" s="44" t="s">
        <v>904</v>
      </c>
      <c r="D184" s="369">
        <v>5929.68</v>
      </c>
      <c r="E184" s="43" t="str">
        <f t="shared" si="24"/>
        <v>912</v>
      </c>
      <c r="F184" s="41" t="str">
        <f t="shared" si="25"/>
        <v>03</v>
      </c>
      <c r="G184" s="9"/>
      <c r="H184" s="9"/>
      <c r="I184" s="9"/>
      <c r="J184" s="9"/>
      <c r="K184" s="9"/>
      <c r="L184" s="9">
        <f t="shared" ref="L184:L185" si="33">$D184</f>
        <v>5929.68</v>
      </c>
      <c r="M184" s="9"/>
    </row>
    <row r="185" spans="1:13" ht="13.8">
      <c r="A185" s="43">
        <f t="shared" si="23"/>
        <v>172</v>
      </c>
      <c r="B185" s="44" t="s">
        <v>905</v>
      </c>
      <c r="C185" s="44" t="s">
        <v>906</v>
      </c>
      <c r="D185" s="369">
        <v>11701.76</v>
      </c>
      <c r="E185" s="43" t="str">
        <f t="shared" si="24"/>
        <v>912</v>
      </c>
      <c r="F185" s="41" t="str">
        <f t="shared" si="25"/>
        <v>05</v>
      </c>
      <c r="G185" s="9"/>
      <c r="H185" s="9"/>
      <c r="I185" s="9"/>
      <c r="J185" s="9"/>
      <c r="K185" s="9"/>
      <c r="L185" s="9">
        <f t="shared" si="33"/>
        <v>11701.76</v>
      </c>
      <c r="M185" s="9"/>
    </row>
    <row r="186" spans="1:13" ht="13.8">
      <c r="A186" s="43">
        <f t="shared" si="23"/>
        <v>173</v>
      </c>
      <c r="B186" s="44" t="s">
        <v>907</v>
      </c>
      <c r="C186" s="44" t="s">
        <v>908</v>
      </c>
      <c r="D186" s="369">
        <v>57466.720000000001</v>
      </c>
      <c r="E186" s="43" t="str">
        <f t="shared" si="24"/>
        <v>920</v>
      </c>
      <c r="F186" s="41" t="str">
        <f t="shared" si="25"/>
        <v>03</v>
      </c>
      <c r="G186" s="9"/>
      <c r="H186" s="9"/>
      <c r="I186" s="9"/>
      <c r="J186" s="9"/>
      <c r="K186" s="9"/>
      <c r="L186" s="9"/>
      <c r="M186" s="9">
        <f t="shared" ref="M186:M192" si="34">$D186</f>
        <v>57466.720000000001</v>
      </c>
    </row>
    <row r="187" spans="1:13" ht="13.8">
      <c r="A187" s="43">
        <f t="shared" si="23"/>
        <v>174</v>
      </c>
      <c r="B187" s="44" t="s">
        <v>909</v>
      </c>
      <c r="C187" s="44" t="s">
        <v>910</v>
      </c>
      <c r="D187" s="369">
        <v>206147.37</v>
      </c>
      <c r="E187" s="43" t="str">
        <f t="shared" si="24"/>
        <v>920</v>
      </c>
      <c r="F187" s="41" t="str">
        <f t="shared" si="25"/>
        <v>05</v>
      </c>
      <c r="G187" s="9"/>
      <c r="H187" s="9"/>
      <c r="I187" s="9"/>
      <c r="J187" s="9"/>
      <c r="K187" s="9"/>
      <c r="L187" s="9"/>
      <c r="M187" s="9">
        <f t="shared" si="34"/>
        <v>206147.37</v>
      </c>
    </row>
    <row r="188" spans="1:13" ht="13.8">
      <c r="A188" s="43">
        <f t="shared" si="23"/>
        <v>175</v>
      </c>
      <c r="B188" s="44" t="s">
        <v>911</v>
      </c>
      <c r="C188" s="44" t="s">
        <v>912</v>
      </c>
      <c r="D188" s="369">
        <v>0</v>
      </c>
      <c r="E188" s="43" t="str">
        <f t="shared" si="24"/>
        <v>921</v>
      </c>
      <c r="F188" s="41" t="str">
        <f t="shared" si="25"/>
        <v>0502</v>
      </c>
      <c r="G188" s="9"/>
      <c r="H188" s="9"/>
      <c r="I188" s="9"/>
      <c r="J188" s="9"/>
      <c r="K188" s="9"/>
      <c r="L188" s="9"/>
      <c r="M188" s="9">
        <f t="shared" si="34"/>
        <v>0</v>
      </c>
    </row>
    <row r="189" spans="1:13" ht="13.8">
      <c r="A189" s="43">
        <f t="shared" si="23"/>
        <v>176</v>
      </c>
      <c r="B189" s="44" t="s">
        <v>913</v>
      </c>
      <c r="C189" s="44" t="s">
        <v>914</v>
      </c>
      <c r="D189" s="369">
        <v>5516.64</v>
      </c>
      <c r="E189" s="43" t="str">
        <f t="shared" si="24"/>
        <v>935</v>
      </c>
      <c r="F189" s="41" t="str">
        <f t="shared" si="25"/>
        <v>0303</v>
      </c>
      <c r="G189" s="9"/>
      <c r="H189" s="9"/>
      <c r="I189" s="9"/>
      <c r="J189" s="9"/>
      <c r="K189" s="9"/>
      <c r="L189" s="9"/>
      <c r="M189" s="9">
        <f t="shared" si="34"/>
        <v>5516.64</v>
      </c>
    </row>
    <row r="190" spans="1:13" ht="13.8">
      <c r="A190" s="43">
        <f t="shared" si="23"/>
        <v>177</v>
      </c>
      <c r="B190" s="111">
        <v>9350308</v>
      </c>
      <c r="C190" s="44" t="s">
        <v>1277</v>
      </c>
      <c r="D190" s="369">
        <v>0</v>
      </c>
      <c r="E190" s="43" t="str">
        <f t="shared" ref="E190" si="35">LEFT(B190,3)</f>
        <v>935</v>
      </c>
      <c r="F190" s="41" t="str">
        <f t="shared" ref="F190" si="36">RIGHT(B190,LEN(B190)-3)</f>
        <v>0308</v>
      </c>
      <c r="G190" s="9"/>
      <c r="H190" s="9"/>
      <c r="I190" s="9"/>
      <c r="J190" s="9"/>
      <c r="K190" s="9"/>
      <c r="L190" s="9"/>
      <c r="M190" s="9">
        <f t="shared" si="34"/>
        <v>0</v>
      </c>
    </row>
    <row r="191" spans="1:13" ht="13.8">
      <c r="A191" s="43">
        <f t="shared" si="23"/>
        <v>178</v>
      </c>
      <c r="B191" s="44" t="s">
        <v>915</v>
      </c>
      <c r="C191" s="44" t="s">
        <v>916</v>
      </c>
      <c r="D191" s="369">
        <v>3746.45</v>
      </c>
      <c r="E191" s="43" t="str">
        <f t="shared" si="24"/>
        <v>935</v>
      </c>
      <c r="F191" s="41" t="str">
        <f t="shared" si="25"/>
        <v>0311</v>
      </c>
      <c r="G191" s="9"/>
      <c r="H191" s="9"/>
      <c r="I191" s="9"/>
      <c r="J191" s="9"/>
      <c r="K191" s="9"/>
      <c r="L191" s="9"/>
      <c r="M191" s="9">
        <f t="shared" si="34"/>
        <v>3746.45</v>
      </c>
    </row>
    <row r="192" spans="1:13" ht="13.8">
      <c r="A192" s="43">
        <f t="shared" si="23"/>
        <v>179</v>
      </c>
      <c r="B192" s="44" t="s">
        <v>917</v>
      </c>
      <c r="C192" s="44" t="s">
        <v>918</v>
      </c>
      <c r="D192" s="369">
        <v>1552.71</v>
      </c>
      <c r="E192" s="43" t="str">
        <f t="shared" si="24"/>
        <v>935</v>
      </c>
      <c r="F192" s="41" t="str">
        <f t="shared" si="25"/>
        <v>0316</v>
      </c>
      <c r="G192" s="9"/>
      <c r="H192" s="9"/>
      <c r="I192" s="9"/>
      <c r="J192" s="9"/>
      <c r="K192" s="9"/>
      <c r="L192" s="9"/>
      <c r="M192" s="9">
        <f t="shared" si="34"/>
        <v>1552.71</v>
      </c>
    </row>
    <row r="193" spans="1:15" s="110" customFormat="1" ht="13.8">
      <c r="A193" s="43">
        <f t="shared" si="23"/>
        <v>180</v>
      </c>
      <c r="B193" s="114"/>
      <c r="C193" s="115" t="s">
        <v>54</v>
      </c>
      <c r="D193" s="12">
        <f>SUM(D150:D192)</f>
        <v>858664.01</v>
      </c>
      <c r="E193" s="113"/>
      <c r="F193" s="108"/>
      <c r="G193" s="12">
        <f>SUM(G150:G192)</f>
        <v>347465.85</v>
      </c>
      <c r="H193" s="12">
        <f>SUM(H150:H192)</f>
        <v>132615.09000000003</v>
      </c>
      <c r="I193" s="12">
        <f>SUM(I150:I192)</f>
        <v>68085.22</v>
      </c>
      <c r="J193" s="12"/>
      <c r="K193" s="12"/>
      <c r="L193" s="12">
        <f>SUM(L150:L192)</f>
        <v>17631.440000000002</v>
      </c>
      <c r="M193" s="12">
        <f>SUM(M150:M192)</f>
        <v>274429.89</v>
      </c>
      <c r="O193" s="12">
        <f>SUM(O150:O192)</f>
        <v>18436.52</v>
      </c>
    </row>
    <row r="194" spans="1:15" ht="13.8">
      <c r="A194" s="43"/>
      <c r="B194" s="116"/>
      <c r="C194" s="116"/>
      <c r="D194" s="42"/>
      <c r="E194" s="43"/>
      <c r="F194" s="41"/>
      <c r="G194" s="42"/>
      <c r="H194" s="42"/>
      <c r="I194" s="42"/>
      <c r="J194" s="42"/>
      <c r="K194" s="42"/>
      <c r="L194" s="42"/>
      <c r="M194" s="42"/>
    </row>
    <row r="195" spans="1:15" s="110" customFormat="1" ht="13.8">
      <c r="A195" s="113">
        <f>A193+1</f>
        <v>181</v>
      </c>
      <c r="B195" s="642" t="s">
        <v>919</v>
      </c>
      <c r="C195" s="642"/>
      <c r="D195" s="12">
        <f>D84+D147+D193</f>
        <v>26477608.049999997</v>
      </c>
      <c r="E195" s="113"/>
      <c r="F195" s="108"/>
      <c r="G195" s="12">
        <f t="shared" ref="G195:O195" si="37">G84+G147+G193</f>
        <v>13695232.730000002</v>
      </c>
      <c r="H195" s="12">
        <f t="shared" si="37"/>
        <v>4300027.1300000008</v>
      </c>
      <c r="I195" s="12">
        <f t="shared" si="37"/>
        <v>2178232.9700000002</v>
      </c>
      <c r="J195" s="12">
        <f t="shared" si="37"/>
        <v>128466.83</v>
      </c>
      <c r="K195" s="12">
        <f t="shared" si="37"/>
        <v>0</v>
      </c>
      <c r="L195" s="12">
        <f t="shared" si="37"/>
        <v>618007.05000000005</v>
      </c>
      <c r="M195" s="12">
        <f t="shared" si="37"/>
        <v>3795506.9899999998</v>
      </c>
      <c r="O195" s="12">
        <f t="shared" si="37"/>
        <v>1762134.3499999999</v>
      </c>
    </row>
    <row r="196" spans="1:15" ht="13.8">
      <c r="A196" s="43"/>
      <c r="B196" s="44"/>
      <c r="C196" s="44"/>
      <c r="D196" s="12"/>
      <c r="E196" s="43"/>
      <c r="F196" s="41"/>
      <c r="G196" s="9"/>
      <c r="H196" s="9"/>
      <c r="I196" s="9"/>
      <c r="J196" s="9"/>
      <c r="K196" s="9"/>
      <c r="L196" s="9"/>
      <c r="M196" s="9"/>
    </row>
    <row r="197" spans="1:15" ht="13.8">
      <c r="A197" s="43"/>
      <c r="B197" s="44"/>
      <c r="C197" s="44"/>
      <c r="D197" s="82"/>
      <c r="E197" s="43"/>
      <c r="F197" s="41"/>
      <c r="G197" s="9"/>
      <c r="H197" s="9"/>
      <c r="I197" s="9"/>
      <c r="J197" s="9"/>
      <c r="K197" s="9"/>
      <c r="L197" s="9"/>
      <c r="M197" s="9"/>
    </row>
    <row r="198" spans="1:15" ht="13.8">
      <c r="A198" s="43">
        <f>+A195+1</f>
        <v>182</v>
      </c>
      <c r="B198" s="643" t="s">
        <v>920</v>
      </c>
      <c r="C198" s="643"/>
      <c r="D198" s="592">
        <v>3633630.65</v>
      </c>
      <c r="E198" s="43"/>
      <c r="F198" s="41"/>
      <c r="G198" s="9"/>
      <c r="H198" s="9"/>
      <c r="I198" s="9"/>
      <c r="J198" s="9"/>
      <c r="K198" s="9"/>
      <c r="L198" s="9"/>
      <c r="M198" s="9"/>
    </row>
    <row r="199" spans="1:15" ht="13.8">
      <c r="A199" s="43"/>
      <c r="B199" s="44"/>
      <c r="C199" s="44"/>
      <c r="D199" s="82"/>
      <c r="E199" s="43"/>
      <c r="F199" s="41"/>
      <c r="G199" s="9"/>
      <c r="H199" s="9"/>
      <c r="I199" s="9"/>
      <c r="J199" s="9"/>
      <c r="K199" s="9"/>
      <c r="L199" s="9"/>
      <c r="M199" s="9"/>
    </row>
    <row r="200" spans="1:15" ht="13.8">
      <c r="A200" s="43"/>
      <c r="B200" s="44"/>
      <c r="C200" s="44"/>
      <c r="D200" s="82"/>
      <c r="E200" s="43"/>
      <c r="F200" s="41"/>
      <c r="G200" s="9"/>
      <c r="H200" s="9"/>
      <c r="I200" s="9"/>
      <c r="J200" s="9"/>
      <c r="K200" s="9"/>
      <c r="L200" s="9"/>
      <c r="M200" s="9"/>
    </row>
    <row r="201" spans="1:15" ht="13.8">
      <c r="A201" s="43">
        <f>+A198+1</f>
        <v>183</v>
      </c>
      <c r="B201" s="642" t="s">
        <v>921</v>
      </c>
      <c r="C201" s="643"/>
      <c r="D201" s="42">
        <f>D84+D147+D193+D198</f>
        <v>30111238.699999996</v>
      </c>
      <c r="E201" s="43"/>
      <c r="F201" s="41"/>
      <c r="G201" s="9"/>
      <c r="H201" s="9"/>
      <c r="I201" s="9"/>
      <c r="J201" s="9"/>
      <c r="K201" s="9"/>
      <c r="L201" s="9"/>
      <c r="M201" s="9"/>
    </row>
    <row r="202" spans="1:15" ht="13.8">
      <c r="A202" s="43"/>
      <c r="B202" s="126"/>
      <c r="C202" s="127"/>
      <c r="D202" s="12"/>
      <c r="E202" s="43"/>
      <c r="F202" s="41"/>
      <c r="G202" s="9"/>
      <c r="H202" s="9"/>
      <c r="I202" s="9"/>
      <c r="J202" s="9"/>
      <c r="K202" s="9"/>
      <c r="L202" s="9"/>
      <c r="M202" s="9"/>
    </row>
    <row r="203" spans="1:15" ht="13.8">
      <c r="A203" s="43"/>
      <c r="B203" s="126"/>
      <c r="C203" s="127"/>
      <c r="D203" s="12"/>
      <c r="E203" s="43"/>
      <c r="F203" s="41"/>
      <c r="G203" s="9"/>
      <c r="H203" s="9"/>
      <c r="I203" s="9"/>
      <c r="J203" s="9"/>
      <c r="K203" s="9"/>
      <c r="L203" s="9"/>
      <c r="M203" s="9"/>
    </row>
    <row r="204" spans="1:15" ht="13.8">
      <c r="A204" s="43"/>
      <c r="B204" s="44"/>
      <c r="C204" s="44"/>
      <c r="D204" s="82"/>
      <c r="E204" s="43"/>
      <c r="F204" s="41"/>
      <c r="G204" s="9"/>
      <c r="H204" s="9"/>
      <c r="I204" s="9"/>
      <c r="J204" s="9"/>
      <c r="K204" s="9"/>
      <c r="L204" s="9"/>
      <c r="M204" s="9"/>
    </row>
    <row r="205" spans="1:15" ht="13.8">
      <c r="A205" s="43">
        <f>A201+1</f>
        <v>184</v>
      </c>
      <c r="B205" s="117" t="s">
        <v>922</v>
      </c>
      <c r="C205" s="44"/>
      <c r="D205" s="12"/>
      <c r="E205" s="43"/>
      <c r="F205" s="41"/>
      <c r="G205" s="9"/>
      <c r="H205" s="9"/>
      <c r="I205" s="9"/>
      <c r="J205" s="9"/>
      <c r="K205" s="9"/>
      <c r="L205" s="9"/>
      <c r="M205" s="9"/>
    </row>
    <row r="206" spans="1:15" ht="13.8">
      <c r="A206" s="43">
        <f t="shared" ref="A206:A269" si="38">SUM(A205+1)</f>
        <v>185</v>
      </c>
      <c r="B206" s="44" t="s">
        <v>923</v>
      </c>
      <c r="C206" s="44" t="s">
        <v>924</v>
      </c>
      <c r="D206" s="369">
        <v>189782.51</v>
      </c>
      <c r="E206" s="43" t="str">
        <f t="shared" ref="E206:E238" si="39">LEFT(B206,3)</f>
        <v>500</v>
      </c>
      <c r="F206" s="41" t="str">
        <f t="shared" ref="F206:F238" si="40">RIGHT(B206,LEN(B206)-3)</f>
        <v>25</v>
      </c>
      <c r="G206" s="9">
        <f t="shared" ref="G206:G230" si="41">$D206</f>
        <v>189782.51</v>
      </c>
      <c r="H206" s="9"/>
      <c r="I206" s="9"/>
      <c r="J206" s="9"/>
      <c r="K206" s="9"/>
      <c r="L206" s="9"/>
      <c r="M206" s="9"/>
    </row>
    <row r="207" spans="1:15" ht="13.8">
      <c r="A207" s="43">
        <f t="shared" si="38"/>
        <v>186</v>
      </c>
      <c r="B207" s="44" t="s">
        <v>925</v>
      </c>
      <c r="C207" s="44" t="s">
        <v>926</v>
      </c>
      <c r="D207" s="369">
        <v>0</v>
      </c>
      <c r="E207" s="43" t="str">
        <f t="shared" si="39"/>
        <v>501</v>
      </c>
      <c r="F207" s="41" t="str">
        <f t="shared" si="40"/>
        <v>2501</v>
      </c>
      <c r="G207" s="9">
        <f t="shared" si="41"/>
        <v>0</v>
      </c>
      <c r="H207" s="9"/>
      <c r="I207" s="9"/>
      <c r="J207" s="9"/>
      <c r="K207" s="9"/>
      <c r="L207" s="9"/>
      <c r="M207" s="9"/>
    </row>
    <row r="208" spans="1:15" ht="13.8">
      <c r="A208" s="43">
        <f t="shared" si="38"/>
        <v>187</v>
      </c>
      <c r="B208" s="44" t="s">
        <v>927</v>
      </c>
      <c r="C208" s="44" t="s">
        <v>928</v>
      </c>
      <c r="D208" s="369">
        <v>74112.899999999994</v>
      </c>
      <c r="E208" s="43" t="str">
        <f t="shared" si="39"/>
        <v>501</v>
      </c>
      <c r="F208" s="41" t="str">
        <f t="shared" si="40"/>
        <v>2504</v>
      </c>
      <c r="G208" s="9">
        <f t="shared" si="41"/>
        <v>74112.899999999994</v>
      </c>
      <c r="H208" s="9"/>
      <c r="I208" s="9"/>
      <c r="J208" s="9"/>
      <c r="K208" s="9"/>
      <c r="L208" s="9"/>
      <c r="M208" s="9"/>
    </row>
    <row r="209" spans="1:13" ht="13.8">
      <c r="A209" s="43">
        <f t="shared" si="38"/>
        <v>188</v>
      </c>
      <c r="B209" s="44" t="s">
        <v>929</v>
      </c>
      <c r="C209" s="44" t="s">
        <v>930</v>
      </c>
      <c r="D209" s="369">
        <v>1134219.51</v>
      </c>
      <c r="E209" s="43" t="str">
        <f t="shared" si="39"/>
        <v>502</v>
      </c>
      <c r="F209" s="41" t="str">
        <f t="shared" si="40"/>
        <v>25</v>
      </c>
      <c r="G209" s="9">
        <f t="shared" si="41"/>
        <v>1134219.51</v>
      </c>
      <c r="H209" s="9"/>
      <c r="I209" s="9"/>
      <c r="J209" s="9"/>
      <c r="K209" s="9"/>
      <c r="L209" s="9"/>
      <c r="M209" s="9"/>
    </row>
    <row r="210" spans="1:13" ht="13.8">
      <c r="A210" s="43">
        <f t="shared" si="38"/>
        <v>189</v>
      </c>
      <c r="B210" s="44" t="s">
        <v>931</v>
      </c>
      <c r="C210" s="44" t="s">
        <v>932</v>
      </c>
      <c r="D210" s="369">
        <v>807843.6</v>
      </c>
      <c r="E210" s="43" t="str">
        <f t="shared" si="39"/>
        <v>505</v>
      </c>
      <c r="F210" s="41" t="str">
        <f t="shared" si="40"/>
        <v>25</v>
      </c>
      <c r="G210" s="9">
        <f t="shared" si="41"/>
        <v>807843.6</v>
      </c>
      <c r="H210" s="9"/>
      <c r="I210" s="9"/>
      <c r="J210" s="9"/>
      <c r="K210" s="9"/>
      <c r="L210" s="9"/>
      <c r="M210" s="9"/>
    </row>
    <row r="211" spans="1:13" ht="13.8">
      <c r="A211" s="43">
        <f t="shared" si="38"/>
        <v>190</v>
      </c>
      <c r="B211" s="44" t="s">
        <v>933</v>
      </c>
      <c r="C211" s="44" t="s">
        <v>934</v>
      </c>
      <c r="D211" s="369">
        <v>631733.6</v>
      </c>
      <c r="E211" s="43" t="str">
        <f t="shared" si="39"/>
        <v>506</v>
      </c>
      <c r="F211" s="41" t="str">
        <f t="shared" si="40"/>
        <v>25</v>
      </c>
      <c r="G211" s="9">
        <f t="shared" si="41"/>
        <v>631733.6</v>
      </c>
      <c r="H211" s="9"/>
      <c r="I211" s="9"/>
      <c r="J211" s="9"/>
      <c r="K211" s="9"/>
      <c r="L211" s="9"/>
      <c r="M211" s="9"/>
    </row>
    <row r="212" spans="1:13" ht="13.8">
      <c r="A212" s="43">
        <f t="shared" si="38"/>
        <v>191</v>
      </c>
      <c r="B212" s="44" t="s">
        <v>935</v>
      </c>
      <c r="C212" s="44" t="s">
        <v>936</v>
      </c>
      <c r="D212" s="369">
        <v>52297.57</v>
      </c>
      <c r="E212" s="43" t="str">
        <f t="shared" si="39"/>
        <v>506</v>
      </c>
      <c r="F212" s="41" t="str">
        <f t="shared" si="40"/>
        <v>2545</v>
      </c>
      <c r="G212" s="9">
        <f t="shared" si="41"/>
        <v>52297.57</v>
      </c>
      <c r="H212" s="9"/>
      <c r="I212" s="9"/>
      <c r="J212" s="9"/>
      <c r="K212" s="9"/>
      <c r="L212" s="9"/>
      <c r="M212" s="9"/>
    </row>
    <row r="213" spans="1:13" ht="13.8">
      <c r="A213" s="43">
        <f t="shared" si="38"/>
        <v>192</v>
      </c>
      <c r="B213" s="44" t="s">
        <v>937</v>
      </c>
      <c r="C213" s="44" t="s">
        <v>938</v>
      </c>
      <c r="D213" s="369">
        <v>292164.68</v>
      </c>
      <c r="E213" s="43" t="str">
        <f t="shared" si="39"/>
        <v>510</v>
      </c>
      <c r="F213" s="41" t="str">
        <f t="shared" si="40"/>
        <v>25</v>
      </c>
      <c r="G213" s="9">
        <f t="shared" si="41"/>
        <v>292164.68</v>
      </c>
      <c r="H213" s="9"/>
      <c r="I213" s="9"/>
      <c r="J213" s="9"/>
      <c r="K213" s="9"/>
      <c r="L213" s="9"/>
      <c r="M213" s="9"/>
    </row>
    <row r="214" spans="1:13" ht="13.8">
      <c r="A214" s="43">
        <f t="shared" si="38"/>
        <v>193</v>
      </c>
      <c r="B214" s="44" t="s">
        <v>939</v>
      </c>
      <c r="C214" s="44" t="s">
        <v>940</v>
      </c>
      <c r="D214" s="369">
        <v>182787.13</v>
      </c>
      <c r="E214" s="43" t="str">
        <f t="shared" si="39"/>
        <v>511</v>
      </c>
      <c r="F214" s="41" t="str">
        <f t="shared" si="40"/>
        <v>25</v>
      </c>
      <c r="G214" s="9">
        <f t="shared" si="41"/>
        <v>182787.13</v>
      </c>
      <c r="H214" s="9"/>
      <c r="I214" s="9"/>
      <c r="J214" s="9"/>
      <c r="K214" s="9"/>
      <c r="L214" s="9"/>
      <c r="M214" s="9"/>
    </row>
    <row r="215" spans="1:13" ht="13.8">
      <c r="A215" s="43">
        <f t="shared" si="38"/>
        <v>194</v>
      </c>
      <c r="B215" s="44" t="s">
        <v>941</v>
      </c>
      <c r="C215" s="44" t="s">
        <v>942</v>
      </c>
      <c r="D215" s="369">
        <v>1132882.18</v>
      </c>
      <c r="E215" s="43" t="str">
        <f t="shared" si="39"/>
        <v>512</v>
      </c>
      <c r="F215" s="41" t="str">
        <f t="shared" si="40"/>
        <v>25</v>
      </c>
      <c r="G215" s="9">
        <f t="shared" si="41"/>
        <v>1132882.18</v>
      </c>
      <c r="H215" s="9"/>
      <c r="I215" s="9"/>
      <c r="J215" s="9"/>
      <c r="K215" s="9"/>
      <c r="L215" s="9"/>
      <c r="M215" s="9"/>
    </row>
    <row r="216" spans="1:13" ht="13.8">
      <c r="A216" s="43">
        <f t="shared" si="38"/>
        <v>195</v>
      </c>
      <c r="B216" s="44" t="s">
        <v>943</v>
      </c>
      <c r="C216" s="44" t="s">
        <v>944</v>
      </c>
      <c r="D216" s="369">
        <v>513420.47</v>
      </c>
      <c r="E216" s="43" t="str">
        <f t="shared" si="39"/>
        <v>513</v>
      </c>
      <c r="F216" s="41" t="str">
        <f t="shared" si="40"/>
        <v>25</v>
      </c>
      <c r="G216" s="9">
        <f t="shared" si="41"/>
        <v>513420.47</v>
      </c>
      <c r="H216" s="9"/>
      <c r="I216" s="9"/>
      <c r="J216" s="9"/>
      <c r="K216" s="9"/>
      <c r="L216" s="9"/>
      <c r="M216" s="9"/>
    </row>
    <row r="217" spans="1:13" ht="13.8">
      <c r="A217" s="43">
        <f t="shared" si="38"/>
        <v>196</v>
      </c>
      <c r="B217" s="44" t="s">
        <v>945</v>
      </c>
      <c r="C217" s="44" t="s">
        <v>946</v>
      </c>
      <c r="D217" s="369">
        <v>0</v>
      </c>
      <c r="E217" s="43" t="str">
        <f t="shared" si="39"/>
        <v>513</v>
      </c>
      <c r="F217" s="41" t="str">
        <f t="shared" si="40"/>
        <v>2501</v>
      </c>
      <c r="G217" s="9">
        <f t="shared" si="41"/>
        <v>0</v>
      </c>
      <c r="H217" s="9"/>
      <c r="I217" s="9"/>
      <c r="J217" s="9"/>
      <c r="K217" s="9"/>
      <c r="L217" s="9"/>
      <c r="M217" s="9"/>
    </row>
    <row r="218" spans="1:13" ht="13.8">
      <c r="A218" s="43">
        <f t="shared" si="38"/>
        <v>197</v>
      </c>
      <c r="B218" s="44" t="s">
        <v>947</v>
      </c>
      <c r="C218" s="44" t="s">
        <v>948</v>
      </c>
      <c r="D218" s="369">
        <v>48367.32</v>
      </c>
      <c r="E218" s="43" t="str">
        <f t="shared" si="39"/>
        <v>514</v>
      </c>
      <c r="F218" s="41" t="str">
        <f t="shared" si="40"/>
        <v>25</v>
      </c>
      <c r="G218" s="9">
        <f t="shared" si="41"/>
        <v>48367.32</v>
      </c>
      <c r="H218" s="9"/>
      <c r="I218" s="9"/>
      <c r="J218" s="9"/>
      <c r="K218" s="9"/>
      <c r="L218" s="9"/>
      <c r="M218" s="9"/>
    </row>
    <row r="219" spans="1:13" ht="13.8">
      <c r="A219" s="43">
        <f t="shared" si="38"/>
        <v>198</v>
      </c>
      <c r="B219" s="44" t="s">
        <v>949</v>
      </c>
      <c r="C219" s="44" t="s">
        <v>950</v>
      </c>
      <c r="D219" s="369">
        <v>180317.39</v>
      </c>
      <c r="E219" s="43" t="str">
        <f t="shared" si="39"/>
        <v>546</v>
      </c>
      <c r="F219" s="41" t="str">
        <f t="shared" si="40"/>
        <v>25</v>
      </c>
      <c r="G219" s="9">
        <f t="shared" si="41"/>
        <v>180317.39</v>
      </c>
      <c r="H219" s="9"/>
      <c r="I219" s="9"/>
      <c r="J219" s="9"/>
      <c r="K219" s="9"/>
      <c r="L219" s="9"/>
      <c r="M219" s="9"/>
    </row>
    <row r="220" spans="1:13" ht="13.8">
      <c r="A220" s="43">
        <f t="shared" si="38"/>
        <v>199</v>
      </c>
      <c r="B220" s="111">
        <v>5462501</v>
      </c>
      <c r="C220" s="44" t="s">
        <v>1278</v>
      </c>
      <c r="D220" s="369">
        <v>6075.38</v>
      </c>
      <c r="E220" s="43" t="str">
        <f t="shared" ref="E220" si="42">LEFT(B220,3)</f>
        <v>546</v>
      </c>
      <c r="F220" s="41" t="str">
        <f t="shared" ref="F220" si="43">RIGHT(B220,LEN(B220)-3)</f>
        <v>2501</v>
      </c>
      <c r="G220" s="9">
        <f t="shared" si="41"/>
        <v>6075.38</v>
      </c>
      <c r="H220" s="9"/>
      <c r="I220" s="9"/>
      <c r="J220" s="9"/>
      <c r="K220" s="9"/>
      <c r="L220" s="9"/>
      <c r="M220" s="9"/>
    </row>
    <row r="221" spans="1:13" ht="13.8">
      <c r="A221" s="43">
        <f t="shared" si="38"/>
        <v>200</v>
      </c>
      <c r="B221" s="44" t="s">
        <v>951</v>
      </c>
      <c r="C221" s="44" t="s">
        <v>952</v>
      </c>
      <c r="D221" s="369">
        <v>0</v>
      </c>
      <c r="E221" s="43" t="str">
        <f t="shared" si="39"/>
        <v>547</v>
      </c>
      <c r="F221" s="41" t="str">
        <f t="shared" si="40"/>
        <v>2501</v>
      </c>
      <c r="G221" s="9">
        <f t="shared" si="41"/>
        <v>0</v>
      </c>
      <c r="H221" s="9"/>
      <c r="I221" s="9"/>
      <c r="J221" s="9"/>
      <c r="K221" s="9"/>
      <c r="L221" s="9"/>
      <c r="M221" s="9"/>
    </row>
    <row r="222" spans="1:13" ht="13.8">
      <c r="A222" s="43">
        <f t="shared" si="38"/>
        <v>201</v>
      </c>
      <c r="B222" s="44" t="s">
        <v>953</v>
      </c>
      <c r="C222" s="44" t="s">
        <v>954</v>
      </c>
      <c r="D222" s="369">
        <v>986515.31</v>
      </c>
      <c r="E222" s="43" t="str">
        <f t="shared" si="39"/>
        <v>548</v>
      </c>
      <c r="F222" s="41" t="str">
        <f t="shared" si="40"/>
        <v>25</v>
      </c>
      <c r="G222" s="9">
        <f t="shared" si="41"/>
        <v>986515.31</v>
      </c>
      <c r="H222" s="9"/>
      <c r="I222" s="9"/>
      <c r="J222" s="9"/>
      <c r="K222" s="9"/>
      <c r="L222" s="9"/>
      <c r="M222" s="9"/>
    </row>
    <row r="223" spans="1:13" ht="13.8">
      <c r="A223" s="43">
        <f t="shared" si="38"/>
        <v>202</v>
      </c>
      <c r="B223" s="44" t="s">
        <v>955</v>
      </c>
      <c r="C223" s="44" t="s">
        <v>956</v>
      </c>
      <c r="D223" s="369">
        <v>303848.48</v>
      </c>
      <c r="E223" s="43" t="str">
        <f t="shared" si="39"/>
        <v>549</v>
      </c>
      <c r="F223" s="41" t="str">
        <f t="shared" si="40"/>
        <v>25</v>
      </c>
      <c r="G223" s="9">
        <f t="shared" si="41"/>
        <v>303848.48</v>
      </c>
      <c r="H223" s="9"/>
      <c r="I223" s="9"/>
      <c r="J223" s="9"/>
      <c r="K223" s="9"/>
      <c r="L223" s="9"/>
      <c r="M223" s="9"/>
    </row>
    <row r="224" spans="1:13" ht="13.8">
      <c r="A224" s="43">
        <f t="shared" si="38"/>
        <v>203</v>
      </c>
      <c r="B224" s="44" t="s">
        <v>957</v>
      </c>
      <c r="C224" s="44" t="s">
        <v>958</v>
      </c>
      <c r="D224" s="369">
        <v>39487.24</v>
      </c>
      <c r="E224" s="43" t="str">
        <f t="shared" si="39"/>
        <v>549</v>
      </c>
      <c r="F224" s="41" t="str">
        <f t="shared" si="40"/>
        <v>2545</v>
      </c>
      <c r="G224" s="9">
        <f t="shared" si="41"/>
        <v>39487.24</v>
      </c>
      <c r="H224" s="9"/>
      <c r="I224" s="9"/>
      <c r="J224" s="9"/>
      <c r="K224" s="9"/>
      <c r="L224" s="9"/>
      <c r="M224" s="9"/>
    </row>
    <row r="225" spans="1:15" ht="13.8">
      <c r="A225" s="43">
        <f t="shared" si="38"/>
        <v>204</v>
      </c>
      <c r="B225" s="44" t="s">
        <v>959</v>
      </c>
      <c r="C225" s="44" t="s">
        <v>960</v>
      </c>
      <c r="D225" s="369">
        <v>72190.61</v>
      </c>
      <c r="E225" s="43" t="str">
        <f t="shared" si="39"/>
        <v>551</v>
      </c>
      <c r="F225" s="41" t="str">
        <f t="shared" si="40"/>
        <v>25</v>
      </c>
      <c r="G225" s="9">
        <f t="shared" si="41"/>
        <v>72190.61</v>
      </c>
      <c r="H225" s="9"/>
      <c r="I225" s="9"/>
      <c r="J225" s="9"/>
      <c r="K225" s="9"/>
      <c r="L225" s="9"/>
      <c r="M225" s="9"/>
    </row>
    <row r="226" spans="1:15" ht="13.8">
      <c r="A226" s="43">
        <f t="shared" si="38"/>
        <v>205</v>
      </c>
      <c r="B226" s="44" t="s">
        <v>961</v>
      </c>
      <c r="C226" s="44" t="s">
        <v>962</v>
      </c>
      <c r="D226" s="369">
        <v>87889.35</v>
      </c>
      <c r="E226" s="43" t="str">
        <f t="shared" si="39"/>
        <v>552</v>
      </c>
      <c r="F226" s="41" t="str">
        <f t="shared" si="40"/>
        <v>25</v>
      </c>
      <c r="G226" s="9">
        <f t="shared" si="41"/>
        <v>87889.35</v>
      </c>
      <c r="H226" s="9"/>
      <c r="I226" s="9"/>
      <c r="J226" s="9"/>
      <c r="K226" s="9"/>
      <c r="L226" s="9"/>
      <c r="M226" s="9"/>
    </row>
    <row r="227" spans="1:15" ht="13.8">
      <c r="A227" s="43">
        <f t="shared" si="38"/>
        <v>206</v>
      </c>
      <c r="B227" s="44" t="s">
        <v>963</v>
      </c>
      <c r="C227" s="44" t="s">
        <v>964</v>
      </c>
      <c r="D227" s="369">
        <v>308954.26</v>
      </c>
      <c r="E227" s="43" t="str">
        <f t="shared" si="39"/>
        <v>553</v>
      </c>
      <c r="F227" s="41" t="str">
        <f t="shared" si="40"/>
        <v>25</v>
      </c>
      <c r="G227" s="9">
        <f t="shared" si="41"/>
        <v>308954.26</v>
      </c>
      <c r="H227" s="9"/>
      <c r="I227" s="9"/>
      <c r="J227" s="9"/>
      <c r="K227" s="9"/>
      <c r="L227" s="9"/>
      <c r="M227" s="9"/>
    </row>
    <row r="228" spans="1:15" ht="13.8">
      <c r="A228" s="43">
        <f t="shared" si="38"/>
        <v>207</v>
      </c>
      <c r="B228" s="44" t="s">
        <v>965</v>
      </c>
      <c r="C228" s="44" t="s">
        <v>966</v>
      </c>
      <c r="D228" s="369">
        <v>185298.04</v>
      </c>
      <c r="E228" s="43" t="str">
        <f t="shared" si="39"/>
        <v>554</v>
      </c>
      <c r="F228" s="41" t="str">
        <f t="shared" si="40"/>
        <v>25</v>
      </c>
      <c r="G228" s="9">
        <f t="shared" si="41"/>
        <v>185298.04</v>
      </c>
      <c r="H228" s="9"/>
      <c r="I228" s="9"/>
      <c r="J228" s="9"/>
      <c r="K228" s="9"/>
      <c r="L228" s="9"/>
      <c r="M228" s="9"/>
    </row>
    <row r="229" spans="1:15" ht="13.8">
      <c r="A229" s="43">
        <f t="shared" si="38"/>
        <v>208</v>
      </c>
      <c r="B229" s="44" t="s">
        <v>967</v>
      </c>
      <c r="C229" s="44" t="s">
        <v>968</v>
      </c>
      <c r="D229" s="369">
        <v>24851.26</v>
      </c>
      <c r="E229" s="43" t="str">
        <f t="shared" si="39"/>
        <v>556</v>
      </c>
      <c r="F229" s="41" t="str">
        <f t="shared" si="40"/>
        <v>2501</v>
      </c>
      <c r="G229" s="9">
        <f t="shared" si="41"/>
        <v>24851.26</v>
      </c>
      <c r="H229" s="9"/>
      <c r="I229" s="9"/>
      <c r="J229" s="9"/>
      <c r="K229" s="9"/>
      <c r="L229" s="9"/>
      <c r="M229" s="9"/>
    </row>
    <row r="230" spans="1:15" ht="13.8">
      <c r="A230" s="43">
        <f t="shared" si="38"/>
        <v>209</v>
      </c>
      <c r="B230" s="44" t="s">
        <v>969</v>
      </c>
      <c r="C230" s="44" t="s">
        <v>970</v>
      </c>
      <c r="D230" s="369">
        <v>10500.82</v>
      </c>
      <c r="E230" s="43" t="str">
        <f t="shared" si="39"/>
        <v>556</v>
      </c>
      <c r="F230" s="41" t="str">
        <f t="shared" si="40"/>
        <v>2503</v>
      </c>
      <c r="G230" s="9">
        <f t="shared" si="41"/>
        <v>10500.82</v>
      </c>
      <c r="H230" s="9"/>
      <c r="I230" s="9"/>
      <c r="J230" s="9"/>
      <c r="K230" s="9"/>
      <c r="L230" s="9"/>
      <c r="M230" s="9"/>
    </row>
    <row r="231" spans="1:15" ht="13.8">
      <c r="A231" s="43">
        <f t="shared" si="38"/>
        <v>210</v>
      </c>
      <c r="B231" s="44" t="s">
        <v>971</v>
      </c>
      <c r="C231" s="44" t="s">
        <v>972</v>
      </c>
      <c r="D231" s="369">
        <v>188222.65</v>
      </c>
      <c r="E231" s="43" t="str">
        <f t="shared" si="39"/>
        <v>560</v>
      </c>
      <c r="F231" s="41" t="str">
        <f t="shared" si="40"/>
        <v>25</v>
      </c>
      <c r="G231" s="9"/>
      <c r="H231" s="9">
        <f t="shared" ref="H231:O249" si="44">$D231</f>
        <v>188222.65</v>
      </c>
      <c r="I231" s="9"/>
      <c r="J231" s="9"/>
      <c r="K231" s="9"/>
      <c r="L231" s="9"/>
      <c r="M231" s="9"/>
    </row>
    <row r="232" spans="1:15" ht="13.8">
      <c r="A232" s="43">
        <f t="shared" si="38"/>
        <v>211</v>
      </c>
      <c r="B232" s="44" t="s">
        <v>973</v>
      </c>
      <c r="C232" s="44" t="s">
        <v>974</v>
      </c>
      <c r="D232" s="369">
        <v>116286.47</v>
      </c>
      <c r="E232" s="43" t="str">
        <f t="shared" si="39"/>
        <v>561</v>
      </c>
      <c r="F232" s="41" t="str">
        <f t="shared" si="40"/>
        <v>25</v>
      </c>
      <c r="G232" s="9"/>
      <c r="I232" s="9"/>
      <c r="J232" s="9"/>
      <c r="K232" s="9"/>
      <c r="L232" s="9"/>
      <c r="M232" s="9"/>
      <c r="O232" s="9">
        <f t="shared" si="44"/>
        <v>116286.47</v>
      </c>
    </row>
    <row r="233" spans="1:15" ht="13.8">
      <c r="A233" s="43">
        <f t="shared" si="38"/>
        <v>212</v>
      </c>
      <c r="B233" s="44" t="s">
        <v>975</v>
      </c>
      <c r="C233" s="44" t="s">
        <v>976</v>
      </c>
      <c r="D233" s="369">
        <v>405697.94</v>
      </c>
      <c r="E233" s="43" t="str">
        <f t="shared" si="39"/>
        <v>561</v>
      </c>
      <c r="F233" s="41" t="str">
        <f t="shared" si="40"/>
        <v>2501</v>
      </c>
      <c r="G233" s="9"/>
      <c r="I233" s="9"/>
      <c r="J233" s="9"/>
      <c r="K233" s="9"/>
      <c r="L233" s="9"/>
      <c r="M233" s="9"/>
      <c r="O233" s="9">
        <f t="shared" si="44"/>
        <v>405697.94</v>
      </c>
    </row>
    <row r="234" spans="1:15" ht="13.8">
      <c r="A234" s="43">
        <f t="shared" si="38"/>
        <v>213</v>
      </c>
      <c r="B234" s="44" t="s">
        <v>977</v>
      </c>
      <c r="C234" s="44" t="s">
        <v>978</v>
      </c>
      <c r="D234" s="369">
        <v>6870.61</v>
      </c>
      <c r="E234" s="43" t="str">
        <f t="shared" si="39"/>
        <v>561</v>
      </c>
      <c r="F234" s="41" t="str">
        <f t="shared" si="40"/>
        <v>2503</v>
      </c>
      <c r="G234" s="9"/>
      <c r="I234" s="9"/>
      <c r="J234" s="9"/>
      <c r="K234" s="9"/>
      <c r="L234" s="9"/>
      <c r="M234" s="9"/>
      <c r="O234" s="9">
        <f t="shared" si="44"/>
        <v>6870.61</v>
      </c>
    </row>
    <row r="235" spans="1:15" ht="13.8">
      <c r="A235" s="43">
        <f t="shared" si="38"/>
        <v>214</v>
      </c>
      <c r="B235" s="44" t="s">
        <v>979</v>
      </c>
      <c r="C235" s="44" t="s">
        <v>980</v>
      </c>
      <c r="D235" s="369">
        <v>241763.95</v>
      </c>
      <c r="E235" s="43" t="str">
        <f t="shared" si="39"/>
        <v>561</v>
      </c>
      <c r="F235" s="41" t="str">
        <f t="shared" si="40"/>
        <v>2504</v>
      </c>
      <c r="G235" s="9"/>
      <c r="I235" s="9"/>
      <c r="J235" s="9"/>
      <c r="K235" s="9"/>
      <c r="L235" s="9"/>
      <c r="M235" s="9"/>
      <c r="O235" s="9">
        <f t="shared" si="44"/>
        <v>241763.95</v>
      </c>
    </row>
    <row r="236" spans="1:15" ht="13.8">
      <c r="A236" s="43">
        <f t="shared" si="38"/>
        <v>215</v>
      </c>
      <c r="B236" s="44" t="s">
        <v>981</v>
      </c>
      <c r="C236" s="44" t="s">
        <v>982</v>
      </c>
      <c r="D236" s="369">
        <v>157526.04</v>
      </c>
      <c r="E236" s="43" t="str">
        <f t="shared" si="39"/>
        <v>561</v>
      </c>
      <c r="F236" s="41" t="str">
        <f t="shared" si="40"/>
        <v>2545</v>
      </c>
      <c r="G236" s="9"/>
      <c r="I236" s="9"/>
      <c r="J236" s="9"/>
      <c r="K236" s="9"/>
      <c r="L236" s="9"/>
      <c r="M236" s="9"/>
      <c r="O236" s="9">
        <f t="shared" si="44"/>
        <v>157526.04</v>
      </c>
    </row>
    <row r="237" spans="1:15" ht="13.8">
      <c r="A237" s="43">
        <f t="shared" si="38"/>
        <v>216</v>
      </c>
      <c r="B237" s="44" t="s">
        <v>983</v>
      </c>
      <c r="C237" s="44" t="s">
        <v>984</v>
      </c>
      <c r="D237" s="369">
        <v>389286.29</v>
      </c>
      <c r="E237" s="43" t="str">
        <f t="shared" si="39"/>
        <v>562</v>
      </c>
      <c r="F237" s="41" t="str">
        <f t="shared" si="40"/>
        <v>25</v>
      </c>
      <c r="G237" s="9"/>
      <c r="H237" s="9">
        <f t="shared" si="44"/>
        <v>389286.29</v>
      </c>
      <c r="I237" s="9"/>
      <c r="J237" s="9"/>
      <c r="K237" s="9"/>
      <c r="L237" s="9"/>
      <c r="M237" s="9"/>
    </row>
    <row r="238" spans="1:15" ht="13.8">
      <c r="A238" s="43">
        <f t="shared" si="38"/>
        <v>217</v>
      </c>
      <c r="B238" s="44" t="s">
        <v>985</v>
      </c>
      <c r="C238" s="44" t="s">
        <v>986</v>
      </c>
      <c r="D238" s="369">
        <v>0</v>
      </c>
      <c r="E238" s="43" t="str">
        <f t="shared" si="39"/>
        <v>562</v>
      </c>
      <c r="F238" s="41" t="str">
        <f t="shared" si="40"/>
        <v>2501</v>
      </c>
      <c r="G238" s="9"/>
      <c r="H238" s="9">
        <f t="shared" si="44"/>
        <v>0</v>
      </c>
      <c r="I238" s="9"/>
      <c r="J238" s="9"/>
      <c r="K238" s="9"/>
      <c r="L238" s="9"/>
      <c r="M238" s="9"/>
    </row>
    <row r="239" spans="1:15" ht="13.8">
      <c r="A239" s="43">
        <f t="shared" si="38"/>
        <v>218</v>
      </c>
      <c r="B239" s="44" t="s">
        <v>987</v>
      </c>
      <c r="C239" s="44" t="s">
        <v>988</v>
      </c>
      <c r="D239" s="369">
        <v>606.41999999999996</v>
      </c>
      <c r="E239" s="43" t="str">
        <f t="shared" ref="E239:E276" si="45">LEFT(B239,3)</f>
        <v>562</v>
      </c>
      <c r="F239" s="41" t="str">
        <f t="shared" ref="F239:F276" si="46">RIGHT(B239,LEN(B239)-3)</f>
        <v>2507</v>
      </c>
      <c r="G239" s="9"/>
      <c r="H239" s="9">
        <f t="shared" si="44"/>
        <v>606.41999999999996</v>
      </c>
      <c r="I239" s="9"/>
      <c r="J239" s="9"/>
      <c r="K239" s="9"/>
      <c r="L239" s="9"/>
      <c r="M239" s="9"/>
    </row>
    <row r="240" spans="1:15" ht="13.8">
      <c r="A240" s="43">
        <f t="shared" si="38"/>
        <v>219</v>
      </c>
      <c r="B240" s="44" t="s">
        <v>989</v>
      </c>
      <c r="C240" s="44" t="s">
        <v>990</v>
      </c>
      <c r="D240" s="369">
        <v>650473.56999999995</v>
      </c>
      <c r="E240" s="43" t="str">
        <f t="shared" si="45"/>
        <v>563</v>
      </c>
      <c r="F240" s="41" t="str">
        <f t="shared" si="46"/>
        <v>25</v>
      </c>
      <c r="G240" s="9"/>
      <c r="H240" s="9">
        <f t="shared" si="44"/>
        <v>650473.56999999995</v>
      </c>
      <c r="I240" s="9"/>
      <c r="J240" s="9"/>
      <c r="K240" s="9"/>
      <c r="L240" s="9"/>
      <c r="M240" s="9"/>
    </row>
    <row r="241" spans="1:13" ht="13.8">
      <c r="A241" s="43">
        <f t="shared" si="38"/>
        <v>220</v>
      </c>
      <c r="B241" s="44" t="s">
        <v>991</v>
      </c>
      <c r="C241" s="44" t="s">
        <v>992</v>
      </c>
      <c r="D241" s="369">
        <v>486140.1</v>
      </c>
      <c r="E241" s="43" t="str">
        <f t="shared" si="45"/>
        <v>566</v>
      </c>
      <c r="F241" s="41" t="str">
        <f t="shared" si="46"/>
        <v>25</v>
      </c>
      <c r="G241" s="9"/>
      <c r="H241" s="9">
        <f t="shared" si="44"/>
        <v>486140.1</v>
      </c>
      <c r="I241" s="9"/>
      <c r="J241" s="9"/>
      <c r="K241" s="9"/>
      <c r="L241" s="9"/>
      <c r="M241" s="9"/>
    </row>
    <row r="242" spans="1:13" ht="13.8">
      <c r="A242" s="43">
        <f t="shared" si="38"/>
        <v>221</v>
      </c>
      <c r="B242" s="44" t="s">
        <v>993</v>
      </c>
      <c r="C242" s="44" t="s">
        <v>994</v>
      </c>
      <c r="D242" s="369">
        <v>1506.99</v>
      </c>
      <c r="E242" s="43" t="str">
        <f t="shared" si="45"/>
        <v>566</v>
      </c>
      <c r="F242" s="41" t="str">
        <f t="shared" si="46"/>
        <v>2501</v>
      </c>
      <c r="G242" s="9"/>
      <c r="H242" s="9">
        <f t="shared" si="44"/>
        <v>1506.99</v>
      </c>
      <c r="I242" s="9"/>
      <c r="J242" s="9"/>
      <c r="K242" s="9"/>
      <c r="L242" s="9"/>
      <c r="M242" s="9"/>
    </row>
    <row r="243" spans="1:13" ht="13.8">
      <c r="A243" s="43">
        <f t="shared" si="38"/>
        <v>222</v>
      </c>
      <c r="B243" s="44" t="s">
        <v>995</v>
      </c>
      <c r="C243" s="44" t="s">
        <v>996</v>
      </c>
      <c r="D243" s="369">
        <v>292607.52</v>
      </c>
      <c r="E243" s="43" t="str">
        <f t="shared" si="45"/>
        <v>566</v>
      </c>
      <c r="F243" s="41" t="str">
        <f t="shared" si="46"/>
        <v>2545</v>
      </c>
      <c r="G243" s="9"/>
      <c r="H243" s="9">
        <f t="shared" si="44"/>
        <v>292607.52</v>
      </c>
      <c r="I243" s="9"/>
      <c r="J243" s="9"/>
      <c r="K243" s="9"/>
      <c r="L243" s="9"/>
      <c r="M243" s="9"/>
    </row>
    <row r="244" spans="1:13" ht="13.8">
      <c r="A244" s="43">
        <f t="shared" si="38"/>
        <v>223</v>
      </c>
      <c r="B244" s="44" t="s">
        <v>997</v>
      </c>
      <c r="C244" s="44" t="s">
        <v>998</v>
      </c>
      <c r="D244" s="369">
        <v>32371.22</v>
      </c>
      <c r="E244" s="43" t="str">
        <f t="shared" si="45"/>
        <v>570</v>
      </c>
      <c r="F244" s="41" t="str">
        <f t="shared" si="46"/>
        <v>25</v>
      </c>
      <c r="G244" s="9"/>
      <c r="H244" s="9">
        <f t="shared" si="44"/>
        <v>32371.22</v>
      </c>
      <c r="I244" s="9"/>
      <c r="J244" s="9"/>
      <c r="K244" s="9"/>
      <c r="L244" s="9"/>
      <c r="M244" s="9"/>
    </row>
    <row r="245" spans="1:13" ht="13.8">
      <c r="A245" s="43">
        <f t="shared" si="38"/>
        <v>224</v>
      </c>
      <c r="B245" s="44" t="s">
        <v>999</v>
      </c>
      <c r="C245" s="44" t="s">
        <v>1000</v>
      </c>
      <c r="D245" s="369">
        <v>18158.689999999999</v>
      </c>
      <c r="E245" s="43" t="str">
        <f t="shared" si="45"/>
        <v>571</v>
      </c>
      <c r="F245" s="41" t="str">
        <f t="shared" si="46"/>
        <v>25</v>
      </c>
      <c r="G245" s="9"/>
      <c r="H245" s="9">
        <f t="shared" si="44"/>
        <v>18158.689999999999</v>
      </c>
      <c r="I245" s="9"/>
      <c r="J245" s="9"/>
      <c r="K245" s="9"/>
      <c r="L245" s="9"/>
      <c r="M245" s="9"/>
    </row>
    <row r="246" spans="1:13" ht="13.8">
      <c r="A246" s="43">
        <f t="shared" si="38"/>
        <v>225</v>
      </c>
      <c r="B246" s="44" t="s">
        <v>1001</v>
      </c>
      <c r="C246" s="44" t="s">
        <v>1002</v>
      </c>
      <c r="D246" s="369">
        <v>9583.81</v>
      </c>
      <c r="E246" s="43" t="str">
        <f t="shared" si="45"/>
        <v>571</v>
      </c>
      <c r="F246" s="41" t="str">
        <f t="shared" si="46"/>
        <v>2501</v>
      </c>
      <c r="G246" s="9"/>
      <c r="H246" s="9">
        <f t="shared" si="44"/>
        <v>9583.81</v>
      </c>
      <c r="I246" s="9"/>
      <c r="J246" s="9"/>
      <c r="K246" s="9"/>
      <c r="L246" s="9"/>
      <c r="M246" s="9"/>
    </row>
    <row r="247" spans="1:13" ht="13.8">
      <c r="A247" s="43">
        <f t="shared" si="38"/>
        <v>226</v>
      </c>
      <c r="B247" s="44" t="s">
        <v>1003</v>
      </c>
      <c r="C247" s="44" t="s">
        <v>1004</v>
      </c>
      <c r="D247" s="369">
        <v>114936.86</v>
      </c>
      <c r="E247" s="43" t="str">
        <f t="shared" si="45"/>
        <v>571</v>
      </c>
      <c r="F247" s="41" t="str">
        <f t="shared" si="46"/>
        <v>2502</v>
      </c>
      <c r="G247" s="9"/>
      <c r="H247" s="9">
        <f t="shared" si="44"/>
        <v>114936.86</v>
      </c>
      <c r="I247" s="9"/>
      <c r="J247" s="9"/>
      <c r="K247" s="9"/>
      <c r="L247" s="9"/>
      <c r="M247" s="9"/>
    </row>
    <row r="248" spans="1:13" ht="13.8">
      <c r="A248" s="43">
        <f t="shared" si="38"/>
        <v>227</v>
      </c>
      <c r="B248" s="44" t="s">
        <v>1005</v>
      </c>
      <c r="C248" s="44" t="s">
        <v>1006</v>
      </c>
      <c r="D248" s="369">
        <v>87401.29</v>
      </c>
      <c r="E248" s="43" t="str">
        <f t="shared" si="45"/>
        <v>573</v>
      </c>
      <c r="F248" s="41" t="str">
        <f t="shared" si="46"/>
        <v>25</v>
      </c>
      <c r="G248" s="9"/>
      <c r="H248" s="9">
        <f t="shared" si="44"/>
        <v>87401.29</v>
      </c>
      <c r="I248" s="9"/>
      <c r="J248" s="9"/>
      <c r="K248" s="9"/>
      <c r="L248" s="9"/>
      <c r="M248" s="9"/>
    </row>
    <row r="249" spans="1:13" ht="13.8">
      <c r="A249" s="43">
        <f t="shared" si="38"/>
        <v>228</v>
      </c>
      <c r="B249" s="44" t="s">
        <v>1007</v>
      </c>
      <c r="C249" s="44" t="s">
        <v>1008</v>
      </c>
      <c r="D249" s="369">
        <v>126071.89</v>
      </c>
      <c r="E249" s="43" t="str">
        <f t="shared" si="45"/>
        <v>580</v>
      </c>
      <c r="F249" s="41" t="str">
        <f t="shared" si="46"/>
        <v>25</v>
      </c>
      <c r="G249" s="9"/>
      <c r="H249" s="9"/>
      <c r="I249" s="9">
        <f t="shared" si="44"/>
        <v>126071.89</v>
      </c>
      <c r="J249" s="9"/>
      <c r="K249" s="9"/>
      <c r="L249" s="9"/>
      <c r="M249" s="9"/>
    </row>
    <row r="250" spans="1:13" ht="13.8">
      <c r="A250" s="43">
        <f t="shared" si="38"/>
        <v>229</v>
      </c>
      <c r="B250" s="44" t="s">
        <v>1009</v>
      </c>
      <c r="C250" s="44" t="s">
        <v>1010</v>
      </c>
      <c r="D250" s="369">
        <v>614813.29</v>
      </c>
      <c r="E250" s="43" t="str">
        <f t="shared" si="45"/>
        <v>582</v>
      </c>
      <c r="F250" s="41" t="str">
        <f t="shared" si="46"/>
        <v>25</v>
      </c>
      <c r="G250" s="9"/>
      <c r="H250" s="9"/>
      <c r="I250" s="9">
        <f t="shared" ref="I250:I258" si="47">$D250</f>
        <v>614813.29</v>
      </c>
      <c r="J250" s="9"/>
      <c r="K250" s="9"/>
      <c r="L250" s="9"/>
      <c r="M250" s="9"/>
    </row>
    <row r="251" spans="1:13" ht="13.8">
      <c r="A251" s="43">
        <f t="shared" si="38"/>
        <v>230</v>
      </c>
      <c r="B251" s="44" t="s">
        <v>1011</v>
      </c>
      <c r="C251" s="44" t="s">
        <v>1012</v>
      </c>
      <c r="D251" s="369">
        <v>694.46</v>
      </c>
      <c r="E251" s="43" t="str">
        <f t="shared" si="45"/>
        <v>582</v>
      </c>
      <c r="F251" s="41" t="str">
        <f t="shared" si="46"/>
        <v>2501</v>
      </c>
      <c r="G251" s="9"/>
      <c r="H251" s="9"/>
      <c r="I251" s="9">
        <f t="shared" si="47"/>
        <v>694.46</v>
      </c>
      <c r="J251" s="9"/>
      <c r="K251" s="9"/>
      <c r="L251" s="9"/>
      <c r="M251" s="9"/>
    </row>
    <row r="252" spans="1:13" ht="13.8">
      <c r="A252" s="43">
        <f t="shared" si="38"/>
        <v>231</v>
      </c>
      <c r="B252" s="44" t="s">
        <v>1013</v>
      </c>
      <c r="C252" s="44" t="s">
        <v>1014</v>
      </c>
      <c r="D252" s="369">
        <v>9122.19</v>
      </c>
      <c r="E252" s="43" t="str">
        <f t="shared" si="45"/>
        <v>582</v>
      </c>
      <c r="F252" s="41" t="str">
        <f t="shared" si="46"/>
        <v>2545</v>
      </c>
      <c r="G252" s="9"/>
      <c r="H252" s="9"/>
      <c r="I252" s="9">
        <f t="shared" si="47"/>
        <v>9122.19</v>
      </c>
      <c r="J252" s="9"/>
      <c r="K252" s="9"/>
      <c r="L252" s="9"/>
      <c r="M252" s="9"/>
    </row>
    <row r="253" spans="1:13" ht="13.8">
      <c r="A253" s="43">
        <f t="shared" si="38"/>
        <v>232</v>
      </c>
      <c r="B253" s="44" t="s">
        <v>1015</v>
      </c>
      <c r="C253" s="44" t="s">
        <v>1016</v>
      </c>
      <c r="D253" s="369">
        <v>99506.99</v>
      </c>
      <c r="E253" s="43" t="str">
        <f t="shared" si="45"/>
        <v>586</v>
      </c>
      <c r="F253" s="41" t="str">
        <f t="shared" si="46"/>
        <v>25</v>
      </c>
      <c r="G253" s="9"/>
      <c r="H253" s="9"/>
      <c r="I253" s="9">
        <f t="shared" si="47"/>
        <v>99506.99</v>
      </c>
      <c r="J253" s="9"/>
      <c r="K253" s="9"/>
      <c r="L253" s="9"/>
      <c r="M253" s="9"/>
    </row>
    <row r="254" spans="1:13" ht="13.8">
      <c r="A254" s="43">
        <f t="shared" si="38"/>
        <v>233</v>
      </c>
      <c r="B254" s="44" t="s">
        <v>1017</v>
      </c>
      <c r="C254" s="44" t="s">
        <v>1018</v>
      </c>
      <c r="D254" s="369">
        <v>128928.22</v>
      </c>
      <c r="E254" s="43" t="str">
        <f t="shared" si="45"/>
        <v>588</v>
      </c>
      <c r="F254" s="41" t="str">
        <f t="shared" si="46"/>
        <v>25</v>
      </c>
      <c r="G254" s="9"/>
      <c r="H254" s="9"/>
      <c r="I254" s="9">
        <f t="shared" si="47"/>
        <v>128928.22</v>
      </c>
      <c r="J254" s="9"/>
      <c r="K254" s="9"/>
      <c r="L254" s="9"/>
      <c r="M254" s="9"/>
    </row>
    <row r="255" spans="1:13" ht="13.8">
      <c r="A255" s="43">
        <f t="shared" si="38"/>
        <v>234</v>
      </c>
      <c r="B255" s="44" t="s">
        <v>1019</v>
      </c>
      <c r="C255" s="44" t="s">
        <v>1020</v>
      </c>
      <c r="D255" s="369">
        <v>125912.58</v>
      </c>
      <c r="E255" s="43" t="str">
        <f t="shared" si="45"/>
        <v>592</v>
      </c>
      <c r="F255" s="41" t="str">
        <f t="shared" si="46"/>
        <v>25</v>
      </c>
      <c r="G255" s="9"/>
      <c r="H255" s="9"/>
      <c r="I255" s="9">
        <f t="shared" si="47"/>
        <v>125912.58</v>
      </c>
      <c r="J255" s="9"/>
      <c r="K255" s="9"/>
      <c r="L255" s="9"/>
      <c r="M255" s="9"/>
    </row>
    <row r="256" spans="1:13" ht="13.8">
      <c r="A256" s="43">
        <f t="shared" si="38"/>
        <v>235</v>
      </c>
      <c r="B256" s="44" t="s">
        <v>1021</v>
      </c>
      <c r="C256" s="44" t="s">
        <v>1022</v>
      </c>
      <c r="D256" s="369">
        <v>44549.93</v>
      </c>
      <c r="E256" s="43" t="str">
        <f t="shared" si="45"/>
        <v>592</v>
      </c>
      <c r="F256" s="41" t="str">
        <f t="shared" si="46"/>
        <v>2503</v>
      </c>
      <c r="G256" s="9"/>
      <c r="H256" s="9"/>
      <c r="I256" s="9">
        <f t="shared" si="47"/>
        <v>44549.93</v>
      </c>
      <c r="J256" s="9"/>
      <c r="K256" s="9"/>
      <c r="L256" s="9"/>
      <c r="M256" s="9"/>
    </row>
    <row r="257" spans="1:13" ht="13.8">
      <c r="A257" s="43">
        <f t="shared" si="38"/>
        <v>236</v>
      </c>
      <c r="B257" s="44" t="s">
        <v>1023</v>
      </c>
      <c r="C257" s="44" t="s">
        <v>1024</v>
      </c>
      <c r="D257" s="369">
        <v>54.99</v>
      </c>
      <c r="E257" s="43" t="str">
        <f t="shared" si="45"/>
        <v>597</v>
      </c>
      <c r="F257" s="41" t="str">
        <f t="shared" si="46"/>
        <v>25</v>
      </c>
      <c r="G257" s="9"/>
      <c r="H257" s="9"/>
      <c r="I257" s="9">
        <f t="shared" si="47"/>
        <v>54.99</v>
      </c>
      <c r="J257" s="9"/>
      <c r="K257" s="9"/>
      <c r="L257" s="9"/>
      <c r="M257" s="9"/>
    </row>
    <row r="258" spans="1:13" ht="13.8">
      <c r="A258" s="43">
        <f t="shared" si="38"/>
        <v>237</v>
      </c>
      <c r="B258" s="44" t="s">
        <v>1025</v>
      </c>
      <c r="C258" s="44" t="s">
        <v>1026</v>
      </c>
      <c r="D258" s="369">
        <v>0</v>
      </c>
      <c r="E258" s="43" t="str">
        <f t="shared" si="45"/>
        <v>598</v>
      </c>
      <c r="F258" s="41" t="str">
        <f t="shared" si="46"/>
        <v>25</v>
      </c>
      <c r="G258" s="9"/>
      <c r="H258" s="9"/>
      <c r="I258" s="9">
        <f t="shared" si="47"/>
        <v>0</v>
      </c>
      <c r="J258" s="9"/>
      <c r="K258" s="9"/>
      <c r="L258" s="9"/>
      <c r="M258" s="9"/>
    </row>
    <row r="259" spans="1:13" ht="13.8">
      <c r="A259" s="43">
        <f t="shared" si="38"/>
        <v>238</v>
      </c>
      <c r="B259" s="44" t="s">
        <v>1027</v>
      </c>
      <c r="C259" s="44" t="s">
        <v>1028</v>
      </c>
      <c r="D259" s="369">
        <v>36505.71</v>
      </c>
      <c r="E259" s="43" t="str">
        <f t="shared" si="45"/>
        <v>902</v>
      </c>
      <c r="F259" s="41" t="str">
        <f t="shared" si="46"/>
        <v>25</v>
      </c>
      <c r="G259" s="9"/>
      <c r="H259" s="9"/>
      <c r="I259" s="9"/>
      <c r="J259" s="9">
        <f t="shared" ref="J259:J260" si="48">$D259</f>
        <v>36505.71</v>
      </c>
      <c r="K259" s="9"/>
      <c r="L259" s="9"/>
      <c r="M259" s="9"/>
    </row>
    <row r="260" spans="1:13" ht="13.8">
      <c r="A260" s="43">
        <f t="shared" si="38"/>
        <v>239</v>
      </c>
      <c r="B260" s="44" t="s">
        <v>1029</v>
      </c>
      <c r="C260" s="44" t="s">
        <v>1030</v>
      </c>
      <c r="D260" s="369">
        <v>32681.47</v>
      </c>
      <c r="E260" s="43" t="str">
        <f t="shared" si="45"/>
        <v>903</v>
      </c>
      <c r="F260" s="41" t="str">
        <f t="shared" si="46"/>
        <v>25</v>
      </c>
      <c r="G260" s="9"/>
      <c r="H260" s="9"/>
      <c r="I260" s="9"/>
      <c r="J260" s="9">
        <f t="shared" si="48"/>
        <v>32681.47</v>
      </c>
      <c r="K260" s="9"/>
      <c r="L260" s="9"/>
      <c r="M260" s="9"/>
    </row>
    <row r="261" spans="1:13" ht="13.8">
      <c r="A261" s="43">
        <f t="shared" si="38"/>
        <v>240</v>
      </c>
      <c r="B261" s="44" t="s">
        <v>1031</v>
      </c>
      <c r="C261" s="44" t="s">
        <v>1032</v>
      </c>
      <c r="D261" s="369">
        <v>327097.01</v>
      </c>
      <c r="E261" s="43" t="str">
        <f t="shared" si="45"/>
        <v>912</v>
      </c>
      <c r="F261" s="41" t="str">
        <f t="shared" si="46"/>
        <v>25</v>
      </c>
      <c r="G261" s="9"/>
      <c r="H261" s="9"/>
      <c r="I261" s="9"/>
      <c r="J261" s="9"/>
      <c r="K261" s="9"/>
      <c r="L261" s="9">
        <f t="shared" ref="L261" si="49">$D261</f>
        <v>327097.01</v>
      </c>
      <c r="M261" s="9"/>
    </row>
    <row r="262" spans="1:13" ht="13.8">
      <c r="A262" s="43">
        <f t="shared" si="38"/>
        <v>241</v>
      </c>
      <c r="B262" s="44" t="s">
        <v>1033</v>
      </c>
      <c r="C262" s="44" t="s">
        <v>1034</v>
      </c>
      <c r="D262" s="369">
        <v>1844442.82</v>
      </c>
      <c r="E262" s="43" t="str">
        <f t="shared" si="45"/>
        <v>920</v>
      </c>
      <c r="F262" s="41" t="str">
        <f t="shared" si="46"/>
        <v>25</v>
      </c>
      <c r="G262" s="9"/>
      <c r="H262" s="9"/>
      <c r="I262" s="9"/>
      <c r="J262" s="9"/>
      <c r="K262" s="9"/>
      <c r="L262" s="9"/>
      <c r="M262" s="9">
        <f t="shared" ref="M262:M276" si="50">$D262</f>
        <v>1844442.82</v>
      </c>
    </row>
    <row r="263" spans="1:13" ht="13.8">
      <c r="A263" s="43">
        <f t="shared" si="38"/>
        <v>242</v>
      </c>
      <c r="B263" s="44" t="s">
        <v>1035</v>
      </c>
      <c r="C263" s="44" t="s">
        <v>1036</v>
      </c>
      <c r="D263" s="369">
        <v>86501.96</v>
      </c>
      <c r="E263" s="43" t="str">
        <f t="shared" si="45"/>
        <v>935</v>
      </c>
      <c r="F263" s="41" t="str">
        <f t="shared" si="46"/>
        <v>2503</v>
      </c>
      <c r="G263" s="9"/>
      <c r="H263" s="9"/>
      <c r="I263" s="9"/>
      <c r="J263" s="9"/>
      <c r="K263" s="9"/>
      <c r="L263" s="9"/>
      <c r="M263" s="9">
        <f t="shared" si="50"/>
        <v>86501.96</v>
      </c>
    </row>
    <row r="264" spans="1:13" ht="13.8">
      <c r="A264" s="43">
        <f t="shared" si="38"/>
        <v>243</v>
      </c>
      <c r="B264" s="44" t="s">
        <v>1037</v>
      </c>
      <c r="C264" s="44" t="s">
        <v>1038</v>
      </c>
      <c r="D264" s="369">
        <v>2832.68</v>
      </c>
      <c r="E264" s="43" t="str">
        <f t="shared" si="45"/>
        <v>935</v>
      </c>
      <c r="F264" s="41" t="str">
        <f t="shared" si="46"/>
        <v>2504</v>
      </c>
      <c r="G264" s="9"/>
      <c r="H264" s="9"/>
      <c r="I264" s="9"/>
      <c r="J264" s="9"/>
      <c r="K264" s="9"/>
      <c r="L264" s="9"/>
      <c r="M264" s="9">
        <f t="shared" si="50"/>
        <v>2832.68</v>
      </c>
    </row>
    <row r="265" spans="1:13" ht="13.8">
      <c r="A265" s="43">
        <f t="shared" si="38"/>
        <v>244</v>
      </c>
      <c r="B265" s="44" t="s">
        <v>1039</v>
      </c>
      <c r="C265" s="44" t="s">
        <v>1040</v>
      </c>
      <c r="D265" s="369">
        <v>88.79</v>
      </c>
      <c r="E265" s="43" t="str">
        <f t="shared" si="45"/>
        <v>935</v>
      </c>
      <c r="F265" s="41" t="str">
        <f t="shared" si="46"/>
        <v>2505</v>
      </c>
      <c r="G265" s="9"/>
      <c r="H265" s="9"/>
      <c r="I265" s="9"/>
      <c r="J265" s="9"/>
      <c r="K265" s="9"/>
      <c r="L265" s="9"/>
      <c r="M265" s="9">
        <f t="shared" si="50"/>
        <v>88.79</v>
      </c>
    </row>
    <row r="266" spans="1:13" ht="13.8">
      <c r="A266" s="43">
        <f t="shared" si="38"/>
        <v>245</v>
      </c>
      <c r="B266" s="44" t="s">
        <v>1041</v>
      </c>
      <c r="C266" s="44" t="s">
        <v>1042</v>
      </c>
      <c r="D266" s="369">
        <v>3600.29</v>
      </c>
      <c r="E266" s="43" t="str">
        <f t="shared" si="45"/>
        <v>935</v>
      </c>
      <c r="F266" s="41" t="str">
        <f t="shared" si="46"/>
        <v>2506</v>
      </c>
      <c r="G266" s="9"/>
      <c r="H266" s="9"/>
      <c r="I266" s="9"/>
      <c r="J266" s="9"/>
      <c r="K266" s="9"/>
      <c r="L266" s="9"/>
      <c r="M266" s="9">
        <f t="shared" si="50"/>
        <v>3600.29</v>
      </c>
    </row>
    <row r="267" spans="1:13" ht="13.8">
      <c r="A267" s="43">
        <f t="shared" si="38"/>
        <v>246</v>
      </c>
      <c r="B267" s="44" t="s">
        <v>1043</v>
      </c>
      <c r="C267" s="44" t="s">
        <v>1044</v>
      </c>
      <c r="D267" s="369">
        <v>912.3</v>
      </c>
      <c r="E267" s="43" t="str">
        <f t="shared" si="45"/>
        <v>935</v>
      </c>
      <c r="F267" s="41" t="str">
        <f t="shared" si="46"/>
        <v>2507</v>
      </c>
      <c r="G267" s="9"/>
      <c r="H267" s="9"/>
      <c r="I267" s="9"/>
      <c r="J267" s="9"/>
      <c r="K267" s="9"/>
      <c r="L267" s="9"/>
      <c r="M267" s="9">
        <f t="shared" si="50"/>
        <v>912.3</v>
      </c>
    </row>
    <row r="268" spans="1:13" ht="13.8">
      <c r="A268" s="43">
        <f t="shared" si="38"/>
        <v>247</v>
      </c>
      <c r="B268" s="44" t="s">
        <v>1045</v>
      </c>
      <c r="C268" s="44" t="s">
        <v>1046</v>
      </c>
      <c r="D268" s="369">
        <v>0</v>
      </c>
      <c r="E268" s="43" t="str">
        <f t="shared" si="45"/>
        <v>935</v>
      </c>
      <c r="F268" s="41" t="str">
        <f t="shared" si="46"/>
        <v>2508</v>
      </c>
      <c r="G268" s="9"/>
      <c r="H268" s="9"/>
      <c r="I268" s="9"/>
      <c r="J268" s="9"/>
      <c r="K268" s="9"/>
      <c r="L268" s="9"/>
      <c r="M268" s="9">
        <f t="shared" si="50"/>
        <v>0</v>
      </c>
    </row>
    <row r="269" spans="1:13" ht="13.8">
      <c r="A269" s="43">
        <f t="shared" si="38"/>
        <v>248</v>
      </c>
      <c r="B269" s="44" t="s">
        <v>1047</v>
      </c>
      <c r="C269" s="44" t="s">
        <v>1048</v>
      </c>
      <c r="D269" s="369">
        <v>117.46</v>
      </c>
      <c r="E269" s="43" t="str">
        <f t="shared" si="45"/>
        <v>935</v>
      </c>
      <c r="F269" s="41" t="str">
        <f t="shared" si="46"/>
        <v>2509</v>
      </c>
      <c r="G269" s="9"/>
      <c r="H269" s="9"/>
      <c r="I269" s="9"/>
      <c r="J269" s="9"/>
      <c r="K269" s="9"/>
      <c r="L269" s="9"/>
      <c r="M269" s="9">
        <f t="shared" si="50"/>
        <v>117.46</v>
      </c>
    </row>
    <row r="270" spans="1:13" ht="13.8">
      <c r="A270" s="43">
        <f t="shared" ref="A270:A277" si="51">SUM(A269+1)</f>
        <v>249</v>
      </c>
      <c r="B270" s="44" t="s">
        <v>1049</v>
      </c>
      <c r="C270" s="44" t="s">
        <v>1050</v>
      </c>
      <c r="D270" s="369">
        <v>420.07</v>
      </c>
      <c r="E270" s="43" t="str">
        <f t="shared" si="45"/>
        <v>935</v>
      </c>
      <c r="F270" s="41" t="str">
        <f t="shared" si="46"/>
        <v>2510</v>
      </c>
      <c r="G270" s="9"/>
      <c r="H270" s="9"/>
      <c r="I270" s="9"/>
      <c r="J270" s="9"/>
      <c r="K270" s="9"/>
      <c r="L270" s="9"/>
      <c r="M270" s="9">
        <f t="shared" si="50"/>
        <v>420.07</v>
      </c>
    </row>
    <row r="271" spans="1:13" ht="13.8">
      <c r="A271" s="43">
        <f t="shared" si="51"/>
        <v>250</v>
      </c>
      <c r="B271" s="44" t="s">
        <v>1051</v>
      </c>
      <c r="C271" s="44" t="s">
        <v>1052</v>
      </c>
      <c r="D271" s="369">
        <v>21412.21</v>
      </c>
      <c r="E271" s="43" t="str">
        <f t="shared" si="45"/>
        <v>935</v>
      </c>
      <c r="F271" s="41" t="str">
        <f t="shared" si="46"/>
        <v>2511</v>
      </c>
      <c r="G271" s="9"/>
      <c r="H271" s="9"/>
      <c r="I271" s="9"/>
      <c r="J271" s="9"/>
      <c r="K271" s="9"/>
      <c r="L271" s="9"/>
      <c r="M271" s="9">
        <f t="shared" si="50"/>
        <v>21412.21</v>
      </c>
    </row>
    <row r="272" spans="1:13" ht="13.8">
      <c r="A272" s="43">
        <f t="shared" si="51"/>
        <v>251</v>
      </c>
      <c r="B272" s="44" t="s">
        <v>1053</v>
      </c>
      <c r="C272" s="44" t="s">
        <v>1054</v>
      </c>
      <c r="D272" s="369">
        <v>203.06</v>
      </c>
      <c r="E272" s="43" t="str">
        <f t="shared" si="45"/>
        <v>935</v>
      </c>
      <c r="F272" s="41" t="str">
        <f t="shared" si="46"/>
        <v>2513</v>
      </c>
      <c r="G272" s="9"/>
      <c r="H272" s="9"/>
      <c r="I272" s="9"/>
      <c r="J272" s="9"/>
      <c r="K272" s="9"/>
      <c r="L272" s="9"/>
      <c r="M272" s="9">
        <f t="shared" si="50"/>
        <v>203.06</v>
      </c>
    </row>
    <row r="273" spans="1:15" ht="13.8">
      <c r="A273" s="43">
        <f t="shared" si="51"/>
        <v>252</v>
      </c>
      <c r="B273" s="44" t="s">
        <v>1055</v>
      </c>
      <c r="C273" s="44" t="s">
        <v>1056</v>
      </c>
      <c r="D273" s="369">
        <v>1375.86</v>
      </c>
      <c r="E273" s="43" t="str">
        <f t="shared" si="45"/>
        <v>935</v>
      </c>
      <c r="F273" s="41" t="str">
        <f t="shared" si="46"/>
        <v>2514</v>
      </c>
      <c r="G273" s="9"/>
      <c r="H273" s="9"/>
      <c r="I273" s="9"/>
      <c r="J273" s="9"/>
      <c r="K273" s="9"/>
      <c r="L273" s="9"/>
      <c r="M273" s="9">
        <f t="shared" si="50"/>
        <v>1375.86</v>
      </c>
    </row>
    <row r="274" spans="1:15" ht="13.8">
      <c r="A274" s="43">
        <f t="shared" si="51"/>
        <v>253</v>
      </c>
      <c r="B274" s="44" t="s">
        <v>1057</v>
      </c>
      <c r="C274" s="44" t="s">
        <v>1058</v>
      </c>
      <c r="D274" s="369">
        <v>795.99</v>
      </c>
      <c r="E274" s="43" t="str">
        <f t="shared" si="45"/>
        <v>935</v>
      </c>
      <c r="F274" s="41" t="str">
        <f t="shared" si="46"/>
        <v>2515</v>
      </c>
      <c r="G274" s="9"/>
      <c r="H274" s="9"/>
      <c r="I274" s="9"/>
      <c r="J274" s="9"/>
      <c r="K274" s="9"/>
      <c r="L274" s="9"/>
      <c r="M274" s="9">
        <f t="shared" si="50"/>
        <v>795.99</v>
      </c>
    </row>
    <row r="275" spans="1:15" ht="13.8">
      <c r="A275" s="43">
        <f t="shared" si="51"/>
        <v>254</v>
      </c>
      <c r="B275" s="44" t="s">
        <v>1059</v>
      </c>
      <c r="C275" s="44" t="s">
        <v>1060</v>
      </c>
      <c r="D275" s="369">
        <v>1625.75</v>
      </c>
      <c r="E275" s="43" t="str">
        <f t="shared" si="45"/>
        <v>935</v>
      </c>
      <c r="F275" s="41" t="str">
        <f t="shared" si="46"/>
        <v>2516</v>
      </c>
      <c r="G275" s="9"/>
      <c r="H275" s="9"/>
      <c r="I275" s="9"/>
      <c r="J275" s="9"/>
      <c r="K275" s="9"/>
      <c r="L275" s="9"/>
      <c r="M275" s="9">
        <f t="shared" si="50"/>
        <v>1625.75</v>
      </c>
    </row>
    <row r="276" spans="1:15" ht="13.8">
      <c r="A276" s="43">
        <f t="shared" si="51"/>
        <v>255</v>
      </c>
      <c r="B276" s="44" t="s">
        <v>1536</v>
      </c>
      <c r="C276" s="44" t="s">
        <v>1537</v>
      </c>
      <c r="D276" s="369">
        <v>1055.25</v>
      </c>
      <c r="E276" s="43" t="str">
        <f t="shared" si="45"/>
        <v>935</v>
      </c>
      <c r="F276" s="41" t="str">
        <f t="shared" si="46"/>
        <v>2517</v>
      </c>
      <c r="G276" s="9"/>
      <c r="H276" s="9"/>
      <c r="I276" s="9"/>
      <c r="J276" s="9"/>
      <c r="K276" s="9"/>
      <c r="L276" s="9"/>
      <c r="M276" s="9">
        <f t="shared" si="50"/>
        <v>1055.25</v>
      </c>
    </row>
    <row r="277" spans="1:15" s="110" customFormat="1" ht="13.8">
      <c r="A277" s="43">
        <f t="shared" si="51"/>
        <v>256</v>
      </c>
      <c r="B277" s="114"/>
      <c r="C277" s="115" t="s">
        <v>54</v>
      </c>
      <c r="D277" s="12">
        <f>SUM(D206:D276)</f>
        <v>13976303.250000006</v>
      </c>
      <c r="E277" s="113"/>
      <c r="F277" s="108"/>
      <c r="G277" s="12">
        <f>SUM(G206:G276)</f>
        <v>7265539.6099999994</v>
      </c>
      <c r="H277" s="12">
        <f>SUM(H206:H276)</f>
        <v>2271295.4099999997</v>
      </c>
      <c r="I277" s="12">
        <f>SUM(I206:I276)</f>
        <v>1149654.5399999998</v>
      </c>
      <c r="J277" s="12">
        <f>SUM(J206:J275)</f>
        <v>69187.179999999993</v>
      </c>
      <c r="K277" s="12"/>
      <c r="L277" s="12">
        <f>SUM(L206:L275)</f>
        <v>327097.01</v>
      </c>
      <c r="M277" s="12">
        <f>SUM(M206:M276)</f>
        <v>1965384.4900000002</v>
      </c>
      <c r="O277" s="12">
        <f>SUM(O206:O276)</f>
        <v>928145.01</v>
      </c>
    </row>
    <row r="278" spans="1:15" s="110" customFormat="1" ht="13.8">
      <c r="A278" s="113"/>
      <c r="B278" s="108"/>
      <c r="C278" s="108"/>
      <c r="D278" s="12"/>
      <c r="E278" s="113"/>
      <c r="F278" s="108"/>
      <c r="G278" s="12"/>
      <c r="H278" s="12"/>
      <c r="I278" s="12"/>
      <c r="J278" s="12"/>
      <c r="K278" s="12"/>
      <c r="L278" s="12"/>
      <c r="M278" s="12"/>
      <c r="O278" s="12"/>
    </row>
    <row r="279" spans="1:15" s="110" customFormat="1" ht="13.8">
      <c r="A279" s="113">
        <f>A277+1</f>
        <v>257</v>
      </c>
      <c r="B279" s="108"/>
      <c r="C279" s="118" t="s">
        <v>1061</v>
      </c>
      <c r="D279" s="42">
        <f>D195+D277</f>
        <v>40453911.300000004</v>
      </c>
      <c r="E279" s="113"/>
      <c r="F279" s="108"/>
      <c r="G279" s="42">
        <f>G195+G277</f>
        <v>20960772.340000004</v>
      </c>
      <c r="H279" s="42">
        <f t="shared" ref="H279:M279" si="52">H195+H277</f>
        <v>6571322.540000001</v>
      </c>
      <c r="I279" s="42">
        <f t="shared" si="52"/>
        <v>3327887.51</v>
      </c>
      <c r="J279" s="42">
        <f t="shared" si="52"/>
        <v>197654.01</v>
      </c>
      <c r="K279" s="42">
        <f t="shared" si="52"/>
        <v>0</v>
      </c>
      <c r="L279" s="42">
        <f t="shared" si="52"/>
        <v>945104.06</v>
      </c>
      <c r="M279" s="42">
        <f t="shared" si="52"/>
        <v>5760891.4800000004</v>
      </c>
      <c r="O279" s="42">
        <f t="shared" ref="O279" si="53">O195+O277</f>
        <v>2690279.36</v>
      </c>
    </row>
    <row r="280" spans="1:15" ht="13.8">
      <c r="B280" s="41"/>
      <c r="C280" s="41"/>
      <c r="D280" s="108"/>
      <c r="E280" s="41"/>
      <c r="F280" s="41"/>
      <c r="G280" s="41"/>
      <c r="H280" s="41"/>
      <c r="I280" s="41"/>
      <c r="J280" s="41"/>
      <c r="K280" s="41"/>
      <c r="L280" s="41"/>
      <c r="M280" s="41"/>
    </row>
    <row r="281" spans="1:15" ht="13.8">
      <c r="A281" s="43">
        <f>SUM(A279+1)</f>
        <v>258</v>
      </c>
      <c r="B281" s="41"/>
      <c r="C281" s="45" t="s">
        <v>1062</v>
      </c>
    </row>
    <row r="282" spans="1:15" ht="13.8">
      <c r="A282" s="41">
        <f>A281+1</f>
        <v>259</v>
      </c>
      <c r="B282" s="41" t="s">
        <v>444</v>
      </c>
    </row>
    <row r="283" spans="1:15" ht="13.8">
      <c r="A283" s="41">
        <f t="shared" ref="A283:A287" si="54">A282+1</f>
        <v>260</v>
      </c>
      <c r="B283" s="83" t="s">
        <v>1480</v>
      </c>
    </row>
    <row r="284" spans="1:15" ht="13.8">
      <c r="A284" s="41">
        <f t="shared" si="54"/>
        <v>261</v>
      </c>
      <c r="B284" s="83" t="s">
        <v>1494</v>
      </c>
    </row>
    <row r="285" spans="1:15" ht="13.8">
      <c r="A285" s="41">
        <f t="shared" si="54"/>
        <v>262</v>
      </c>
      <c r="B285" s="83" t="s">
        <v>1495</v>
      </c>
    </row>
    <row r="286" spans="1:15" ht="13.8">
      <c r="A286" s="41">
        <f t="shared" si="54"/>
        <v>263</v>
      </c>
      <c r="B286" s="83" t="s">
        <v>1496</v>
      </c>
    </row>
    <row r="287" spans="1:15" ht="13.8">
      <c r="A287" s="41">
        <f t="shared" si="54"/>
        <v>264</v>
      </c>
      <c r="B287" s="83" t="s">
        <v>1497</v>
      </c>
    </row>
  </sheetData>
  <mergeCells count="3">
    <mergeCell ref="B195:C195"/>
    <mergeCell ref="B198:C198"/>
    <mergeCell ref="B201:C201"/>
  </mergeCells>
  <printOptions horizontalCentered="1"/>
  <pageMargins left="0.7" right="0.7" top="0.75" bottom="0.75" header="0.3" footer="0.3"/>
  <pageSetup scale="60" fitToHeight="0" orientation="landscape" horizontalDpi="1200" verticalDpi="1200" r:id="rId1"/>
  <headerFooter>
    <oddHeader xml:space="preserve">&amp;RPage &amp;P
Worksheet K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29"/>
  <sheetViews>
    <sheetView zoomScaleNormal="100" workbookViewId="0">
      <selection activeCell="E21" sqref="E21"/>
    </sheetView>
  </sheetViews>
  <sheetFormatPr defaultColWidth="8.69921875" defaultRowHeight="13.8"/>
  <cols>
    <col min="1" max="1" width="8.8984375" style="2" customWidth="1"/>
    <col min="2" max="4" width="10" style="2" customWidth="1"/>
    <col min="5" max="5" width="29.3984375" style="2" customWidth="1"/>
    <col min="6" max="11" width="13.59765625" style="2" customWidth="1"/>
    <col min="12" max="12" width="11.3984375" style="2" customWidth="1"/>
    <col min="13" max="13" width="12.09765625" style="2" customWidth="1"/>
    <col min="14" max="16384" width="8.69921875" style="2"/>
  </cols>
  <sheetData>
    <row r="1" spans="1:15">
      <c r="M1" s="82"/>
    </row>
    <row r="2" spans="1:15">
      <c r="O2" s="177" t="s">
        <v>1467</v>
      </c>
    </row>
    <row r="3" spans="1:15" ht="15" customHeight="1">
      <c r="M3" s="82"/>
    </row>
    <row r="4" spans="1:15">
      <c r="A4" s="376" t="str">
        <f>Index!B4</f>
        <v>Western Farmers Electric Cooperative, Inc.</v>
      </c>
      <c r="B4" s="216"/>
      <c r="C4" s="216"/>
      <c r="D4" s="216"/>
      <c r="E4" s="216"/>
      <c r="F4" s="38"/>
      <c r="G4" s="38"/>
      <c r="H4" s="38"/>
      <c r="I4" s="38"/>
      <c r="J4" s="38"/>
      <c r="K4" s="38"/>
      <c r="L4" s="38"/>
      <c r="M4" s="38"/>
    </row>
    <row r="5" spans="1:15" ht="15" customHeight="1">
      <c r="B5" s="217"/>
      <c r="C5" s="217"/>
      <c r="D5" s="217"/>
      <c r="E5" s="218"/>
      <c r="F5" s="38"/>
      <c r="G5" s="38"/>
      <c r="H5" s="38"/>
      <c r="I5" s="38"/>
      <c r="J5" s="38"/>
      <c r="K5" s="38"/>
      <c r="L5" s="38"/>
      <c r="M5" s="38"/>
    </row>
    <row r="6" spans="1:15" ht="15" customHeight="1">
      <c r="A6" s="1" t="s">
        <v>1300</v>
      </c>
      <c r="B6" s="219"/>
      <c r="C6" s="219"/>
      <c r="D6" s="219"/>
      <c r="E6" s="219"/>
      <c r="F6" s="38"/>
      <c r="G6" s="38"/>
      <c r="H6" s="38"/>
      <c r="I6" s="38"/>
      <c r="J6" s="38"/>
      <c r="K6" s="38"/>
      <c r="L6" s="38"/>
      <c r="M6" s="38"/>
    </row>
    <row r="7" spans="1:15">
      <c r="A7" s="376" t="str">
        <f>Index!B6</f>
        <v>Year Ending December 31, 2016</v>
      </c>
      <c r="B7" s="219"/>
      <c r="C7" s="219"/>
      <c r="D7" s="219"/>
      <c r="E7" s="219"/>
      <c r="F7" s="38"/>
      <c r="G7" s="38"/>
      <c r="H7" s="38"/>
      <c r="I7" s="38"/>
      <c r="J7" s="38"/>
      <c r="K7" s="38"/>
      <c r="L7" s="38"/>
      <c r="M7" s="38"/>
    </row>
    <row r="8" spans="1:15">
      <c r="B8" s="219"/>
      <c r="C8" s="219"/>
      <c r="D8" s="219"/>
      <c r="E8" s="219"/>
      <c r="F8" s="38"/>
      <c r="G8" s="38"/>
      <c r="H8" s="38"/>
      <c r="I8" s="38"/>
      <c r="J8" s="38"/>
      <c r="K8" s="38"/>
      <c r="L8" s="38"/>
      <c r="M8" s="38"/>
    </row>
    <row r="9" spans="1:15">
      <c r="A9" s="84" t="s">
        <v>3</v>
      </c>
      <c r="B9" s="84" t="s">
        <v>4</v>
      </c>
      <c r="C9" s="84" t="s">
        <v>5</v>
      </c>
      <c r="D9" s="84" t="s">
        <v>9</v>
      </c>
      <c r="E9" s="84" t="s">
        <v>10</v>
      </c>
      <c r="F9" s="84" t="s">
        <v>11</v>
      </c>
      <c r="G9" s="84" t="s">
        <v>12</v>
      </c>
      <c r="H9" s="84" t="s">
        <v>13</v>
      </c>
      <c r="I9" s="84" t="s">
        <v>14</v>
      </c>
      <c r="J9" s="84" t="s">
        <v>15</v>
      </c>
      <c r="K9" s="84" t="s">
        <v>60</v>
      </c>
      <c r="L9" s="84" t="s">
        <v>422</v>
      </c>
      <c r="M9" s="84" t="s">
        <v>423</v>
      </c>
    </row>
    <row r="10" spans="1:15" ht="27.6">
      <c r="A10" s="200" t="s">
        <v>157</v>
      </c>
      <c r="B10" s="201" t="s">
        <v>446</v>
      </c>
      <c r="C10" s="201"/>
      <c r="D10" s="201"/>
      <c r="E10" s="201" t="s">
        <v>7</v>
      </c>
      <c r="F10" s="201" t="s">
        <v>1063</v>
      </c>
      <c r="G10" s="201" t="s">
        <v>579</v>
      </c>
      <c r="H10" s="200" t="s">
        <v>1064</v>
      </c>
      <c r="I10" s="201" t="s">
        <v>1065</v>
      </c>
      <c r="J10" s="201" t="s">
        <v>1066</v>
      </c>
      <c r="K10" s="201" t="s">
        <v>328</v>
      </c>
      <c r="L10" s="201" t="s">
        <v>207</v>
      </c>
      <c r="M10" s="201" t="s">
        <v>1067</v>
      </c>
    </row>
    <row r="11" spans="1:15">
      <c r="A11" s="4">
        <v>1</v>
      </c>
      <c r="B11" s="2" t="s">
        <v>1068</v>
      </c>
      <c r="C11" s="2" t="s">
        <v>1069</v>
      </c>
      <c r="D11" s="2" t="str">
        <f t="shared" ref="D11:D23" si="0">RIGHT(B11,LEN(B11)-3)</f>
        <v>00</v>
      </c>
      <c r="E11" s="2" t="s">
        <v>1070</v>
      </c>
      <c r="F11" s="507"/>
      <c r="G11" s="46">
        <f t="shared" ref="G11:G23" si="1">F11</f>
        <v>0</v>
      </c>
      <c r="H11" s="46"/>
      <c r="I11" s="9"/>
      <c r="J11" s="9"/>
      <c r="K11" s="9"/>
      <c r="L11" s="9"/>
      <c r="M11" s="9"/>
    </row>
    <row r="12" spans="1:15">
      <c r="A12" s="4">
        <f>+A11+1</f>
        <v>2</v>
      </c>
      <c r="B12" s="2" t="s">
        <v>1071</v>
      </c>
      <c r="C12" s="2" t="str">
        <f t="shared" ref="C12:C23" si="2">LEFT(B12,3)</f>
        <v>403</v>
      </c>
      <c r="D12" s="2" t="str">
        <f t="shared" si="0"/>
        <v>10</v>
      </c>
      <c r="E12" s="2" t="s">
        <v>1072</v>
      </c>
      <c r="F12" s="507">
        <v>8689248.5199999996</v>
      </c>
      <c r="G12" s="46">
        <f t="shared" si="1"/>
        <v>8689248.5199999996</v>
      </c>
      <c r="H12" s="46"/>
      <c r="I12" s="9"/>
      <c r="J12" s="9"/>
      <c r="K12" s="9"/>
      <c r="L12" s="9"/>
      <c r="M12" s="9"/>
    </row>
    <row r="13" spans="1:15">
      <c r="A13" s="4">
        <f t="shared" ref="A13:A24" si="3">+A12+1</f>
        <v>3</v>
      </c>
      <c r="B13" s="2" t="s">
        <v>1073</v>
      </c>
      <c r="C13" s="2" t="str">
        <f t="shared" si="2"/>
        <v>403</v>
      </c>
      <c r="D13" s="2" t="str">
        <f t="shared" si="0"/>
        <v>40</v>
      </c>
      <c r="E13" s="2" t="s">
        <v>1074</v>
      </c>
      <c r="F13" s="507">
        <v>7052980.1600000001</v>
      </c>
      <c r="G13" s="46">
        <f t="shared" si="1"/>
        <v>7052980.1600000001</v>
      </c>
      <c r="H13" s="46"/>
      <c r="I13" s="9"/>
      <c r="J13" s="9"/>
      <c r="K13" s="9"/>
      <c r="L13" s="9"/>
      <c r="M13" s="9"/>
    </row>
    <row r="14" spans="1:15">
      <c r="A14" s="4">
        <f t="shared" si="3"/>
        <v>4</v>
      </c>
      <c r="B14" s="2" t="s">
        <v>1075</v>
      </c>
      <c r="C14" s="2" t="str">
        <f t="shared" si="2"/>
        <v>403</v>
      </c>
      <c r="D14" s="2" t="str">
        <f t="shared" si="0"/>
        <v>45</v>
      </c>
      <c r="E14" s="2" t="s">
        <v>1076</v>
      </c>
      <c r="F14" s="507">
        <v>1584719.89</v>
      </c>
      <c r="G14" s="46">
        <f t="shared" si="1"/>
        <v>1584719.89</v>
      </c>
      <c r="H14" s="46"/>
      <c r="I14" s="9"/>
      <c r="J14" s="9"/>
      <c r="K14" s="9"/>
      <c r="L14" s="9"/>
      <c r="M14" s="9"/>
    </row>
    <row r="15" spans="1:15">
      <c r="A15" s="4">
        <f t="shared" si="3"/>
        <v>5</v>
      </c>
      <c r="B15" s="2" t="s">
        <v>1077</v>
      </c>
      <c r="C15" s="2" t="str">
        <f t="shared" si="2"/>
        <v>403</v>
      </c>
      <c r="D15" s="2" t="str">
        <f t="shared" si="0"/>
        <v>50</v>
      </c>
      <c r="E15" s="2" t="s">
        <v>1078</v>
      </c>
      <c r="F15" s="507">
        <v>10500983.42</v>
      </c>
      <c r="G15" s="46">
        <f t="shared" si="1"/>
        <v>10500983.42</v>
      </c>
      <c r="H15" s="46">
        <f>$F15*H$27/SUM($H$27:$I$27)</f>
        <v>2994228.4700403465</v>
      </c>
      <c r="I15" s="588">
        <f>$F15*I$27/SUM($H$27:$I$27)</f>
        <v>7506754.9499596534</v>
      </c>
      <c r="J15" s="9"/>
      <c r="K15" s="9"/>
      <c r="L15" s="9"/>
      <c r="M15" s="9"/>
    </row>
    <row r="16" spans="1:15">
      <c r="A16" s="4">
        <f t="shared" si="3"/>
        <v>6</v>
      </c>
      <c r="B16" s="2" t="s">
        <v>1079</v>
      </c>
      <c r="C16" s="2" t="str">
        <f t="shared" si="2"/>
        <v>403</v>
      </c>
      <c r="D16" s="2" t="str">
        <f t="shared" si="0"/>
        <v>60</v>
      </c>
      <c r="E16" s="2" t="s">
        <v>1080</v>
      </c>
      <c r="F16" s="507">
        <v>5149023.1100000003</v>
      </c>
      <c r="G16" s="46">
        <f t="shared" si="1"/>
        <v>5149023.1100000003</v>
      </c>
      <c r="H16" s="46"/>
      <c r="I16" s="9"/>
      <c r="J16" s="9">
        <f>F16</f>
        <v>5149023.1100000003</v>
      </c>
      <c r="K16" s="9"/>
      <c r="L16" s="9"/>
      <c r="M16" s="9"/>
    </row>
    <row r="17" spans="1:13">
      <c r="A17" s="4">
        <f t="shared" si="3"/>
        <v>7</v>
      </c>
      <c r="B17" s="2" t="s">
        <v>1081</v>
      </c>
      <c r="C17" s="2" t="str">
        <f t="shared" si="2"/>
        <v>403</v>
      </c>
      <c r="D17" s="2" t="str">
        <f t="shared" si="0"/>
        <v>70</v>
      </c>
      <c r="E17" s="2" t="s">
        <v>1082</v>
      </c>
      <c r="F17" s="507">
        <v>3647370.99</v>
      </c>
      <c r="G17" s="46">
        <f t="shared" si="1"/>
        <v>3647370.99</v>
      </c>
      <c r="H17" s="46"/>
      <c r="I17" s="9"/>
      <c r="J17" s="9"/>
      <c r="K17" s="9">
        <f>F17</f>
        <v>3647370.99</v>
      </c>
      <c r="L17" s="9"/>
      <c r="M17" s="9"/>
    </row>
    <row r="18" spans="1:13">
      <c r="A18" s="4">
        <f t="shared" si="3"/>
        <v>8</v>
      </c>
      <c r="B18" s="2" t="s">
        <v>1083</v>
      </c>
      <c r="C18" s="2" t="str">
        <f t="shared" si="2"/>
        <v>403</v>
      </c>
      <c r="D18" s="2" t="str">
        <f t="shared" si="0"/>
        <v>75</v>
      </c>
      <c r="E18" s="2" t="s">
        <v>1084</v>
      </c>
      <c r="F18" s="507">
        <v>15293.16</v>
      </c>
      <c r="G18" s="46">
        <f t="shared" si="1"/>
        <v>15293.16</v>
      </c>
      <c r="H18" s="46"/>
      <c r="I18" s="9"/>
      <c r="J18" s="9"/>
      <c r="K18" s="9">
        <f>F18</f>
        <v>15293.16</v>
      </c>
      <c r="L18" s="9"/>
      <c r="M18" s="9"/>
    </row>
    <row r="19" spans="1:13">
      <c r="A19" s="4">
        <f t="shared" si="3"/>
        <v>9</v>
      </c>
      <c r="B19" s="2" t="s">
        <v>1085</v>
      </c>
      <c r="C19" s="2" t="str">
        <f t="shared" si="2"/>
        <v>403</v>
      </c>
      <c r="D19" s="2" t="str">
        <f t="shared" si="0"/>
        <v>80</v>
      </c>
      <c r="E19" s="2" t="s">
        <v>1086</v>
      </c>
      <c r="F19" s="507">
        <v>1003001.48</v>
      </c>
      <c r="G19" s="46">
        <f t="shared" si="1"/>
        <v>1003001.48</v>
      </c>
      <c r="H19" s="46"/>
      <c r="I19" s="9"/>
      <c r="J19" s="9"/>
      <c r="K19" s="9"/>
      <c r="L19" s="9"/>
      <c r="M19" s="9"/>
    </row>
    <row r="20" spans="1:13">
      <c r="A20" s="4">
        <f t="shared" si="3"/>
        <v>10</v>
      </c>
      <c r="B20" s="2" t="s">
        <v>1087</v>
      </c>
      <c r="C20" s="2" t="str">
        <f t="shared" si="2"/>
        <v>403</v>
      </c>
      <c r="D20" s="2" t="str">
        <f t="shared" si="0"/>
        <v>90</v>
      </c>
      <c r="E20" s="2" t="s">
        <v>1088</v>
      </c>
      <c r="F20" s="507">
        <v>0</v>
      </c>
      <c r="G20" s="46">
        <f t="shared" si="1"/>
        <v>0</v>
      </c>
      <c r="H20" s="46">
        <f>F20</f>
        <v>0</v>
      </c>
      <c r="I20" s="9"/>
      <c r="J20" s="9"/>
      <c r="K20" s="9"/>
      <c r="L20" s="9"/>
      <c r="M20" s="9"/>
    </row>
    <row r="21" spans="1:13">
      <c r="A21" s="4">
        <f t="shared" si="3"/>
        <v>11</v>
      </c>
      <c r="B21" s="2" t="s">
        <v>1089</v>
      </c>
      <c r="C21" s="2" t="str">
        <f t="shared" si="2"/>
        <v>404</v>
      </c>
      <c r="D21" s="2" t="str">
        <f t="shared" si="0"/>
        <v>00</v>
      </c>
      <c r="E21" s="2" t="s">
        <v>1090</v>
      </c>
      <c r="F21" s="507">
        <v>108659.3</v>
      </c>
      <c r="G21" s="46">
        <f t="shared" si="1"/>
        <v>108659.3</v>
      </c>
      <c r="H21" s="46"/>
      <c r="I21" s="9"/>
      <c r="J21" s="9"/>
      <c r="K21" s="9"/>
      <c r="L21" s="9"/>
      <c r="M21" s="9">
        <f>F21</f>
        <v>108659.3</v>
      </c>
    </row>
    <row r="22" spans="1:13">
      <c r="A22" s="4">
        <f t="shared" si="3"/>
        <v>12</v>
      </c>
      <c r="B22" s="2" t="s">
        <v>1091</v>
      </c>
      <c r="C22" s="2" t="str">
        <f t="shared" si="2"/>
        <v>407</v>
      </c>
      <c r="D22" s="2" t="str">
        <f t="shared" si="0"/>
        <v>30</v>
      </c>
      <c r="E22" s="2" t="s">
        <v>1092</v>
      </c>
      <c r="F22" s="507">
        <v>3034638.24</v>
      </c>
      <c r="G22" s="46">
        <f t="shared" si="1"/>
        <v>3034638.24</v>
      </c>
      <c r="H22" s="46"/>
      <c r="I22" s="9"/>
      <c r="J22" s="9"/>
      <c r="K22" s="9"/>
      <c r="L22" s="9"/>
      <c r="M22" s="9"/>
    </row>
    <row r="23" spans="1:13">
      <c r="A23" s="4">
        <f t="shared" si="3"/>
        <v>13</v>
      </c>
      <c r="B23" s="2" t="s">
        <v>1093</v>
      </c>
      <c r="C23" s="2" t="str">
        <f t="shared" si="2"/>
        <v>407</v>
      </c>
      <c r="D23" s="2" t="str">
        <f t="shared" si="0"/>
        <v>34</v>
      </c>
      <c r="E23" s="2" t="s">
        <v>1094</v>
      </c>
      <c r="F23" s="507">
        <v>0</v>
      </c>
      <c r="G23" s="46">
        <f t="shared" si="1"/>
        <v>0</v>
      </c>
      <c r="H23" s="46"/>
      <c r="I23" s="9"/>
      <c r="J23" s="9"/>
      <c r="K23" s="9"/>
      <c r="L23" s="9"/>
      <c r="M23" s="9"/>
    </row>
    <row r="24" spans="1:13" s="23" customFormat="1">
      <c r="A24" s="86">
        <f t="shared" si="3"/>
        <v>14</v>
      </c>
      <c r="E24" s="38" t="s">
        <v>1095</v>
      </c>
      <c r="F24" s="12">
        <f>SUM(F11:F23)</f>
        <v>40785918.269999996</v>
      </c>
      <c r="G24" s="42">
        <f t="shared" ref="G24:M24" si="4">SUM(G11:G23)</f>
        <v>40785918.269999996</v>
      </c>
      <c r="H24" s="42">
        <f t="shared" si="4"/>
        <v>2994228.4700403465</v>
      </c>
      <c r="I24" s="42">
        <f t="shared" si="4"/>
        <v>7506754.9499596534</v>
      </c>
      <c r="J24" s="42">
        <f t="shared" si="4"/>
        <v>5149023.1100000003</v>
      </c>
      <c r="K24" s="42">
        <f t="shared" si="4"/>
        <v>3662664.1500000004</v>
      </c>
      <c r="L24" s="42">
        <f t="shared" si="4"/>
        <v>0</v>
      </c>
      <c r="M24" s="42">
        <f t="shared" si="4"/>
        <v>108659.3</v>
      </c>
    </row>
    <row r="25" spans="1:13">
      <c r="A25" s="4"/>
      <c r="E25" s="38"/>
      <c r="F25" s="42"/>
      <c r="G25" s="220"/>
      <c r="H25" s="220"/>
      <c r="I25" s="220"/>
      <c r="J25" s="220"/>
      <c r="K25" s="220"/>
      <c r="L25" s="220"/>
      <c r="M25" s="220"/>
    </row>
    <row r="26" spans="1:13">
      <c r="E26" s="38"/>
      <c r="F26" s="42"/>
      <c r="G26" s="220"/>
      <c r="H26" s="220"/>
      <c r="I26" s="220"/>
      <c r="J26" s="220"/>
      <c r="K26" s="220"/>
      <c r="L26" s="220"/>
      <c r="M26" s="220"/>
    </row>
    <row r="27" spans="1:13" s="23" customFormat="1">
      <c r="A27" s="86">
        <f>A24+1</f>
        <v>15</v>
      </c>
      <c r="B27" s="23" t="s">
        <v>1501</v>
      </c>
      <c r="F27" s="42"/>
      <c r="G27" s="220"/>
      <c r="H27" s="523">
        <v>2994228.49</v>
      </c>
      <c r="I27" s="523">
        <v>7506755</v>
      </c>
      <c r="J27" s="220">
        <f>SUM(H27:I27)</f>
        <v>10500983.49</v>
      </c>
      <c r="K27" s="220"/>
      <c r="L27" s="220"/>
      <c r="M27" s="220"/>
    </row>
    <row r="28" spans="1:13">
      <c r="A28" s="4">
        <f>A27+1</f>
        <v>16</v>
      </c>
      <c r="B28" s="2" t="s">
        <v>1306</v>
      </c>
    </row>
    <row r="29" spans="1:13">
      <c r="A29" s="4">
        <f>A28+1</f>
        <v>17</v>
      </c>
      <c r="B29" s="372" t="s">
        <v>1307</v>
      </c>
    </row>
  </sheetData>
  <conditionalFormatting sqref="A1:XFD1048576">
    <cfRule type="containsErrors" dxfId="2" priority="1">
      <formula>ISERROR(A1)</formula>
    </cfRule>
  </conditionalFormatting>
  <printOptions horizontalCentered="1"/>
  <pageMargins left="0.7" right="0.7" top="0.75" bottom="0.75" header="0.3" footer="0.3"/>
  <pageSetup scale="65" fitToHeight="0" orientation="landscape" horizontalDpi="1200" verticalDpi="1200" r:id="rId1"/>
  <headerFooter>
    <oddHeader xml:space="preserve">&amp;RPage &amp;P
Worksheet L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EY67"/>
  <sheetViews>
    <sheetView topLeftCell="A25" zoomScaleNormal="100" workbookViewId="0">
      <selection activeCell="J13" sqref="J13"/>
    </sheetView>
  </sheetViews>
  <sheetFormatPr defaultColWidth="9" defaultRowHeight="14.4"/>
  <cols>
    <col min="1" max="1" width="6.3984375" style="203" customWidth="1"/>
    <col min="2" max="2" width="10.59765625" style="203" customWidth="1"/>
    <col min="3" max="3" width="9.59765625" style="203" customWidth="1"/>
    <col min="4" max="4" width="2.3984375" style="203" customWidth="1"/>
    <col min="5" max="5" width="9.09765625" style="203" customWidth="1"/>
    <col min="6" max="6" width="32.69921875" style="203" bestFit="1" customWidth="1"/>
    <col min="7" max="7" width="15.69921875" style="204" bestFit="1" customWidth="1"/>
    <col min="8" max="8" width="2.5" style="2" customWidth="1"/>
    <col min="9" max="9" width="13.3984375" style="203" customWidth="1"/>
    <col min="10" max="10" width="15.69921875" style="203" bestFit="1" customWidth="1"/>
    <col min="11" max="11" width="2.3984375" style="203" customWidth="1"/>
    <col min="12" max="12" width="10.09765625" style="203" customWidth="1"/>
    <col min="13" max="13" width="11.69921875" style="203" customWidth="1"/>
    <col min="14" max="14" width="15.69921875" style="203" bestFit="1" customWidth="1"/>
    <col min="15" max="15" width="13.5" style="203" customWidth="1"/>
    <col min="16" max="16384" width="9" style="203"/>
  </cols>
  <sheetData>
    <row r="1" spans="1:18">
      <c r="O1" s="177"/>
    </row>
    <row r="2" spans="1:18">
      <c r="Q2" s="177" t="s">
        <v>1468</v>
      </c>
    </row>
    <row r="3" spans="1:18">
      <c r="O3" s="2"/>
      <c r="R3" s="2"/>
    </row>
    <row r="4" spans="1:18" ht="19.8">
      <c r="A4" s="376" t="str">
        <f>Index!B4</f>
        <v>Western Farmers Electric Cooperative, Inc.</v>
      </c>
      <c r="B4" s="2"/>
      <c r="C4" s="2"/>
      <c r="E4" s="205"/>
      <c r="F4" s="205"/>
      <c r="G4" s="23"/>
      <c r="I4" s="2"/>
      <c r="J4" s="2"/>
      <c r="K4" s="2"/>
      <c r="L4" s="2"/>
      <c r="M4" s="2"/>
      <c r="N4" s="2"/>
      <c r="O4" s="2"/>
    </row>
    <row r="5" spans="1:18">
      <c r="B5" s="2"/>
      <c r="C5" s="2"/>
      <c r="E5" s="23"/>
      <c r="F5" s="23"/>
      <c r="G5" s="23"/>
      <c r="I5" s="2"/>
      <c r="J5" s="2"/>
      <c r="K5" s="2"/>
      <c r="L5" s="2"/>
      <c r="M5" s="2"/>
      <c r="N5" s="2"/>
      <c r="O5" s="2"/>
    </row>
    <row r="6" spans="1:18">
      <c r="A6" s="1" t="s">
        <v>1096</v>
      </c>
      <c r="B6" s="2"/>
      <c r="C6" s="2"/>
      <c r="E6" s="23"/>
      <c r="F6" s="23"/>
      <c r="G6" s="23"/>
      <c r="I6" s="2"/>
      <c r="J6" s="2"/>
      <c r="K6" s="2"/>
      <c r="L6" s="2"/>
      <c r="M6" s="2"/>
      <c r="N6" s="2"/>
      <c r="O6" s="2"/>
    </row>
    <row r="7" spans="1:18">
      <c r="A7" s="376" t="str">
        <f>Index!B6</f>
        <v>Year Ending December 31, 2016</v>
      </c>
    </row>
    <row r="8" spans="1:18" ht="18">
      <c r="A8" s="360"/>
      <c r="B8" s="2"/>
      <c r="C8" s="2"/>
      <c r="E8" s="2"/>
      <c r="F8" s="2"/>
      <c r="G8" s="23"/>
      <c r="I8" s="2"/>
      <c r="J8" s="2"/>
      <c r="K8" s="2"/>
      <c r="L8" s="2"/>
      <c r="M8" s="2"/>
      <c r="N8" s="2"/>
      <c r="O8" s="2"/>
    </row>
    <row r="9" spans="1:18">
      <c r="A9" s="84" t="s">
        <v>3</v>
      </c>
      <c r="B9" s="84" t="s">
        <v>4</v>
      </c>
      <c r="C9" s="84" t="s">
        <v>5</v>
      </c>
      <c r="D9" s="84"/>
      <c r="E9" s="84" t="s">
        <v>9</v>
      </c>
      <c r="F9" s="84" t="s">
        <v>10</v>
      </c>
      <c r="G9" s="84" t="s">
        <v>11</v>
      </c>
      <c r="H9" s="84"/>
      <c r="I9" s="84" t="s">
        <v>12</v>
      </c>
      <c r="J9" s="84" t="s">
        <v>13</v>
      </c>
      <c r="K9" s="204"/>
      <c r="L9" s="84" t="s">
        <v>14</v>
      </c>
      <c r="M9" s="84" t="s">
        <v>15</v>
      </c>
      <c r="N9" s="84" t="s">
        <v>60</v>
      </c>
      <c r="O9" s="84" t="s">
        <v>422</v>
      </c>
    </row>
    <row r="10" spans="1:18" ht="50.25" customHeight="1" thickBot="1">
      <c r="A10" s="100" t="s">
        <v>157</v>
      </c>
      <c r="B10" s="100" t="s">
        <v>577</v>
      </c>
      <c r="C10" s="100" t="s">
        <v>578</v>
      </c>
      <c r="D10" s="206"/>
      <c r="E10" s="101" t="s">
        <v>1097</v>
      </c>
      <c r="F10" s="101" t="s">
        <v>1098</v>
      </c>
      <c r="G10" s="100" t="s">
        <v>2442</v>
      </c>
      <c r="H10" s="207"/>
      <c r="I10" s="101" t="s">
        <v>1099</v>
      </c>
      <c r="J10" s="101" t="s">
        <v>1100</v>
      </c>
      <c r="K10" s="101"/>
      <c r="L10" s="101" t="s">
        <v>1101</v>
      </c>
      <c r="M10" s="101" t="s">
        <v>1102</v>
      </c>
      <c r="N10" s="101" t="s">
        <v>1103</v>
      </c>
      <c r="O10" s="101" t="s">
        <v>1104</v>
      </c>
    </row>
    <row r="11" spans="1:18">
      <c r="A11" s="208">
        <v>1</v>
      </c>
      <c r="B11" s="47" t="str">
        <f t="shared" ref="B11:B43" si="0">LEFT(E11,3)</f>
        <v>350</v>
      </c>
      <c r="C11" s="48" t="str">
        <f t="shared" ref="C11:C43" si="1">RIGHT(E11,2)</f>
        <v>00</v>
      </c>
      <c r="E11" s="49" t="s">
        <v>1105</v>
      </c>
      <c r="F11" s="50" t="s">
        <v>1106</v>
      </c>
      <c r="G11" s="515">
        <v>29390257.739999998</v>
      </c>
      <c r="H11" s="9"/>
      <c r="I11" s="209"/>
      <c r="J11" s="209">
        <f>G11</f>
        <v>29390257.739999998</v>
      </c>
      <c r="K11" s="209"/>
      <c r="L11" s="209"/>
      <c r="M11" s="209"/>
      <c r="N11" s="209"/>
      <c r="O11" s="209"/>
    </row>
    <row r="12" spans="1:18">
      <c r="A12" s="208">
        <f>A11+1</f>
        <v>2</v>
      </c>
      <c r="B12" s="47" t="str">
        <f t="shared" si="0"/>
        <v>350</v>
      </c>
      <c r="C12" s="48" t="str">
        <f t="shared" si="1"/>
        <v>01</v>
      </c>
      <c r="E12" s="49" t="s">
        <v>1107</v>
      </c>
      <c r="F12" s="50" t="s">
        <v>1108</v>
      </c>
      <c r="G12" s="515">
        <v>1167762.57</v>
      </c>
      <c r="H12" s="9"/>
      <c r="I12" s="209"/>
      <c r="J12" s="209">
        <f>G12</f>
        <v>1167762.57</v>
      </c>
      <c r="K12" s="209"/>
      <c r="L12" s="209"/>
      <c r="M12" s="209"/>
      <c r="N12" s="209"/>
      <c r="O12" s="209"/>
    </row>
    <row r="13" spans="1:18">
      <c r="A13" s="208">
        <f t="shared" ref="A13:A43" si="2">A12+1</f>
        <v>3</v>
      </c>
      <c r="B13" s="47" t="str">
        <f t="shared" si="0"/>
        <v>350</v>
      </c>
      <c r="C13" s="48" t="str">
        <f t="shared" si="1"/>
        <v>02</v>
      </c>
      <c r="E13" s="49" t="s">
        <v>1109</v>
      </c>
      <c r="F13" s="50" t="s">
        <v>1110</v>
      </c>
      <c r="G13" s="515">
        <v>76739.850000000006</v>
      </c>
      <c r="H13" s="9"/>
      <c r="I13" s="209"/>
      <c r="J13" s="209">
        <f>G13</f>
        <v>76739.850000000006</v>
      </c>
      <c r="K13" s="209"/>
      <c r="L13" s="209"/>
      <c r="M13" s="209"/>
      <c r="N13" s="209"/>
      <c r="O13" s="209"/>
    </row>
    <row r="14" spans="1:18">
      <c r="A14" s="208">
        <f t="shared" si="2"/>
        <v>4</v>
      </c>
      <c r="B14" s="47" t="str">
        <f t="shared" si="0"/>
        <v>350</v>
      </c>
      <c r="C14" s="48" t="str">
        <f t="shared" si="1"/>
        <v>04</v>
      </c>
      <c r="E14" s="49" t="s">
        <v>1111</v>
      </c>
      <c r="F14" s="50" t="s">
        <v>1112</v>
      </c>
      <c r="G14" s="515">
        <v>419261.29</v>
      </c>
      <c r="H14" s="9"/>
      <c r="I14" s="209"/>
      <c r="J14" s="209">
        <f>G14</f>
        <v>419261.29</v>
      </c>
      <c r="K14" s="209"/>
      <c r="L14" s="209"/>
      <c r="M14" s="209"/>
      <c r="N14" s="209"/>
      <c r="O14" s="209"/>
    </row>
    <row r="15" spans="1:18">
      <c r="A15" s="208">
        <f t="shared" si="2"/>
        <v>5</v>
      </c>
      <c r="B15" s="47" t="str">
        <f t="shared" si="0"/>
        <v>350</v>
      </c>
      <c r="C15" s="48" t="str">
        <f t="shared" si="1"/>
        <v>05</v>
      </c>
      <c r="E15" s="49" t="s">
        <v>1113</v>
      </c>
      <c r="F15" s="50" t="s">
        <v>1114</v>
      </c>
      <c r="G15" s="515">
        <v>101.03</v>
      </c>
      <c r="H15" s="9"/>
      <c r="I15" s="209"/>
      <c r="J15" s="209">
        <f>G15</f>
        <v>101.03</v>
      </c>
      <c r="K15" s="209"/>
      <c r="L15" s="209"/>
      <c r="M15" s="209"/>
      <c r="N15" s="209"/>
      <c r="O15" s="209"/>
    </row>
    <row r="16" spans="1:18">
      <c r="A16" s="208">
        <f t="shared" si="2"/>
        <v>6</v>
      </c>
      <c r="B16" s="47" t="str">
        <f t="shared" si="0"/>
        <v>350</v>
      </c>
      <c r="C16" s="48" t="str">
        <f t="shared" si="1"/>
        <v>20</v>
      </c>
      <c r="E16" s="49" t="s">
        <v>1115</v>
      </c>
      <c r="F16" s="50" t="s">
        <v>1116</v>
      </c>
      <c r="G16" s="515">
        <v>7698.5</v>
      </c>
      <c r="H16" s="9"/>
      <c r="I16" s="209"/>
      <c r="J16" s="209">
        <f t="shared" ref="J16:J18" si="3">G16</f>
        <v>7698.5</v>
      </c>
      <c r="K16" s="209"/>
      <c r="L16" s="209"/>
      <c r="M16" s="209"/>
      <c r="N16" s="209"/>
      <c r="O16" s="209"/>
    </row>
    <row r="17" spans="1:15">
      <c r="A17" s="208">
        <f t="shared" si="2"/>
        <v>7</v>
      </c>
      <c r="B17" s="47" t="str">
        <f t="shared" si="0"/>
        <v>350</v>
      </c>
      <c r="C17" s="48" t="str">
        <f t="shared" si="1"/>
        <v>30</v>
      </c>
      <c r="E17" s="49" t="s">
        <v>1117</v>
      </c>
      <c r="F17" s="50" t="s">
        <v>1118</v>
      </c>
      <c r="G17" s="515">
        <v>0</v>
      </c>
      <c r="H17" s="9"/>
      <c r="I17" s="209"/>
      <c r="J17" s="209">
        <f t="shared" si="3"/>
        <v>0</v>
      </c>
      <c r="K17" s="209"/>
      <c r="L17" s="209"/>
      <c r="M17" s="209"/>
      <c r="N17" s="209"/>
      <c r="O17" s="209"/>
    </row>
    <row r="18" spans="1:15">
      <c r="A18" s="208">
        <f t="shared" si="2"/>
        <v>8</v>
      </c>
      <c r="B18" s="47" t="str">
        <f t="shared" si="0"/>
        <v>350</v>
      </c>
      <c r="C18" s="48" t="str">
        <f t="shared" si="1"/>
        <v>45</v>
      </c>
      <c r="E18" s="49" t="s">
        <v>1119</v>
      </c>
      <c r="F18" s="50" t="s">
        <v>1120</v>
      </c>
      <c r="G18" s="515">
        <v>38400</v>
      </c>
      <c r="H18" s="9"/>
      <c r="I18" s="209">
        <f>G18</f>
        <v>38400</v>
      </c>
      <c r="J18" s="209">
        <f t="shared" si="3"/>
        <v>38400</v>
      </c>
      <c r="K18" s="209"/>
      <c r="L18" s="209"/>
      <c r="M18" s="209"/>
      <c r="N18" s="209"/>
      <c r="O18" s="209"/>
    </row>
    <row r="19" spans="1:15">
      <c r="A19" s="208">
        <f t="shared" si="2"/>
        <v>9</v>
      </c>
      <c r="B19" s="47" t="str">
        <f t="shared" si="0"/>
        <v>352</v>
      </c>
      <c r="C19" s="48" t="str">
        <f t="shared" si="1"/>
        <v>04</v>
      </c>
      <c r="E19" s="49" t="s">
        <v>1121</v>
      </c>
      <c r="F19" s="50" t="s">
        <v>1122</v>
      </c>
      <c r="G19" s="515">
        <v>3405.11</v>
      </c>
      <c r="H19" s="9"/>
      <c r="I19" s="209"/>
      <c r="J19" s="209">
        <f>G19</f>
        <v>3405.11</v>
      </c>
      <c r="K19" s="209"/>
      <c r="L19" s="209"/>
      <c r="M19" s="209"/>
      <c r="N19" s="209"/>
      <c r="O19" s="209"/>
    </row>
    <row r="20" spans="1:15">
      <c r="A20" s="210">
        <f t="shared" si="2"/>
        <v>10</v>
      </c>
      <c r="B20" s="47" t="str">
        <f t="shared" si="0"/>
        <v>353</v>
      </c>
      <c r="C20" s="48" t="str">
        <f t="shared" si="1"/>
        <v>00</v>
      </c>
      <c r="E20" s="49" t="s">
        <v>1123</v>
      </c>
      <c r="F20" s="50" t="s">
        <v>1124</v>
      </c>
      <c r="G20" s="515">
        <v>81409254.760000005</v>
      </c>
      <c r="H20" s="9"/>
      <c r="I20" s="209"/>
      <c r="J20" s="209">
        <f t="shared" ref="J20:J23" si="4">G20</f>
        <v>81409254.760000005</v>
      </c>
      <c r="K20" s="209"/>
      <c r="L20" s="209"/>
      <c r="M20" s="209"/>
      <c r="N20" s="209"/>
      <c r="O20" s="209"/>
    </row>
    <row r="21" spans="1:15">
      <c r="A21" s="103">
        <f t="shared" si="2"/>
        <v>11</v>
      </c>
      <c r="B21" s="47" t="str">
        <f t="shared" si="0"/>
        <v>353</v>
      </c>
      <c r="C21" s="48" t="str">
        <f t="shared" si="1"/>
        <v>02</v>
      </c>
      <c r="E21" s="49" t="s">
        <v>1125</v>
      </c>
      <c r="F21" s="50" t="s">
        <v>1126</v>
      </c>
      <c r="G21" s="515">
        <v>1233930.57</v>
      </c>
      <c r="H21" s="9"/>
      <c r="I21" s="209"/>
      <c r="J21" s="209">
        <f t="shared" si="4"/>
        <v>1233930.57</v>
      </c>
      <c r="K21" s="209"/>
      <c r="L21" s="209"/>
      <c r="M21" s="209"/>
      <c r="N21" s="209"/>
      <c r="O21" s="209"/>
    </row>
    <row r="22" spans="1:15">
      <c r="A22" s="208">
        <f t="shared" si="2"/>
        <v>12</v>
      </c>
      <c r="B22" s="47" t="str">
        <f t="shared" si="0"/>
        <v>353</v>
      </c>
      <c r="C22" s="48" t="str">
        <f t="shared" si="1"/>
        <v>10</v>
      </c>
      <c r="E22" s="49" t="s">
        <v>1127</v>
      </c>
      <c r="F22" s="50" t="s">
        <v>1128</v>
      </c>
      <c r="G22" s="515">
        <v>1505221.05</v>
      </c>
      <c r="H22" s="9"/>
      <c r="I22" s="209"/>
      <c r="J22" s="209">
        <f t="shared" si="4"/>
        <v>1505221.05</v>
      </c>
      <c r="K22" s="209"/>
      <c r="L22" s="209"/>
      <c r="M22" s="209"/>
      <c r="N22" s="209"/>
      <c r="O22" s="209"/>
    </row>
    <row r="23" spans="1:15">
      <c r="A23" s="208">
        <f t="shared" si="2"/>
        <v>13</v>
      </c>
      <c r="B23" s="47" t="str">
        <f t="shared" si="0"/>
        <v>353</v>
      </c>
      <c r="C23" s="48" t="str">
        <f t="shared" si="1"/>
        <v>12</v>
      </c>
      <c r="E23" s="50" t="s">
        <v>1129</v>
      </c>
      <c r="F23" s="50" t="s">
        <v>1130</v>
      </c>
      <c r="G23" s="515">
        <v>912893.15</v>
      </c>
      <c r="H23" s="9"/>
      <c r="I23" s="209">
        <f>G23</f>
        <v>912893.15</v>
      </c>
      <c r="J23" s="209">
        <f t="shared" si="4"/>
        <v>912893.15</v>
      </c>
      <c r="K23" s="209"/>
      <c r="L23" s="209"/>
      <c r="M23" s="209"/>
      <c r="N23" s="209"/>
      <c r="O23" s="209"/>
    </row>
    <row r="24" spans="1:15">
      <c r="A24" s="208">
        <f t="shared" si="2"/>
        <v>14</v>
      </c>
      <c r="B24" s="47" t="str">
        <f t="shared" si="0"/>
        <v>353</v>
      </c>
      <c r="C24" s="48" t="str">
        <f t="shared" si="1"/>
        <v>30</v>
      </c>
      <c r="E24" s="50" t="s">
        <v>1131</v>
      </c>
      <c r="F24" s="50" t="s">
        <v>1132</v>
      </c>
      <c r="G24" s="515">
        <v>6992192.2199999997</v>
      </c>
      <c r="H24" s="9"/>
      <c r="I24" s="209"/>
      <c r="J24" s="209">
        <f t="shared" ref="J24:J25" si="5">G24</f>
        <v>6992192.2199999997</v>
      </c>
      <c r="K24" s="209"/>
      <c r="L24" s="209"/>
      <c r="M24" s="209"/>
      <c r="N24" s="209"/>
      <c r="O24" s="209"/>
    </row>
    <row r="25" spans="1:15">
      <c r="A25" s="208">
        <f t="shared" si="2"/>
        <v>15</v>
      </c>
      <c r="B25" s="47" t="str">
        <f t="shared" si="0"/>
        <v>353</v>
      </c>
      <c r="C25" s="48" t="str">
        <f t="shared" si="1"/>
        <v>32</v>
      </c>
      <c r="E25" s="49" t="s">
        <v>1133</v>
      </c>
      <c r="F25" s="50" t="s">
        <v>1134</v>
      </c>
      <c r="G25" s="515">
        <v>1070291.1000000001</v>
      </c>
      <c r="H25" s="9"/>
      <c r="I25" s="209">
        <f>G25</f>
        <v>1070291.1000000001</v>
      </c>
      <c r="J25" s="209">
        <f t="shared" si="5"/>
        <v>1070291.1000000001</v>
      </c>
      <c r="K25" s="209"/>
      <c r="L25" s="209"/>
      <c r="M25" s="209"/>
      <c r="N25" s="209"/>
      <c r="O25" s="209"/>
    </row>
    <row r="26" spans="1:15">
      <c r="A26" s="208">
        <f t="shared" si="2"/>
        <v>16</v>
      </c>
      <c r="B26" s="47" t="str">
        <f t="shared" si="0"/>
        <v>353</v>
      </c>
      <c r="C26" s="48" t="str">
        <f t="shared" si="1"/>
        <v>35</v>
      </c>
      <c r="E26" s="49" t="s">
        <v>1135</v>
      </c>
      <c r="F26" s="50" t="s">
        <v>1136</v>
      </c>
      <c r="G26" s="515">
        <v>5751734.4000000004</v>
      </c>
      <c r="H26" s="9"/>
      <c r="I26" s="209"/>
      <c r="J26" s="209">
        <f t="shared" ref="J26:J27" si="6">G26</f>
        <v>5751734.4000000004</v>
      </c>
      <c r="K26" s="209"/>
      <c r="L26" s="209"/>
      <c r="M26" s="209"/>
      <c r="N26" s="209"/>
      <c r="O26" s="209"/>
    </row>
    <row r="27" spans="1:15">
      <c r="A27" s="208">
        <f t="shared" si="2"/>
        <v>17</v>
      </c>
      <c r="B27" s="47" t="str">
        <f t="shared" si="0"/>
        <v>353</v>
      </c>
      <c r="C27" s="48" t="str">
        <f t="shared" si="1"/>
        <v>37</v>
      </c>
      <c r="E27" s="49" t="s">
        <v>1137</v>
      </c>
      <c r="F27" s="50" t="s">
        <v>1138</v>
      </c>
      <c r="G27" s="515">
        <v>2028590.38</v>
      </c>
      <c r="H27" s="9"/>
      <c r="I27" s="209">
        <f>G27</f>
        <v>2028590.38</v>
      </c>
      <c r="J27" s="209">
        <f t="shared" si="6"/>
        <v>2028590.38</v>
      </c>
      <c r="K27" s="209"/>
      <c r="L27" s="209"/>
      <c r="M27" s="209"/>
      <c r="N27" s="209"/>
      <c r="O27" s="209"/>
    </row>
    <row r="28" spans="1:15">
      <c r="A28" s="208">
        <f t="shared" si="2"/>
        <v>18</v>
      </c>
      <c r="B28" s="47" t="str">
        <f t="shared" si="0"/>
        <v>353</v>
      </c>
      <c r="C28" s="48" t="str">
        <f t="shared" si="1"/>
        <v>48</v>
      </c>
      <c r="E28" s="49" t="s">
        <v>1139</v>
      </c>
      <c r="F28" s="50" t="s">
        <v>1140</v>
      </c>
      <c r="G28" s="515">
        <v>1286342.8799999999</v>
      </c>
      <c r="H28" s="9"/>
      <c r="I28" s="209"/>
      <c r="J28" s="209">
        <f t="shared" ref="J28:J43" si="7">G28</f>
        <v>1286342.8799999999</v>
      </c>
      <c r="K28" s="209"/>
      <c r="L28" s="209"/>
      <c r="M28" s="209"/>
      <c r="N28" s="209"/>
      <c r="O28" s="209"/>
    </row>
    <row r="29" spans="1:15">
      <c r="A29" s="208">
        <f t="shared" si="2"/>
        <v>19</v>
      </c>
      <c r="B29" s="47" t="str">
        <f t="shared" si="0"/>
        <v>353</v>
      </c>
      <c r="C29" s="48" t="str">
        <f t="shared" si="1"/>
        <v>49</v>
      </c>
      <c r="E29" s="49" t="s">
        <v>1141</v>
      </c>
      <c r="F29" s="50" t="s">
        <v>1142</v>
      </c>
      <c r="G29" s="515">
        <v>4764332.5</v>
      </c>
      <c r="H29" s="9"/>
      <c r="I29" s="209"/>
      <c r="J29" s="209">
        <f t="shared" si="7"/>
        <v>4764332.5</v>
      </c>
      <c r="K29" s="209"/>
      <c r="L29" s="209"/>
      <c r="M29" s="209"/>
      <c r="N29" s="209"/>
      <c r="O29" s="209"/>
    </row>
    <row r="30" spans="1:15">
      <c r="A30" s="208">
        <f t="shared" si="2"/>
        <v>20</v>
      </c>
      <c r="B30" s="47" t="str">
        <f t="shared" si="0"/>
        <v>353</v>
      </c>
      <c r="C30" s="48" t="str">
        <f t="shared" si="1"/>
        <v>4G</v>
      </c>
      <c r="E30" s="49" t="s">
        <v>1143</v>
      </c>
      <c r="F30" s="50" t="s">
        <v>1144</v>
      </c>
      <c r="G30" s="515">
        <v>6176830.4800000004</v>
      </c>
      <c r="H30" s="9"/>
      <c r="I30" s="209">
        <f>G30</f>
        <v>6176830.4800000004</v>
      </c>
      <c r="J30" s="209">
        <f t="shared" si="7"/>
        <v>6176830.4800000004</v>
      </c>
      <c r="K30" s="209"/>
      <c r="L30" s="209"/>
      <c r="M30" s="209"/>
      <c r="N30" s="209"/>
      <c r="O30" s="209"/>
    </row>
    <row r="31" spans="1:15" s="204" customFormat="1">
      <c r="A31" s="211">
        <f t="shared" si="2"/>
        <v>21</v>
      </c>
      <c r="B31" s="92" t="str">
        <f t="shared" si="0"/>
        <v>353</v>
      </c>
      <c r="C31" s="93" t="str">
        <f t="shared" si="1"/>
        <v>4R</v>
      </c>
      <c r="E31" s="94" t="s">
        <v>1145</v>
      </c>
      <c r="F31" s="95" t="s">
        <v>1146</v>
      </c>
      <c r="G31" s="515">
        <v>-448768.66</v>
      </c>
      <c r="H31" s="12"/>
      <c r="I31" s="82"/>
      <c r="J31" s="82">
        <f t="shared" si="7"/>
        <v>-448768.66</v>
      </c>
      <c r="K31" s="82"/>
      <c r="L31" s="82"/>
      <c r="M31" s="82"/>
      <c r="N31" s="82"/>
      <c r="O31" s="82"/>
    </row>
    <row r="32" spans="1:15" s="204" customFormat="1">
      <c r="A32" s="211">
        <f t="shared" si="2"/>
        <v>22</v>
      </c>
      <c r="B32" s="92" t="str">
        <f t="shared" si="0"/>
        <v>354</v>
      </c>
      <c r="C32" s="93" t="str">
        <f t="shared" si="1"/>
        <v>00</v>
      </c>
      <c r="E32" s="94" t="s">
        <v>1147</v>
      </c>
      <c r="F32" s="95" t="s">
        <v>1148</v>
      </c>
      <c r="G32" s="515">
        <v>325380.86</v>
      </c>
      <c r="H32" s="12"/>
      <c r="I32" s="82"/>
      <c r="J32" s="82">
        <f t="shared" si="7"/>
        <v>325380.86</v>
      </c>
      <c r="K32" s="82"/>
      <c r="L32" s="82"/>
      <c r="M32" s="82"/>
      <c r="N32" s="82"/>
      <c r="O32" s="82">
        <f>G32</f>
        <v>325380.86</v>
      </c>
    </row>
    <row r="33" spans="1:15">
      <c r="A33" s="208">
        <f t="shared" si="2"/>
        <v>23</v>
      </c>
      <c r="B33" s="47" t="str">
        <f t="shared" si="0"/>
        <v>354</v>
      </c>
      <c r="C33" s="48" t="str">
        <f t="shared" si="1"/>
        <v>10</v>
      </c>
      <c r="E33" s="49" t="s">
        <v>1149</v>
      </c>
      <c r="F33" s="50" t="s">
        <v>1150</v>
      </c>
      <c r="G33" s="515">
        <v>157149.70000000001</v>
      </c>
      <c r="H33" s="9"/>
      <c r="I33" s="209"/>
      <c r="J33" s="209">
        <f t="shared" si="7"/>
        <v>157149.70000000001</v>
      </c>
      <c r="K33" s="209"/>
      <c r="L33" s="209"/>
      <c r="M33" s="209"/>
      <c r="N33" s="209"/>
      <c r="O33" s="209">
        <f>G33</f>
        <v>157149.70000000001</v>
      </c>
    </row>
    <row r="34" spans="1:15">
      <c r="A34" s="208">
        <f t="shared" si="2"/>
        <v>24</v>
      </c>
      <c r="B34" s="47" t="str">
        <f t="shared" si="0"/>
        <v>354</v>
      </c>
      <c r="C34" s="48" t="str">
        <f t="shared" si="1"/>
        <v>49</v>
      </c>
      <c r="E34" s="49" t="s">
        <v>1151</v>
      </c>
      <c r="F34" s="50" t="s">
        <v>1152</v>
      </c>
      <c r="G34" s="515">
        <v>711231.29</v>
      </c>
      <c r="H34" s="9"/>
      <c r="I34" s="209"/>
      <c r="J34" s="209">
        <f t="shared" si="7"/>
        <v>711231.29</v>
      </c>
      <c r="K34" s="209"/>
      <c r="L34" s="209">
        <f>G34</f>
        <v>711231.29</v>
      </c>
      <c r="M34" s="209"/>
      <c r="N34" s="209"/>
      <c r="O34" s="209"/>
    </row>
    <row r="35" spans="1:15">
      <c r="A35" s="208">
        <f t="shared" si="2"/>
        <v>25</v>
      </c>
      <c r="B35" s="47" t="str">
        <f t="shared" si="0"/>
        <v>355</v>
      </c>
      <c r="C35" s="48" t="str">
        <f t="shared" si="1"/>
        <v>00</v>
      </c>
      <c r="E35" s="49" t="s">
        <v>1153</v>
      </c>
      <c r="F35" s="50" t="s">
        <v>1154</v>
      </c>
      <c r="G35" s="515">
        <v>20011860</v>
      </c>
      <c r="H35" s="9"/>
      <c r="I35" s="209"/>
      <c r="J35" s="209">
        <f t="shared" si="7"/>
        <v>20011860</v>
      </c>
      <c r="K35" s="209"/>
      <c r="L35" s="209"/>
      <c r="M35" s="209"/>
      <c r="N35" s="209"/>
      <c r="O35" s="209">
        <f>G35</f>
        <v>20011860</v>
      </c>
    </row>
    <row r="36" spans="1:15">
      <c r="A36" s="208">
        <f t="shared" si="2"/>
        <v>26</v>
      </c>
      <c r="B36" s="47" t="str">
        <f t="shared" si="0"/>
        <v>355</v>
      </c>
      <c r="C36" s="48" t="str">
        <f t="shared" si="1"/>
        <v>30</v>
      </c>
      <c r="E36" s="49" t="s">
        <v>1155</v>
      </c>
      <c r="F36" s="50" t="s">
        <v>1156</v>
      </c>
      <c r="G36" s="515">
        <v>147227932.09999999</v>
      </c>
      <c r="H36" s="9"/>
      <c r="I36" s="209"/>
      <c r="J36" s="209">
        <f t="shared" si="7"/>
        <v>147227932.09999999</v>
      </c>
      <c r="K36" s="209"/>
      <c r="L36" s="209"/>
      <c r="M36" s="209"/>
      <c r="N36" s="209">
        <f>G36</f>
        <v>147227932.09999999</v>
      </c>
      <c r="O36" s="209"/>
    </row>
    <row r="37" spans="1:15">
      <c r="A37" s="208">
        <f t="shared" si="2"/>
        <v>27</v>
      </c>
      <c r="B37" s="47" t="str">
        <f t="shared" si="0"/>
        <v>355</v>
      </c>
      <c r="C37" s="48" t="str">
        <f t="shared" si="1"/>
        <v>45</v>
      </c>
      <c r="E37" s="49" t="s">
        <v>1157</v>
      </c>
      <c r="F37" s="50" t="s">
        <v>1158</v>
      </c>
      <c r="G37" s="515">
        <v>1018207.53</v>
      </c>
      <c r="H37" s="12"/>
      <c r="I37" s="209"/>
      <c r="J37" s="209">
        <f t="shared" si="7"/>
        <v>1018207.53</v>
      </c>
      <c r="K37" s="209"/>
      <c r="L37" s="209"/>
      <c r="M37" s="209">
        <f>G37</f>
        <v>1018207.53</v>
      </c>
      <c r="N37" s="209"/>
      <c r="O37" s="209"/>
    </row>
    <row r="38" spans="1:15">
      <c r="A38" s="208">
        <f t="shared" si="2"/>
        <v>28</v>
      </c>
      <c r="B38" s="47" t="str">
        <f t="shared" si="0"/>
        <v>356</v>
      </c>
      <c r="C38" s="48" t="str">
        <f t="shared" si="1"/>
        <v>00</v>
      </c>
      <c r="E38" s="49" t="s">
        <v>1159</v>
      </c>
      <c r="F38" s="50" t="s">
        <v>1160</v>
      </c>
      <c r="G38" s="515">
        <v>12208292.01</v>
      </c>
      <c r="H38" s="12"/>
      <c r="I38" s="209"/>
      <c r="J38" s="209">
        <f t="shared" si="7"/>
        <v>12208292.01</v>
      </c>
      <c r="K38" s="209"/>
      <c r="L38" s="209"/>
      <c r="M38" s="209"/>
      <c r="N38" s="209"/>
      <c r="O38" s="209">
        <f>G38</f>
        <v>12208292.01</v>
      </c>
    </row>
    <row r="39" spans="1:15">
      <c r="A39" s="208">
        <f t="shared" si="2"/>
        <v>29</v>
      </c>
      <c r="B39" s="47" t="str">
        <f t="shared" si="0"/>
        <v>356</v>
      </c>
      <c r="C39" s="48" t="str">
        <f t="shared" si="1"/>
        <v>30</v>
      </c>
      <c r="E39" s="49" t="s">
        <v>1161</v>
      </c>
      <c r="F39" s="50" t="s">
        <v>1162</v>
      </c>
      <c r="G39" s="515">
        <v>110284670.58</v>
      </c>
      <c r="H39" s="12"/>
      <c r="I39" s="209"/>
      <c r="J39" s="209">
        <f t="shared" si="7"/>
        <v>110284670.58</v>
      </c>
      <c r="K39" s="209"/>
      <c r="L39" s="209"/>
      <c r="M39" s="209"/>
      <c r="N39" s="209">
        <f>G39</f>
        <v>110284670.58</v>
      </c>
      <c r="O39" s="209"/>
    </row>
    <row r="40" spans="1:15">
      <c r="A40" s="208">
        <f t="shared" si="2"/>
        <v>30</v>
      </c>
      <c r="B40" s="47" t="str">
        <f t="shared" si="0"/>
        <v>356</v>
      </c>
      <c r="C40" s="48" t="str">
        <f t="shared" si="1"/>
        <v>49</v>
      </c>
      <c r="E40" s="49" t="s">
        <v>1163</v>
      </c>
      <c r="F40" s="50" t="s">
        <v>1164</v>
      </c>
      <c r="G40" s="515">
        <v>94762.6</v>
      </c>
      <c r="H40" s="12"/>
      <c r="I40" s="209"/>
      <c r="J40" s="209">
        <f t="shared" si="7"/>
        <v>94762.6</v>
      </c>
      <c r="K40" s="209"/>
      <c r="L40" s="209">
        <f>G40</f>
        <v>94762.6</v>
      </c>
      <c r="M40" s="209"/>
      <c r="N40" s="209"/>
      <c r="O40" s="209"/>
    </row>
    <row r="41" spans="1:15">
      <c r="A41" s="208">
        <f t="shared" si="2"/>
        <v>31</v>
      </c>
      <c r="B41" s="47" t="str">
        <f t="shared" si="0"/>
        <v>359</v>
      </c>
      <c r="C41" s="48" t="str">
        <f t="shared" si="1"/>
        <v>00</v>
      </c>
      <c r="E41" s="49" t="s">
        <v>1165</v>
      </c>
      <c r="F41" s="50" t="s">
        <v>1166</v>
      </c>
      <c r="G41" s="515">
        <v>509561.73</v>
      </c>
      <c r="H41" s="12"/>
      <c r="I41" s="209"/>
      <c r="J41" s="209">
        <f t="shared" si="7"/>
        <v>509561.73</v>
      </c>
      <c r="K41" s="209"/>
      <c r="L41" s="209"/>
      <c r="M41" s="209"/>
      <c r="N41" s="209"/>
      <c r="O41" s="209">
        <f>G41</f>
        <v>509561.73</v>
      </c>
    </row>
    <row r="42" spans="1:15">
      <c r="A42" s="208">
        <f t="shared" si="2"/>
        <v>32</v>
      </c>
      <c r="B42" s="47" t="str">
        <f t="shared" si="0"/>
        <v>359</v>
      </c>
      <c r="C42" s="48" t="str">
        <f t="shared" si="1"/>
        <v>20</v>
      </c>
      <c r="E42" s="49" t="s">
        <v>1167</v>
      </c>
      <c r="F42" s="50" t="s">
        <v>1168</v>
      </c>
      <c r="G42" s="515">
        <v>1764685.72</v>
      </c>
      <c r="H42" s="12"/>
      <c r="I42" s="209"/>
      <c r="J42" s="209">
        <f t="shared" si="7"/>
        <v>1764685.72</v>
      </c>
      <c r="K42" s="209"/>
      <c r="L42" s="209"/>
      <c r="M42" s="209"/>
      <c r="N42" s="209">
        <f>G42</f>
        <v>1764685.72</v>
      </c>
      <c r="O42" s="209"/>
    </row>
    <row r="43" spans="1:15">
      <c r="A43" s="208">
        <f t="shared" si="2"/>
        <v>33</v>
      </c>
      <c r="B43" s="47" t="str">
        <f t="shared" si="0"/>
        <v>359</v>
      </c>
      <c r="C43" s="48" t="str">
        <f t="shared" si="1"/>
        <v>24</v>
      </c>
      <c r="E43" s="208" t="s">
        <v>1169</v>
      </c>
      <c r="F43" s="208" t="s">
        <v>1170</v>
      </c>
      <c r="G43" s="515">
        <v>15147.46</v>
      </c>
      <c r="H43" s="12"/>
      <c r="I43" s="209"/>
      <c r="J43" s="209">
        <f t="shared" si="7"/>
        <v>15147.46</v>
      </c>
      <c r="K43" s="209"/>
      <c r="L43" s="209"/>
      <c r="M43" s="209"/>
      <c r="N43" s="209"/>
      <c r="O43" s="209">
        <f>G43</f>
        <v>15147.46</v>
      </c>
    </row>
    <row r="44" spans="1:15">
      <c r="A44" s="208"/>
      <c r="B44" s="212"/>
      <c r="C44" s="212"/>
      <c r="E44" s="208"/>
      <c r="F44" s="208"/>
      <c r="G44" s="82"/>
      <c r="H44" s="9"/>
      <c r="I44" s="209"/>
      <c r="J44" s="209"/>
      <c r="K44" s="209"/>
      <c r="L44" s="209"/>
      <c r="M44" s="209"/>
      <c r="N44" s="209"/>
      <c r="O44" s="209"/>
    </row>
    <row r="45" spans="1:15">
      <c r="A45" s="208">
        <f>A43+1</f>
        <v>34</v>
      </c>
      <c r="B45" s="212"/>
      <c r="C45" s="212"/>
      <c r="E45" s="208"/>
      <c r="F45" s="50" t="s">
        <v>54</v>
      </c>
      <c r="G45" s="82">
        <f>SUM(G11:G44)</f>
        <v>438115352.5</v>
      </c>
      <c r="H45" s="9"/>
      <c r="I45" s="209">
        <f t="shared" ref="I45:J45" si="8">SUM(I11:I44)</f>
        <v>10227005.109999999</v>
      </c>
      <c r="J45" s="209">
        <f t="shared" si="8"/>
        <v>438115352.5</v>
      </c>
      <c r="K45" s="209"/>
      <c r="L45" s="209">
        <f t="shared" ref="L45:O45" si="9">SUM(L11:L44)</f>
        <v>805993.89</v>
      </c>
      <c r="M45" s="209">
        <f t="shared" si="9"/>
        <v>1018207.53</v>
      </c>
      <c r="N45" s="209">
        <f t="shared" si="9"/>
        <v>259277288.40000001</v>
      </c>
      <c r="O45" s="209">
        <f t="shared" si="9"/>
        <v>33227391.760000002</v>
      </c>
    </row>
    <row r="46" spans="1:15">
      <c r="B46" s="208"/>
      <c r="C46" s="208"/>
      <c r="E46" s="208"/>
      <c r="F46" s="208"/>
      <c r="G46" s="211"/>
      <c r="I46" s="208"/>
      <c r="J46" s="208"/>
      <c r="K46" s="208"/>
      <c r="L46" s="208"/>
    </row>
    <row r="47" spans="1:15">
      <c r="A47" s="208">
        <f>A45+1</f>
        <v>35</v>
      </c>
      <c r="B47" s="208" t="s">
        <v>1171</v>
      </c>
      <c r="C47" s="208"/>
      <c r="D47" s="208"/>
      <c r="E47" s="208"/>
      <c r="F47" s="208"/>
      <c r="G47" s="211"/>
      <c r="I47" s="208"/>
      <c r="J47" s="208"/>
      <c r="K47" s="208"/>
      <c r="L47" s="208"/>
      <c r="M47" s="208"/>
      <c r="N47" s="208"/>
      <c r="O47" s="208"/>
    </row>
    <row r="48" spans="1:15">
      <c r="A48" s="208">
        <f t="shared" ref="A48:A55" si="10">A47+1</f>
        <v>36</v>
      </c>
      <c r="B48" s="208">
        <v>350</v>
      </c>
      <c r="C48" s="208"/>
      <c r="D48" s="208"/>
      <c r="E48" s="208"/>
      <c r="F48" s="208" t="s">
        <v>1172</v>
      </c>
      <c r="G48" s="388">
        <f>SUMIF($B$11:$B$44,$B48,$G$11:$G$44)</f>
        <v>31100220.98</v>
      </c>
      <c r="I48" s="208"/>
      <c r="J48" s="208"/>
      <c r="K48" s="208"/>
      <c r="L48" s="208"/>
      <c r="M48" s="208"/>
      <c r="N48" s="208"/>
      <c r="O48" s="208"/>
    </row>
    <row r="49" spans="1:15 16379:16379">
      <c r="A49" s="208">
        <f t="shared" si="10"/>
        <v>37</v>
      </c>
      <c r="B49" s="208">
        <v>352</v>
      </c>
      <c r="C49" s="208"/>
      <c r="D49" s="208"/>
      <c r="E49" s="208"/>
      <c r="F49" s="208" t="s">
        <v>1173</v>
      </c>
      <c r="G49" s="388">
        <f>SUMIF($B$11:$B$44,$B49,$G$11:$G$44)</f>
        <v>3405.11</v>
      </c>
      <c r="I49" s="208"/>
      <c r="J49" s="208"/>
      <c r="K49" s="208"/>
      <c r="L49" s="208"/>
      <c r="M49" s="208"/>
      <c r="N49" s="208"/>
      <c r="O49" s="208"/>
    </row>
    <row r="50" spans="1:15 16379:16379">
      <c r="A50" s="208">
        <f t="shared" si="10"/>
        <v>38</v>
      </c>
      <c r="B50" s="208">
        <v>353</v>
      </c>
      <c r="C50" s="208"/>
      <c r="D50" s="208"/>
      <c r="E50" s="208"/>
      <c r="F50" s="208" t="s">
        <v>75</v>
      </c>
      <c r="G50" s="388">
        <f>SUMIF($B$11:$B$44,$B50,$G$11:$G$44)</f>
        <v>112682844.83</v>
      </c>
      <c r="I50" s="208"/>
      <c r="J50" s="208"/>
      <c r="K50" s="208"/>
      <c r="L50" s="208"/>
      <c r="M50" s="208"/>
      <c r="N50" s="208"/>
      <c r="O50" s="208"/>
    </row>
    <row r="51" spans="1:15 16379:16379">
      <c r="A51" s="208">
        <f t="shared" si="10"/>
        <v>39</v>
      </c>
      <c r="B51" s="208"/>
      <c r="C51" s="208"/>
      <c r="D51" s="208"/>
      <c r="E51" s="208"/>
      <c r="F51" s="208" t="s">
        <v>1174</v>
      </c>
      <c r="G51" s="213">
        <f>SUM(G48:G50)</f>
        <v>143786470.91999999</v>
      </c>
      <c r="I51" s="208"/>
      <c r="J51" s="208"/>
      <c r="K51" s="208"/>
      <c r="L51" s="208"/>
      <c r="M51" s="208"/>
      <c r="N51" s="208"/>
      <c r="O51" s="208"/>
    </row>
    <row r="52" spans="1:15 16379:16379">
      <c r="A52" s="208"/>
      <c r="B52" s="208"/>
      <c r="C52" s="208"/>
      <c r="D52" s="208"/>
      <c r="E52" s="208"/>
      <c r="F52" s="208"/>
      <c r="G52" s="12"/>
      <c r="I52" s="208"/>
      <c r="J52" s="208"/>
      <c r="K52" s="208"/>
      <c r="L52" s="208"/>
      <c r="M52" s="208"/>
      <c r="N52" s="208"/>
      <c r="O52" s="208"/>
    </row>
    <row r="53" spans="1:15 16379:16379">
      <c r="A53" s="208">
        <f>A51+1</f>
        <v>40</v>
      </c>
      <c r="B53" s="208">
        <v>354</v>
      </c>
      <c r="C53" s="208"/>
      <c r="D53" s="208"/>
      <c r="E53" s="208"/>
      <c r="F53" s="208" t="s">
        <v>1175</v>
      </c>
      <c r="G53" s="388">
        <f>SUMIF($B$11:$B$44,$B53,$G$11:$G$44)</f>
        <v>1193761.8500000001</v>
      </c>
      <c r="I53" s="208"/>
      <c r="J53" s="208"/>
      <c r="K53" s="208"/>
      <c r="L53" s="208"/>
      <c r="M53" s="208"/>
      <c r="N53" s="208"/>
      <c r="O53" s="208"/>
    </row>
    <row r="54" spans="1:15 16379:16379">
      <c r="A54" s="208">
        <f t="shared" si="10"/>
        <v>41</v>
      </c>
      <c r="B54" s="208">
        <v>355</v>
      </c>
      <c r="C54" s="208"/>
      <c r="D54" s="208"/>
      <c r="E54" s="208"/>
      <c r="F54" s="208" t="s">
        <v>1176</v>
      </c>
      <c r="G54" s="388">
        <f>SUMIF($B$11:$B$44,$B54,$G$11:$G$44)</f>
        <v>168257999.63</v>
      </c>
      <c r="I54" s="208"/>
      <c r="J54" s="208"/>
      <c r="K54" s="208"/>
      <c r="L54" s="208"/>
      <c r="M54" s="208"/>
      <c r="N54" s="208"/>
      <c r="O54" s="208"/>
    </row>
    <row r="55" spans="1:15 16379:16379">
      <c r="A55" s="208">
        <f t="shared" si="10"/>
        <v>42</v>
      </c>
      <c r="B55" s="208">
        <v>356</v>
      </c>
      <c r="C55" s="208"/>
      <c r="D55" s="208"/>
      <c r="E55" s="208"/>
      <c r="F55" s="208" t="s">
        <v>1298</v>
      </c>
      <c r="G55" s="388">
        <f>SUMIF($B$11:$B$44,$B55,$G$11:$G$44)</f>
        <v>122587725.19</v>
      </c>
      <c r="I55" s="208"/>
      <c r="J55" s="208"/>
      <c r="K55" s="208"/>
      <c r="L55" s="208"/>
      <c r="M55" s="208"/>
      <c r="N55" s="208"/>
      <c r="O55" s="208"/>
    </row>
    <row r="56" spans="1:15 16379:16379">
      <c r="A56" s="208">
        <f>A57+1</f>
        <v>44</v>
      </c>
      <c r="B56" s="208">
        <v>359</v>
      </c>
      <c r="C56" s="208"/>
      <c r="D56" s="208"/>
      <c r="E56" s="208"/>
      <c r="F56" s="208" t="s">
        <v>1177</v>
      </c>
      <c r="G56" s="388">
        <f>SUMIF($B$11:$B$44,$B56,$G$11:$G$44)</f>
        <v>2289394.91</v>
      </c>
      <c r="I56" s="208"/>
      <c r="J56" s="208"/>
      <c r="K56" s="208"/>
      <c r="L56" s="208"/>
      <c r="M56" s="208"/>
      <c r="N56" s="208"/>
      <c r="O56" s="208"/>
      <c r="XEY56" s="203">
        <f>SUM(A56:XEX56)</f>
        <v>2289797.91</v>
      </c>
    </row>
    <row r="57" spans="1:15 16379:16379">
      <c r="A57" s="208">
        <f>A55+1</f>
        <v>43</v>
      </c>
      <c r="B57" s="208"/>
      <c r="C57" s="208"/>
      <c r="D57" s="208"/>
      <c r="E57" s="208"/>
      <c r="F57" s="208" t="s">
        <v>1178</v>
      </c>
      <c r="G57" s="213">
        <f>SUM(G53:G56)</f>
        <v>294328881.57999998</v>
      </c>
      <c r="I57" s="208"/>
      <c r="J57" s="208"/>
      <c r="K57" s="208"/>
      <c r="L57" s="208"/>
      <c r="M57" s="208"/>
      <c r="N57" s="208"/>
      <c r="O57" s="208"/>
    </row>
    <row r="58" spans="1:15 16379:16379">
      <c r="A58" s="208"/>
      <c r="B58" s="208"/>
      <c r="C58" s="208"/>
      <c r="D58" s="208"/>
      <c r="E58" s="208"/>
      <c r="F58" s="208"/>
      <c r="G58" s="12"/>
      <c r="I58" s="208"/>
      <c r="J58" s="208"/>
      <c r="K58" s="208"/>
      <c r="L58" s="208"/>
      <c r="M58" s="208"/>
      <c r="N58" s="208"/>
      <c r="O58" s="208"/>
    </row>
    <row r="59" spans="1:15 16379:16379" s="204" customFormat="1">
      <c r="A59" s="211">
        <f>A56+1</f>
        <v>45</v>
      </c>
      <c r="B59" s="211"/>
      <c r="F59" s="211" t="s">
        <v>1179</v>
      </c>
      <c r="G59" s="12">
        <f>G51+G57</f>
        <v>438115352.5</v>
      </c>
      <c r="H59" s="23"/>
      <c r="I59" s="214">
        <f>ROUND(I45/$G$51,5)</f>
        <v>7.1129999999999999E-2</v>
      </c>
      <c r="J59" s="214">
        <f>1-I59</f>
        <v>0.92886999999999997</v>
      </c>
      <c r="K59" s="215"/>
      <c r="L59" s="214">
        <f>ROUND(L45/$G$57,5)</f>
        <v>2.7399999999999998E-3</v>
      </c>
      <c r="M59" s="214">
        <f>ROUND(M45/$G$57,5)</f>
        <v>3.46E-3</v>
      </c>
      <c r="N59" s="214">
        <f>ROUND(N45/$G$57,5)</f>
        <v>0.88090999999999997</v>
      </c>
      <c r="O59" s="214">
        <f>1-SUM(L59:N59)</f>
        <v>0.11289000000000005</v>
      </c>
      <c r="XEY59" s="204">
        <f>SUM(A59:XEX59)</f>
        <v>438115399.5</v>
      </c>
    </row>
    <row r="60" spans="1:15 16379:16379">
      <c r="A60" s="208"/>
      <c r="B60" s="208"/>
    </row>
    <row r="61" spans="1:15 16379:16379">
      <c r="A61" s="208">
        <f>A59+1</f>
        <v>46</v>
      </c>
      <c r="B61" s="208" t="s">
        <v>1180</v>
      </c>
    </row>
    <row r="62" spans="1:15 16379:16379">
      <c r="A62" s="208">
        <f>A61+1</f>
        <v>47</v>
      </c>
      <c r="B62" s="208" t="s">
        <v>1306</v>
      </c>
    </row>
    <row r="63" spans="1:15 16379:16379">
      <c r="A63" s="208">
        <f t="shared" ref="A63:A67" si="11">A62+1</f>
        <v>48</v>
      </c>
      <c r="B63" s="83" t="s">
        <v>1480</v>
      </c>
    </row>
    <row r="64" spans="1:15 16379:16379">
      <c r="A64" s="208">
        <f t="shared" si="11"/>
        <v>49</v>
      </c>
      <c r="B64" s="83" t="s">
        <v>1494</v>
      </c>
    </row>
    <row r="65" spans="1:2">
      <c r="A65" s="208">
        <f t="shared" si="11"/>
        <v>50</v>
      </c>
      <c r="B65" s="83" t="s">
        <v>1495</v>
      </c>
    </row>
    <row r="66" spans="1:2">
      <c r="A66" s="208">
        <f t="shared" si="11"/>
        <v>51</v>
      </c>
      <c r="B66" s="83" t="s">
        <v>1496</v>
      </c>
    </row>
    <row r="67" spans="1:2">
      <c r="A67" s="208">
        <f t="shared" si="11"/>
        <v>52</v>
      </c>
      <c r="B67" s="83" t="s">
        <v>1497</v>
      </c>
    </row>
  </sheetData>
  <conditionalFormatting sqref="A1:XFD1048576">
    <cfRule type="containsErrors" dxfId="1" priority="1">
      <formula>ISERROR(A1)</formula>
    </cfRule>
  </conditionalFormatting>
  <printOptions horizontalCentered="1"/>
  <pageMargins left="0.7" right="0.7" top="0.75" bottom="0.75" header="0.3" footer="0.3"/>
  <pageSetup scale="46" fitToHeight="0" orientation="landscape" horizontalDpi="1200" verticalDpi="1200" r:id="rId1"/>
  <headerFooter>
    <oddHeader xml:space="preserve">&amp;RPage &amp;P
Worksheet  M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77"/>
  <sheetViews>
    <sheetView topLeftCell="A46" zoomScaleNormal="100" workbookViewId="0">
      <selection activeCell="D63" sqref="D63"/>
    </sheetView>
  </sheetViews>
  <sheetFormatPr defaultColWidth="8" defaultRowHeight="15"/>
  <cols>
    <col min="1" max="1" width="6.19921875" style="54" customWidth="1"/>
    <col min="2" max="2" width="10.59765625" style="184" bestFit="1" customWidth="1"/>
    <col min="3" max="3" width="43.69921875" style="184" customWidth="1"/>
    <col min="4" max="4" width="20.69921875" style="189" customWidth="1"/>
    <col min="5" max="5" width="2.59765625" style="189" customWidth="1"/>
    <col min="6" max="6" width="22.69921875" style="184" customWidth="1"/>
    <col min="7" max="7" width="8" style="184"/>
    <col min="8" max="8" width="11.5" style="184" bestFit="1" customWidth="1"/>
    <col min="9" max="16384" width="8" style="184"/>
  </cols>
  <sheetData>
    <row r="1" spans="1:10">
      <c r="A1" s="52"/>
      <c r="B1" s="52"/>
      <c r="C1" s="52"/>
      <c r="D1" s="53"/>
      <c r="E1" s="53"/>
      <c r="F1" s="152"/>
    </row>
    <row r="2" spans="1:10">
      <c r="A2" s="52"/>
      <c r="B2" s="52"/>
      <c r="C2" s="52"/>
      <c r="D2" s="53"/>
      <c r="E2" s="53"/>
      <c r="G2" s="52"/>
      <c r="H2" s="177" t="s">
        <v>1469</v>
      </c>
      <c r="J2" s="52"/>
    </row>
    <row r="3" spans="1:10">
      <c r="A3" s="52"/>
      <c r="B3" s="52"/>
      <c r="C3" s="22"/>
      <c r="D3" s="153"/>
      <c r="E3" s="153"/>
      <c r="F3" s="52"/>
      <c r="G3" s="52"/>
      <c r="H3" s="52"/>
      <c r="I3" s="52"/>
      <c r="J3" s="52"/>
    </row>
    <row r="4" spans="1:10">
      <c r="A4" s="376" t="str">
        <f>Index!B4</f>
        <v>Western Farmers Electric Cooperative, Inc.</v>
      </c>
      <c r="B4" s="52"/>
      <c r="C4" s="154"/>
      <c r="D4" s="155"/>
      <c r="E4" s="155"/>
      <c r="F4" s="52"/>
      <c r="G4" s="52"/>
      <c r="H4" s="52"/>
      <c r="I4" s="52"/>
      <c r="J4" s="52"/>
    </row>
    <row r="5" spans="1:10">
      <c r="A5" s="1"/>
      <c r="B5" s="52"/>
      <c r="C5" s="156"/>
      <c r="D5" s="157"/>
      <c r="E5" s="157"/>
      <c r="F5" s="52"/>
      <c r="G5" s="52"/>
      <c r="H5" s="52"/>
      <c r="I5" s="52"/>
      <c r="J5" s="52"/>
    </row>
    <row r="6" spans="1:10">
      <c r="A6" s="116" t="s">
        <v>1181</v>
      </c>
      <c r="B6" s="52"/>
      <c r="C6" s="198"/>
      <c r="D6" s="199"/>
      <c r="E6" s="199"/>
      <c r="F6" s="52"/>
      <c r="G6" s="52"/>
      <c r="H6" s="52"/>
      <c r="I6" s="52"/>
      <c r="J6" s="52"/>
    </row>
    <row r="7" spans="1:10">
      <c r="A7" s="376" t="str">
        <f>Index!B6</f>
        <v>Year Ending December 31, 2016</v>
      </c>
      <c r="B7" s="52"/>
      <c r="C7" s="52"/>
      <c r="D7" s="53"/>
      <c r="E7" s="53"/>
      <c r="F7" s="52"/>
      <c r="G7" s="52"/>
      <c r="H7" s="52"/>
      <c r="I7" s="52"/>
      <c r="J7" s="52"/>
    </row>
    <row r="8" spans="1:10">
      <c r="A8" s="1"/>
      <c r="B8" s="52"/>
      <c r="C8" s="52"/>
      <c r="D8" s="53"/>
      <c r="E8" s="53"/>
      <c r="F8" s="52"/>
      <c r="G8" s="52"/>
      <c r="H8" s="52"/>
      <c r="I8" s="52"/>
      <c r="J8" s="52"/>
    </row>
    <row r="9" spans="1:10">
      <c r="A9" s="84" t="s">
        <v>3</v>
      </c>
      <c r="B9" s="84" t="s">
        <v>4</v>
      </c>
      <c r="C9" s="84" t="s">
        <v>5</v>
      </c>
      <c r="D9" s="84" t="s">
        <v>9</v>
      </c>
      <c r="E9" s="84"/>
      <c r="F9" s="84" t="s">
        <v>10</v>
      </c>
      <c r="G9" s="52"/>
      <c r="H9" s="52"/>
      <c r="I9" s="52"/>
      <c r="J9" s="52"/>
    </row>
    <row r="10" spans="1:10" ht="27.6">
      <c r="A10" s="200" t="s">
        <v>16</v>
      </c>
      <c r="B10" s="201" t="s">
        <v>1182</v>
      </c>
      <c r="C10" s="201" t="s">
        <v>1183</v>
      </c>
      <c r="D10" s="201" t="s">
        <v>17</v>
      </c>
      <c r="E10" s="201"/>
      <c r="F10" s="201" t="s">
        <v>1240</v>
      </c>
      <c r="G10" s="52"/>
      <c r="H10" s="52"/>
      <c r="I10" s="52"/>
      <c r="J10" s="52"/>
    </row>
    <row r="11" spans="1:10">
      <c r="A11" s="51">
        <v>1</v>
      </c>
      <c r="B11" s="2" t="s">
        <v>1346</v>
      </c>
      <c r="C11" s="2" t="s">
        <v>1341</v>
      </c>
      <c r="D11" s="53"/>
      <c r="E11" s="53"/>
      <c r="F11" s="507">
        <v>0</v>
      </c>
      <c r="G11" s="52"/>
      <c r="H11" s="52"/>
      <c r="I11" s="52"/>
      <c r="J11" s="52"/>
    </row>
    <row r="12" spans="1:10">
      <c r="A12" s="51">
        <f>SUM(A11+1)</f>
        <v>2</v>
      </c>
      <c r="B12" s="2" t="s">
        <v>1347</v>
      </c>
      <c r="C12" s="2" t="s">
        <v>1342</v>
      </c>
      <c r="D12" s="53"/>
      <c r="E12" s="53"/>
      <c r="F12" s="507">
        <v>0</v>
      </c>
      <c r="G12" s="52"/>
      <c r="H12" s="52"/>
      <c r="I12" s="52"/>
      <c r="J12" s="52"/>
    </row>
    <row r="13" spans="1:10">
      <c r="A13" s="51">
        <f t="shared" ref="A13:A51" si="0">SUM(A12+1)</f>
        <v>3</v>
      </c>
      <c r="B13" s="2" t="s">
        <v>1348</v>
      </c>
      <c r="C13" s="2" t="s">
        <v>1343</v>
      </c>
      <c r="D13" s="53"/>
      <c r="E13" s="53"/>
      <c r="F13" s="507">
        <v>0</v>
      </c>
      <c r="G13" s="52"/>
      <c r="H13" s="52"/>
      <c r="I13" s="52"/>
      <c r="J13" s="52"/>
    </row>
    <row r="14" spans="1:10">
      <c r="A14" s="51">
        <f t="shared" si="0"/>
        <v>4</v>
      </c>
      <c r="B14" s="2" t="s">
        <v>1349</v>
      </c>
      <c r="C14" s="2" t="s">
        <v>1344</v>
      </c>
      <c r="D14" s="53"/>
      <c r="E14" s="53"/>
      <c r="F14" s="507">
        <v>0</v>
      </c>
      <c r="G14" s="52"/>
      <c r="H14" s="52"/>
      <c r="I14" s="52"/>
      <c r="J14" s="52"/>
    </row>
    <row r="15" spans="1:10" ht="16.2" customHeight="1">
      <c r="A15" s="51">
        <f t="shared" si="0"/>
        <v>5</v>
      </c>
      <c r="B15" s="2" t="s">
        <v>1350</v>
      </c>
      <c r="C15" s="2" t="s">
        <v>1345</v>
      </c>
      <c r="D15" s="53"/>
      <c r="E15" s="53"/>
      <c r="F15" s="507">
        <v>0</v>
      </c>
      <c r="G15" s="52"/>
      <c r="H15" s="52"/>
      <c r="I15" s="52"/>
      <c r="J15" s="52"/>
    </row>
    <row r="16" spans="1:10">
      <c r="A16" s="51">
        <f t="shared" si="0"/>
        <v>6</v>
      </c>
      <c r="B16" s="589">
        <v>41180</v>
      </c>
      <c r="C16" s="2" t="s">
        <v>1538</v>
      </c>
      <c r="D16" s="53"/>
      <c r="E16" s="53"/>
      <c r="F16" s="507">
        <v>-13.86</v>
      </c>
      <c r="G16" s="52"/>
      <c r="H16" s="52"/>
      <c r="I16" s="52"/>
      <c r="J16" s="52"/>
    </row>
    <row r="17" spans="1:10">
      <c r="A17" s="51">
        <f t="shared" si="0"/>
        <v>7</v>
      </c>
      <c r="B17" s="2" t="s">
        <v>1184</v>
      </c>
      <c r="C17" s="2" t="s">
        <v>1185</v>
      </c>
      <c r="D17" s="82"/>
      <c r="E17" s="12"/>
      <c r="F17" s="507">
        <v>0</v>
      </c>
      <c r="G17" s="52"/>
      <c r="H17" s="52"/>
      <c r="I17" s="52"/>
      <c r="J17" s="52"/>
    </row>
    <row r="18" spans="1:10">
      <c r="A18" s="51">
        <f t="shared" si="0"/>
        <v>8</v>
      </c>
      <c r="B18" s="2" t="s">
        <v>1186</v>
      </c>
      <c r="C18" s="2" t="s">
        <v>1187</v>
      </c>
      <c r="D18" s="82"/>
      <c r="E18" s="12"/>
      <c r="F18" s="507">
        <v>-97587.81</v>
      </c>
      <c r="G18" s="52"/>
      <c r="H18" s="52"/>
      <c r="I18" s="52"/>
      <c r="J18" s="52"/>
    </row>
    <row r="19" spans="1:10">
      <c r="A19" s="51">
        <f t="shared" si="0"/>
        <v>9</v>
      </c>
      <c r="B19" s="2" t="s">
        <v>1188</v>
      </c>
      <c r="C19" s="2" t="s">
        <v>1189</v>
      </c>
      <c r="D19" s="82"/>
      <c r="E19" s="12"/>
      <c r="F19" s="507">
        <v>0</v>
      </c>
      <c r="G19" s="52"/>
      <c r="H19" s="52"/>
      <c r="I19" s="52"/>
      <c r="J19" s="52"/>
    </row>
    <row r="20" spans="1:10">
      <c r="A20" s="51">
        <f t="shared" si="0"/>
        <v>10</v>
      </c>
      <c r="B20" s="2" t="s">
        <v>1190</v>
      </c>
      <c r="C20" s="2" t="s">
        <v>1191</v>
      </c>
      <c r="D20" s="82"/>
      <c r="E20" s="12"/>
      <c r="F20" s="507">
        <v>-142709.87</v>
      </c>
      <c r="G20" s="52"/>
      <c r="H20" s="52"/>
      <c r="I20" s="52"/>
      <c r="J20" s="52"/>
    </row>
    <row r="21" spans="1:10">
      <c r="A21" s="51">
        <f t="shared" si="0"/>
        <v>11</v>
      </c>
      <c r="B21" s="3">
        <v>45400</v>
      </c>
      <c r="C21" s="2" t="s">
        <v>1279</v>
      </c>
      <c r="D21" s="82"/>
      <c r="E21" s="12"/>
      <c r="F21" s="507">
        <v>-8060</v>
      </c>
      <c r="G21" s="52"/>
      <c r="H21" s="52"/>
      <c r="I21" s="52"/>
      <c r="J21" s="52"/>
    </row>
    <row r="22" spans="1:10">
      <c r="A22" s="51">
        <f t="shared" si="0"/>
        <v>12</v>
      </c>
      <c r="B22" s="2" t="s">
        <v>1192</v>
      </c>
      <c r="C22" s="2" t="s">
        <v>1193</v>
      </c>
      <c r="D22" s="82"/>
      <c r="E22" s="12"/>
      <c r="F22" s="507">
        <v>-1603.24</v>
      </c>
      <c r="G22" s="52"/>
      <c r="H22" s="52"/>
      <c r="I22" s="52"/>
      <c r="J22" s="52"/>
    </row>
    <row r="23" spans="1:10">
      <c r="A23" s="51">
        <f t="shared" si="0"/>
        <v>13</v>
      </c>
      <c r="B23" s="2" t="s">
        <v>1194</v>
      </c>
      <c r="C23" s="2" t="s">
        <v>1195</v>
      </c>
      <c r="D23" s="82"/>
      <c r="E23" s="12"/>
      <c r="F23" s="507">
        <v>-776361.99</v>
      </c>
      <c r="G23" s="52"/>
      <c r="H23" s="52"/>
      <c r="I23" s="52"/>
      <c r="J23" s="52"/>
    </row>
    <row r="24" spans="1:10">
      <c r="A24" s="51">
        <f t="shared" si="0"/>
        <v>14</v>
      </c>
      <c r="B24" s="2" t="s">
        <v>1196</v>
      </c>
      <c r="C24" s="2" t="s">
        <v>1197</v>
      </c>
      <c r="D24" s="82"/>
      <c r="E24" s="12"/>
      <c r="F24" s="507">
        <v>0</v>
      </c>
      <c r="G24" s="52"/>
      <c r="H24" s="52"/>
      <c r="I24" s="52"/>
      <c r="J24" s="52"/>
    </row>
    <row r="25" spans="1:10">
      <c r="A25" s="51">
        <f t="shared" si="0"/>
        <v>15</v>
      </c>
      <c r="B25" s="2" t="s">
        <v>1198</v>
      </c>
      <c r="C25" s="2" t="s">
        <v>1199</v>
      </c>
      <c r="D25" s="82"/>
      <c r="E25" s="12"/>
      <c r="F25" s="507">
        <v>0</v>
      </c>
      <c r="G25" s="52"/>
      <c r="H25" s="52"/>
      <c r="I25" s="52"/>
      <c r="J25" s="52"/>
    </row>
    <row r="26" spans="1:10">
      <c r="A26" s="51">
        <f t="shared" si="0"/>
        <v>16</v>
      </c>
      <c r="B26" s="2" t="s">
        <v>1200</v>
      </c>
      <c r="C26" s="2" t="s">
        <v>1201</v>
      </c>
      <c r="D26" s="82"/>
      <c r="E26" s="12"/>
      <c r="F26" s="507">
        <v>0</v>
      </c>
      <c r="G26" s="52"/>
      <c r="H26" s="52"/>
      <c r="I26" s="52"/>
      <c r="J26" s="52"/>
    </row>
    <row r="27" spans="1:10">
      <c r="A27" s="51">
        <f t="shared" si="0"/>
        <v>17</v>
      </c>
      <c r="B27" s="2" t="s">
        <v>1202</v>
      </c>
      <c r="C27" s="2" t="s">
        <v>1203</v>
      </c>
      <c r="D27" s="82"/>
      <c r="E27" s="12"/>
      <c r="F27" s="507">
        <v>0</v>
      </c>
      <c r="G27" s="52"/>
      <c r="H27" s="52"/>
      <c r="I27" s="52"/>
      <c r="J27" s="52"/>
    </row>
    <row r="28" spans="1:10">
      <c r="A28" s="51">
        <f t="shared" si="0"/>
        <v>18</v>
      </c>
      <c r="B28" s="2" t="s">
        <v>1204</v>
      </c>
      <c r="C28" s="2" t="s">
        <v>1205</v>
      </c>
      <c r="D28" s="82"/>
      <c r="E28" s="12"/>
      <c r="F28" s="507">
        <v>0</v>
      </c>
      <c r="G28" s="52"/>
      <c r="H28" s="52"/>
      <c r="I28" s="52"/>
      <c r="J28" s="52"/>
    </row>
    <row r="29" spans="1:10">
      <c r="A29" s="51">
        <f t="shared" si="0"/>
        <v>19</v>
      </c>
      <c r="B29" s="2" t="s">
        <v>1206</v>
      </c>
      <c r="C29" s="2" t="s">
        <v>1207</v>
      </c>
      <c r="D29" s="82"/>
      <c r="E29" s="12"/>
      <c r="F29" s="507">
        <v>0</v>
      </c>
      <c r="G29" s="52"/>
      <c r="H29" s="52"/>
      <c r="I29" s="52"/>
      <c r="J29" s="52"/>
    </row>
    <row r="30" spans="1:10">
      <c r="A30" s="51">
        <f t="shared" si="0"/>
        <v>20</v>
      </c>
      <c r="B30" s="2" t="s">
        <v>1208</v>
      </c>
      <c r="C30" s="2" t="s">
        <v>1209</v>
      </c>
      <c r="D30" s="82"/>
      <c r="E30" s="12"/>
      <c r="F30" s="507">
        <v>-1530</v>
      </c>
      <c r="G30" s="52"/>
      <c r="H30" s="52"/>
      <c r="I30" s="52"/>
      <c r="J30" s="52"/>
    </row>
    <row r="31" spans="1:10">
      <c r="A31" s="51">
        <f t="shared" si="0"/>
        <v>21</v>
      </c>
      <c r="B31" s="2" t="s">
        <v>1210</v>
      </c>
      <c r="C31" s="2" t="s">
        <v>1211</v>
      </c>
      <c r="D31" s="82"/>
      <c r="E31" s="12"/>
      <c r="F31" s="507">
        <v>0</v>
      </c>
      <c r="G31" s="52"/>
      <c r="H31" s="52"/>
      <c r="I31" s="52"/>
      <c r="J31" s="52"/>
    </row>
    <row r="32" spans="1:10">
      <c r="A32" s="51">
        <f t="shared" si="0"/>
        <v>22</v>
      </c>
      <c r="B32" s="2" t="s">
        <v>1212</v>
      </c>
      <c r="C32" s="2" t="s">
        <v>1213</v>
      </c>
      <c r="D32" s="82"/>
      <c r="E32" s="12"/>
      <c r="F32" s="507">
        <v>-227353.1</v>
      </c>
      <c r="G32" s="52"/>
      <c r="H32" s="52"/>
      <c r="I32" s="52"/>
      <c r="J32" s="52"/>
    </row>
    <row r="33" spans="1:10">
      <c r="A33" s="51">
        <f t="shared" si="0"/>
        <v>23</v>
      </c>
      <c r="B33" s="2" t="s">
        <v>1214</v>
      </c>
      <c r="C33" s="2" t="s">
        <v>1215</v>
      </c>
      <c r="D33" s="82"/>
      <c r="E33" s="12"/>
      <c r="F33" s="507">
        <v>-7025.96</v>
      </c>
      <c r="G33" s="52"/>
      <c r="H33" s="52"/>
      <c r="I33" s="52"/>
      <c r="J33" s="52"/>
    </row>
    <row r="34" spans="1:10">
      <c r="A34" s="51">
        <f t="shared" si="0"/>
        <v>24</v>
      </c>
      <c r="B34" s="2" t="s">
        <v>1216</v>
      </c>
      <c r="C34" s="2" t="s">
        <v>1217</v>
      </c>
      <c r="D34" s="82"/>
      <c r="E34" s="12"/>
      <c r="F34" s="594">
        <v>0</v>
      </c>
      <c r="G34" s="52"/>
      <c r="H34" s="52"/>
      <c r="I34" s="52"/>
      <c r="J34" s="52"/>
    </row>
    <row r="35" spans="1:10">
      <c r="A35" s="51">
        <f t="shared" si="0"/>
        <v>25</v>
      </c>
      <c r="B35" s="2" t="s">
        <v>1540</v>
      </c>
      <c r="C35" s="2" t="s">
        <v>1541</v>
      </c>
      <c r="D35" s="82"/>
      <c r="E35" s="12"/>
      <c r="F35" s="507">
        <v>-89984.49</v>
      </c>
      <c r="G35" s="52"/>
      <c r="H35" s="52"/>
      <c r="I35" s="52"/>
      <c r="J35" s="52"/>
    </row>
    <row r="36" spans="1:10">
      <c r="A36" s="51">
        <f t="shared" si="0"/>
        <v>26</v>
      </c>
      <c r="B36" s="2" t="s">
        <v>1218</v>
      </c>
      <c r="C36" s="2" t="s">
        <v>1219</v>
      </c>
      <c r="D36" s="82"/>
      <c r="E36" s="12"/>
      <c r="F36" s="507">
        <v>635846.43999999994</v>
      </c>
      <c r="G36" s="52"/>
      <c r="H36" s="52"/>
      <c r="I36" s="52"/>
      <c r="J36" s="52"/>
    </row>
    <row r="37" spans="1:10">
      <c r="A37" s="51">
        <f t="shared" si="0"/>
        <v>27</v>
      </c>
      <c r="B37" s="2" t="s">
        <v>1220</v>
      </c>
      <c r="C37" s="2" t="s">
        <v>1221</v>
      </c>
      <c r="D37" s="82"/>
      <c r="E37" s="12"/>
      <c r="F37" s="507">
        <v>0</v>
      </c>
      <c r="G37" s="52"/>
      <c r="H37" s="52"/>
      <c r="I37" s="52"/>
      <c r="J37" s="52"/>
    </row>
    <row r="38" spans="1:10">
      <c r="A38" s="51">
        <f t="shared" si="0"/>
        <v>28</v>
      </c>
      <c r="B38" s="2" t="s">
        <v>1222</v>
      </c>
      <c r="C38" s="2" t="s">
        <v>1542</v>
      </c>
      <c r="D38" s="82"/>
      <c r="E38" s="12"/>
      <c r="F38" s="507">
        <f>-1144190.54-676418.67</f>
        <v>-1820609.21</v>
      </c>
      <c r="G38" s="52"/>
      <c r="H38" s="52"/>
      <c r="I38" s="52"/>
      <c r="J38" s="52"/>
    </row>
    <row r="39" spans="1:10">
      <c r="A39" s="51">
        <f t="shared" si="0"/>
        <v>29</v>
      </c>
      <c r="B39" s="3">
        <v>4567016</v>
      </c>
      <c r="C39" s="2" t="s">
        <v>1223</v>
      </c>
      <c r="D39" s="82"/>
      <c r="E39" s="12"/>
      <c r="F39" s="507">
        <v>-327788.99</v>
      </c>
      <c r="G39" s="52"/>
      <c r="H39" s="52"/>
      <c r="I39" s="52"/>
      <c r="J39" s="52"/>
    </row>
    <row r="40" spans="1:10">
      <c r="A40" s="51">
        <f t="shared" si="0"/>
        <v>30</v>
      </c>
      <c r="B40" s="3">
        <v>4567017</v>
      </c>
      <c r="C40" s="2" t="s">
        <v>1224</v>
      </c>
      <c r="D40" s="82"/>
      <c r="E40" s="12"/>
      <c r="F40" s="507">
        <v>-274208.98</v>
      </c>
      <c r="G40" s="52"/>
      <c r="H40" s="52"/>
      <c r="I40" s="52"/>
      <c r="J40" s="52"/>
    </row>
    <row r="41" spans="1:10">
      <c r="A41" s="51">
        <f t="shared" si="0"/>
        <v>31</v>
      </c>
      <c r="B41" s="3">
        <v>4567018</v>
      </c>
      <c r="C41" s="2" t="s">
        <v>1225</v>
      </c>
      <c r="D41" s="82"/>
      <c r="E41" s="12"/>
      <c r="F41" s="507">
        <v>-769740.97</v>
      </c>
      <c r="G41" s="52"/>
      <c r="H41" s="52"/>
      <c r="I41" s="52"/>
      <c r="J41" s="52"/>
    </row>
    <row r="42" spans="1:10">
      <c r="A42" s="51">
        <f t="shared" si="0"/>
        <v>32</v>
      </c>
      <c r="B42" s="3">
        <v>4567019</v>
      </c>
      <c r="C42" s="2" t="s">
        <v>1226</v>
      </c>
      <c r="D42" s="82"/>
      <c r="E42" s="12"/>
      <c r="F42" s="507">
        <v>-3838070.08</v>
      </c>
      <c r="G42" s="52"/>
      <c r="H42" s="52"/>
      <c r="I42" s="52"/>
      <c r="J42" s="52"/>
    </row>
    <row r="43" spans="1:10">
      <c r="A43" s="51">
        <f t="shared" si="0"/>
        <v>33</v>
      </c>
      <c r="B43" s="3">
        <v>4567020</v>
      </c>
      <c r="C43" s="2" t="s">
        <v>1371</v>
      </c>
      <c r="D43" s="82"/>
      <c r="E43" s="12"/>
      <c r="F43" s="507">
        <v>-21746406.84</v>
      </c>
      <c r="G43" s="52"/>
      <c r="H43" s="52"/>
      <c r="I43" s="52"/>
      <c r="J43" s="52"/>
    </row>
    <row r="44" spans="1:10">
      <c r="A44" s="51">
        <f t="shared" si="0"/>
        <v>34</v>
      </c>
      <c r="B44" s="3">
        <v>4567021</v>
      </c>
      <c r="C44" s="2" t="s">
        <v>1372</v>
      </c>
      <c r="D44" s="82"/>
      <c r="E44" s="12"/>
      <c r="F44" s="507">
        <v>-3688268.12</v>
      </c>
      <c r="G44" s="52"/>
      <c r="H44" s="52"/>
      <c r="I44" s="52"/>
      <c r="J44" s="52"/>
    </row>
    <row r="45" spans="1:10">
      <c r="A45" s="51">
        <f t="shared" si="0"/>
        <v>35</v>
      </c>
      <c r="B45" s="3">
        <v>4567022</v>
      </c>
      <c r="C45" s="2" t="s">
        <v>1373</v>
      </c>
      <c r="D45" s="82"/>
      <c r="E45" s="12"/>
      <c r="F45" s="507">
        <v>1100403.8700000001</v>
      </c>
      <c r="G45" s="52"/>
      <c r="H45" s="52"/>
      <c r="I45" s="52"/>
      <c r="J45" s="52"/>
    </row>
    <row r="46" spans="1:10">
      <c r="A46" s="51">
        <f t="shared" si="0"/>
        <v>36</v>
      </c>
      <c r="B46" s="3">
        <v>4567023</v>
      </c>
      <c r="C46" s="2" t="s">
        <v>1374</v>
      </c>
      <c r="D46" s="82"/>
      <c r="E46" s="12"/>
      <c r="F46" s="507">
        <v>-5497949.4100000001</v>
      </c>
      <c r="G46" s="52"/>
      <c r="H46" s="52"/>
      <c r="I46" s="52"/>
      <c r="J46" s="52"/>
    </row>
    <row r="47" spans="1:10" ht="15.6" customHeight="1">
      <c r="A47" s="51">
        <f t="shared" si="0"/>
        <v>37</v>
      </c>
      <c r="B47" s="3">
        <v>4567024</v>
      </c>
      <c r="C47" s="2" t="s">
        <v>1539</v>
      </c>
      <c r="D47" s="82"/>
      <c r="E47" s="12"/>
      <c r="F47" s="507">
        <v>-742179.7</v>
      </c>
      <c r="G47" s="52"/>
      <c r="H47" s="52"/>
      <c r="I47" s="52"/>
      <c r="J47" s="52"/>
    </row>
    <row r="48" spans="1:10">
      <c r="A48" s="51">
        <f t="shared" si="0"/>
        <v>38</v>
      </c>
      <c r="B48" s="2" t="s">
        <v>1227</v>
      </c>
      <c r="C48" s="2" t="s">
        <v>1228</v>
      </c>
      <c r="D48" s="82"/>
      <c r="E48" s="12"/>
      <c r="F48" s="507">
        <v>-2695419.19</v>
      </c>
      <c r="G48" s="52"/>
      <c r="H48" s="52"/>
      <c r="I48" s="52"/>
      <c r="J48" s="52"/>
    </row>
    <row r="49" spans="1:10">
      <c r="A49" s="51">
        <f t="shared" si="0"/>
        <v>39</v>
      </c>
      <c r="B49" s="3">
        <v>456</v>
      </c>
      <c r="C49" s="2" t="s">
        <v>1369</v>
      </c>
      <c r="D49" s="82"/>
      <c r="E49" s="12"/>
      <c r="F49" s="507">
        <v>676418.67</v>
      </c>
      <c r="G49" s="52"/>
      <c r="H49" s="52"/>
      <c r="I49" s="52"/>
      <c r="J49" s="52"/>
    </row>
    <row r="50" spans="1:10">
      <c r="A50" s="51">
        <f t="shared" si="0"/>
        <v>40</v>
      </c>
      <c r="B50" s="2" t="s">
        <v>1229</v>
      </c>
      <c r="C50" s="2" t="s">
        <v>1230</v>
      </c>
      <c r="D50" s="82"/>
      <c r="E50" s="12"/>
      <c r="F50" s="507">
        <v>290777.53999999998</v>
      </c>
      <c r="G50" s="52"/>
      <c r="H50" s="52"/>
      <c r="I50" s="52"/>
      <c r="J50" s="52"/>
    </row>
    <row r="51" spans="1:10">
      <c r="A51" s="51">
        <f t="shared" si="0"/>
        <v>41</v>
      </c>
      <c r="B51" s="52"/>
      <c r="C51" s="52" t="s">
        <v>1231</v>
      </c>
      <c r="D51" s="42"/>
      <c r="E51" s="42"/>
      <c r="F51" s="202">
        <f>SUM(F11:F50)</f>
        <v>-40049425.289999999</v>
      </c>
      <c r="G51" s="52"/>
      <c r="H51" s="52"/>
      <c r="I51" s="52"/>
      <c r="J51" s="52"/>
    </row>
    <row r="52" spans="1:10" s="189" customFormat="1">
      <c r="A52" s="53"/>
      <c r="B52" s="53"/>
      <c r="C52" s="53"/>
      <c r="D52" s="53"/>
      <c r="E52" s="53"/>
      <c r="F52" s="53"/>
      <c r="G52" s="53"/>
      <c r="H52" s="53"/>
      <c r="I52" s="53"/>
      <c r="J52" s="53"/>
    </row>
    <row r="53" spans="1:10" s="189" customFormat="1">
      <c r="A53" s="96">
        <f>A51+1</f>
        <v>42</v>
      </c>
      <c r="B53" s="53"/>
      <c r="C53" s="97" t="s">
        <v>1232</v>
      </c>
      <c r="D53" s="53"/>
      <c r="E53" s="53"/>
      <c r="F53" s="53"/>
      <c r="G53" s="53"/>
      <c r="H53" s="53"/>
      <c r="I53" s="53"/>
      <c r="J53" s="53"/>
    </row>
    <row r="54" spans="1:10" s="189" customFormat="1">
      <c r="A54" s="96">
        <f>SUM(A53+1)</f>
        <v>43</v>
      </c>
      <c r="B54" s="53">
        <v>411</v>
      </c>
      <c r="C54" s="2" t="s">
        <v>1538</v>
      </c>
      <c r="D54" s="53" t="s">
        <v>2439</v>
      </c>
      <c r="E54" s="53"/>
      <c r="F54" s="53">
        <f>F16</f>
        <v>-13.86</v>
      </c>
      <c r="G54" s="53"/>
      <c r="H54" s="53"/>
      <c r="I54" s="53"/>
      <c r="J54" s="53"/>
    </row>
    <row r="55" spans="1:10" s="189" customFormat="1">
      <c r="A55" s="96">
        <f>SUM(A54+1)</f>
        <v>44</v>
      </c>
      <c r="B55" s="53">
        <v>451</v>
      </c>
      <c r="C55" s="53" t="s">
        <v>26</v>
      </c>
      <c r="D55" s="53" t="str">
        <f>"Line "&amp;A18&amp;" thru "&amp;A20</f>
        <v>Line 8 thru 10</v>
      </c>
      <c r="E55" s="53"/>
      <c r="F55" s="53">
        <f>SUM(F18:F20)</f>
        <v>-240297.68</v>
      </c>
      <c r="G55" s="53"/>
      <c r="H55" s="53"/>
      <c r="I55" s="53"/>
      <c r="J55" s="53"/>
    </row>
    <row r="56" spans="1:10" s="189" customFormat="1">
      <c r="A56" s="96">
        <f t="shared" ref="A56:A74" si="1">SUM(A55+1)</f>
        <v>45</v>
      </c>
      <c r="B56" s="53">
        <v>454</v>
      </c>
      <c r="C56" s="53" t="s">
        <v>27</v>
      </c>
      <c r="D56" s="53" t="s">
        <v>2441</v>
      </c>
      <c r="E56" s="53"/>
      <c r="F56" s="53">
        <f>F21</f>
        <v>-8060</v>
      </c>
      <c r="G56" s="53"/>
      <c r="H56" s="53"/>
      <c r="I56" s="53"/>
      <c r="J56" s="53"/>
    </row>
    <row r="57" spans="1:10" s="189" customFormat="1">
      <c r="A57" s="96">
        <f t="shared" si="1"/>
        <v>46</v>
      </c>
      <c r="B57" s="53">
        <v>456</v>
      </c>
      <c r="C57" s="53" t="s">
        <v>28</v>
      </c>
      <c r="D57" s="53" t="str">
        <f>"Line "&amp;A22&amp;" thru "&amp;A28</f>
        <v>Line 12 thru 18</v>
      </c>
      <c r="E57" s="53"/>
      <c r="F57" s="53">
        <f>SUM(F22:F28)</f>
        <v>-777965.23</v>
      </c>
      <c r="G57" s="53"/>
      <c r="H57" s="53"/>
      <c r="I57" s="53"/>
      <c r="J57" s="53"/>
    </row>
    <row r="58" spans="1:10" s="189" customFormat="1" ht="40.200000000000003" customHeight="1">
      <c r="A58" s="96">
        <f t="shared" si="1"/>
        <v>47</v>
      </c>
      <c r="B58" s="53">
        <v>456</v>
      </c>
      <c r="C58" s="53" t="s">
        <v>30</v>
      </c>
      <c r="D58" s="496" t="str">
        <f>"Line "&amp;A29&amp;" thru "&amp;A38&amp;" and Lines "&amp;A42&amp;" thru "&amp;A44&amp;" and Line "&amp;A46</f>
        <v>Line 19 thru 28 and Lines 32 thru 34 and Line 36</v>
      </c>
      <c r="E58" s="53"/>
      <c r="F58" s="516">
        <f>SUM(F29:F38,F42:F44,F46)</f>
        <v>-36281350.770000003</v>
      </c>
      <c r="G58" s="53"/>
      <c r="H58" s="53"/>
      <c r="I58" s="53"/>
      <c r="J58" s="53"/>
    </row>
    <row r="59" spans="1:10" s="189" customFormat="1">
      <c r="A59" s="96">
        <f t="shared" si="1"/>
        <v>48</v>
      </c>
      <c r="B59" s="53">
        <v>456</v>
      </c>
      <c r="C59" s="53" t="s">
        <v>31</v>
      </c>
      <c r="D59" s="53" t="str">
        <f>"Line "&amp;A48</f>
        <v>Line 38</v>
      </c>
      <c r="E59" s="53"/>
      <c r="F59" s="53">
        <f>F48</f>
        <v>-2695419.19</v>
      </c>
      <c r="G59" s="53"/>
      <c r="H59" s="53"/>
      <c r="I59" s="53"/>
      <c r="J59" s="53"/>
    </row>
    <row r="60" spans="1:10" s="189" customFormat="1">
      <c r="A60" s="96">
        <f t="shared" si="1"/>
        <v>49</v>
      </c>
      <c r="B60" s="158">
        <v>456.70159999999998</v>
      </c>
      <c r="C60" s="53" t="s">
        <v>32</v>
      </c>
      <c r="D60" s="53" t="str">
        <f>"Line "&amp;A39</f>
        <v>Line 29</v>
      </c>
      <c r="E60" s="53"/>
      <c r="F60" s="53">
        <f>F39</f>
        <v>-327788.99</v>
      </c>
      <c r="G60" s="53"/>
      <c r="H60" s="53"/>
      <c r="I60" s="53"/>
      <c r="J60" s="53"/>
    </row>
    <row r="61" spans="1:10" s="189" customFormat="1">
      <c r="A61" s="96">
        <f t="shared" si="1"/>
        <v>50</v>
      </c>
      <c r="B61" s="158">
        <v>456.70170000000002</v>
      </c>
      <c r="C61" s="53" t="s">
        <v>33</v>
      </c>
      <c r="D61" s="53" t="str">
        <f>"Line "&amp;A40</f>
        <v>Line 30</v>
      </c>
      <c r="E61" s="53"/>
      <c r="F61" s="53">
        <f>F40</f>
        <v>-274208.98</v>
      </c>
      <c r="G61" s="53"/>
      <c r="H61" s="53"/>
      <c r="I61" s="53"/>
      <c r="J61" s="53"/>
    </row>
    <row r="62" spans="1:10" s="189" customFormat="1">
      <c r="A62" s="96">
        <f t="shared" si="1"/>
        <v>51</v>
      </c>
      <c r="B62" s="158">
        <v>456.70179999999999</v>
      </c>
      <c r="C62" s="53" t="s">
        <v>34</v>
      </c>
      <c r="D62" s="53" t="str">
        <f>"Line "&amp;A41&amp;" and "&amp;A45</f>
        <v>Line 31 and 35</v>
      </c>
      <c r="E62" s="53"/>
      <c r="F62" s="53">
        <f>F41+F45</f>
        <v>330662.90000000014</v>
      </c>
      <c r="G62" s="53"/>
      <c r="H62" s="53"/>
      <c r="I62" s="53"/>
      <c r="J62" s="53"/>
    </row>
    <row r="63" spans="1:10" s="189" customFormat="1">
      <c r="A63" s="96">
        <f t="shared" si="1"/>
        <v>52</v>
      </c>
      <c r="B63" s="158">
        <v>456</v>
      </c>
      <c r="C63" s="53" t="s">
        <v>1358</v>
      </c>
      <c r="D63" s="53" t="str">
        <f>"Line "&amp;A47</f>
        <v>Line 37</v>
      </c>
      <c r="E63" s="53"/>
      <c r="F63" s="53">
        <f>F47</f>
        <v>-742179.7</v>
      </c>
      <c r="G63" s="53"/>
      <c r="H63" s="53"/>
      <c r="I63" s="53"/>
      <c r="J63" s="53"/>
    </row>
    <row r="64" spans="1:10" s="189" customFormat="1">
      <c r="A64" s="96">
        <f t="shared" si="1"/>
        <v>53</v>
      </c>
      <c r="B64" s="177">
        <v>456</v>
      </c>
      <c r="C64" s="2" t="s">
        <v>1369</v>
      </c>
      <c r="D64" s="53" t="str">
        <f>"Line "&amp;A49</f>
        <v>Line 39</v>
      </c>
      <c r="E64" s="53"/>
      <c r="F64" s="516">
        <f>F49</f>
        <v>676418.67</v>
      </c>
      <c r="G64" s="53"/>
      <c r="H64" s="53"/>
      <c r="I64" s="53"/>
      <c r="J64" s="53"/>
    </row>
    <row r="65" spans="1:10" s="189" customFormat="1">
      <c r="A65" s="96">
        <f t="shared" si="1"/>
        <v>54</v>
      </c>
      <c r="B65" s="53">
        <v>459</v>
      </c>
      <c r="C65" s="53" t="s">
        <v>36</v>
      </c>
      <c r="D65" s="53" t="str">
        <f>"Line "&amp;A50</f>
        <v>Line 40</v>
      </c>
      <c r="E65" s="53"/>
      <c r="F65" s="53">
        <f>SUM(F50)</f>
        <v>290777.53999999998</v>
      </c>
      <c r="G65" s="53"/>
      <c r="H65" s="53"/>
      <c r="I65" s="53"/>
      <c r="J65" s="53"/>
    </row>
    <row r="66" spans="1:10" s="189" customFormat="1">
      <c r="A66" s="96">
        <f t="shared" si="1"/>
        <v>55</v>
      </c>
      <c r="B66" s="53"/>
      <c r="C66" s="53" t="s">
        <v>1233</v>
      </c>
      <c r="D66" s="53"/>
      <c r="E66" s="53"/>
      <c r="F66" s="53">
        <f>SUM(F54:F65)</f>
        <v>-40049425.290000007</v>
      </c>
      <c r="G66" s="53"/>
      <c r="H66" s="53"/>
      <c r="I66" s="53"/>
      <c r="J66" s="53"/>
    </row>
    <row r="67" spans="1:10" ht="12.75" customHeight="1">
      <c r="A67" s="96">
        <f t="shared" si="1"/>
        <v>56</v>
      </c>
      <c r="B67" s="184" t="s">
        <v>1306</v>
      </c>
    </row>
    <row r="68" spans="1:10">
      <c r="A68" s="96">
        <f t="shared" si="1"/>
        <v>57</v>
      </c>
      <c r="B68" s="52" t="s">
        <v>1308</v>
      </c>
    </row>
    <row r="69" spans="1:10">
      <c r="A69" s="96">
        <f t="shared" si="1"/>
        <v>58</v>
      </c>
      <c r="B69" s="52" t="s">
        <v>1502</v>
      </c>
    </row>
    <row r="70" spans="1:10">
      <c r="A70" s="96">
        <f t="shared" si="1"/>
        <v>59</v>
      </c>
      <c r="B70" s="52" t="s">
        <v>1503</v>
      </c>
    </row>
    <row r="71" spans="1:10">
      <c r="A71" s="96">
        <f t="shared" si="1"/>
        <v>60</v>
      </c>
      <c r="B71" s="52" t="s">
        <v>1504</v>
      </c>
    </row>
    <row r="72" spans="1:10">
      <c r="A72" s="96">
        <f t="shared" si="1"/>
        <v>61</v>
      </c>
      <c r="B72" s="52" t="s">
        <v>1505</v>
      </c>
    </row>
    <row r="73" spans="1:10">
      <c r="A73" s="96">
        <f t="shared" si="1"/>
        <v>62</v>
      </c>
      <c r="B73" s="52" t="s">
        <v>1506</v>
      </c>
      <c r="F73" s="189"/>
    </row>
    <row r="74" spans="1:10">
      <c r="A74" s="96">
        <f t="shared" si="1"/>
        <v>63</v>
      </c>
      <c r="B74" s="83" t="s">
        <v>1507</v>
      </c>
    </row>
    <row r="77" spans="1:10" ht="13.35" customHeight="1"/>
  </sheetData>
  <printOptions horizontalCentered="1"/>
  <pageMargins left="0.7" right="0.7" top="0.75" bottom="0.75" header="0.3" footer="0.3"/>
  <pageSetup scale="52" orientation="portrait" r:id="rId1"/>
  <headerFooter>
    <oddHeader xml:space="preserve">&amp;RPage &amp;P
Worksheet  N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3"/>
  <sheetViews>
    <sheetView zoomScaleNormal="100" workbookViewId="0">
      <selection activeCell="A11" sqref="A11:XFD11"/>
    </sheetView>
  </sheetViews>
  <sheetFormatPr defaultColWidth="8" defaultRowHeight="11.4"/>
  <cols>
    <col min="1" max="2" width="9.8984375" style="55" customWidth="1"/>
    <col min="3" max="3" width="33" style="55" customWidth="1"/>
    <col min="4" max="4" width="12" style="55" customWidth="1"/>
    <col min="5" max="5" width="11" style="55" customWidth="1"/>
    <col min="6" max="6" width="9.19921875" style="55" customWidth="1"/>
    <col min="7" max="7" width="12.8984375" style="55" customWidth="1"/>
    <col min="8" max="8" width="11.8984375" style="55" customWidth="1"/>
    <col min="9" max="9" width="11.09765625" style="55" customWidth="1"/>
    <col min="10" max="10" width="12.59765625" style="55" bestFit="1" customWidth="1"/>
    <col min="11" max="11" width="11.09765625" style="55" bestFit="1" customWidth="1"/>
    <col min="12" max="12" width="12.19921875" style="55" customWidth="1"/>
    <col min="13" max="16384" width="8" style="55"/>
  </cols>
  <sheetData>
    <row r="2" spans="1:14" ht="13.5" customHeight="1"/>
    <row r="3" spans="1:14" ht="13.8">
      <c r="N3" s="177" t="s">
        <v>1470</v>
      </c>
    </row>
    <row r="4" spans="1:14" ht="13.8">
      <c r="A4" s="179" t="s">
        <v>1</v>
      </c>
    </row>
    <row r="5" spans="1:14" ht="13.8">
      <c r="A5" s="2"/>
    </row>
    <row r="6" spans="1:14" ht="13.8">
      <c r="A6" s="1" t="s">
        <v>1234</v>
      </c>
    </row>
    <row r="7" spans="1:14" ht="13.8">
      <c r="A7" s="179" t="str">
        <f>Index!B6</f>
        <v>Year Ending December 31, 2016</v>
      </c>
    </row>
    <row r="9" spans="1:14" ht="13.8">
      <c r="A9" s="193" t="s">
        <v>3</v>
      </c>
      <c r="B9" s="193" t="s">
        <v>4</v>
      </c>
      <c r="C9" s="193" t="s">
        <v>5</v>
      </c>
      <c r="D9" s="193" t="s">
        <v>9</v>
      </c>
      <c r="E9" s="193" t="s">
        <v>10</v>
      </c>
      <c r="F9" s="193" t="s">
        <v>11</v>
      </c>
      <c r="G9" s="193" t="s">
        <v>12</v>
      </c>
      <c r="H9" s="193" t="s">
        <v>13</v>
      </c>
      <c r="I9" s="193" t="s">
        <v>14</v>
      </c>
      <c r="J9" s="193" t="s">
        <v>15</v>
      </c>
      <c r="K9" s="193" t="s">
        <v>60</v>
      </c>
      <c r="L9" s="193" t="s">
        <v>422</v>
      </c>
    </row>
    <row r="10" spans="1:14" ht="69">
      <c r="A10" s="196" t="s">
        <v>16</v>
      </c>
      <c r="B10" s="197" t="s">
        <v>1235</v>
      </c>
      <c r="C10" s="197" t="s">
        <v>1236</v>
      </c>
      <c r="D10" s="197" t="s">
        <v>1237</v>
      </c>
      <c r="E10" s="197" t="s">
        <v>1301</v>
      </c>
      <c r="F10" s="197" t="s">
        <v>1302</v>
      </c>
      <c r="G10" s="197" t="s">
        <v>1285</v>
      </c>
      <c r="H10" s="197" t="s">
        <v>1238</v>
      </c>
      <c r="I10" s="58" t="s">
        <v>1239</v>
      </c>
      <c r="J10" s="58" t="s">
        <v>1240</v>
      </c>
      <c r="K10" s="197" t="s">
        <v>1290</v>
      </c>
      <c r="L10" s="197" t="s">
        <v>1303</v>
      </c>
    </row>
    <row r="11" spans="1:14" ht="13.8">
      <c r="A11" s="525">
        <v>1</v>
      </c>
      <c r="B11" s="575" t="s">
        <v>1543</v>
      </c>
      <c r="C11" s="575" t="s">
        <v>1544</v>
      </c>
      <c r="D11" s="576" t="s">
        <v>1481</v>
      </c>
      <c r="E11" s="574">
        <v>0.5</v>
      </c>
      <c r="F11" s="579">
        <v>13</v>
      </c>
      <c r="G11" s="580">
        <v>39724</v>
      </c>
      <c r="H11" s="580">
        <v>40612</v>
      </c>
      <c r="I11" s="517">
        <v>13970.58</v>
      </c>
      <c r="J11" s="517">
        <v>10727.93</v>
      </c>
      <c r="K11" s="373">
        <f t="shared" ref="K11:K29" si="0">SUM(I11:J11)/2</f>
        <v>12349.255000000001</v>
      </c>
      <c r="L11" s="373">
        <f>K11*E11</f>
        <v>6174.6275000000005</v>
      </c>
    </row>
    <row r="12" spans="1:14" ht="13.8">
      <c r="A12" s="525">
        <v>2</v>
      </c>
      <c r="B12" s="575" t="s">
        <v>1545</v>
      </c>
      <c r="C12" s="575" t="s">
        <v>1546</v>
      </c>
      <c r="D12" s="577" t="str">
        <f>D11</f>
        <v>ER16-1774</v>
      </c>
      <c r="E12" s="574">
        <v>0.5</v>
      </c>
      <c r="F12" s="579">
        <v>13</v>
      </c>
      <c r="G12" s="580">
        <v>40494</v>
      </c>
      <c r="H12" s="580">
        <v>41305</v>
      </c>
      <c r="I12" s="517">
        <v>21235.54</v>
      </c>
      <c r="J12" s="517">
        <v>21235.54</v>
      </c>
      <c r="K12" s="373">
        <f t="shared" si="0"/>
        <v>21235.54</v>
      </c>
      <c r="L12" s="373">
        <f t="shared" ref="L12:L53" si="1">K12*E12</f>
        <v>10617.77</v>
      </c>
    </row>
    <row r="13" spans="1:14" ht="13.8">
      <c r="A13" s="525">
        <v>4</v>
      </c>
      <c r="B13" s="575" t="s">
        <v>1547</v>
      </c>
      <c r="C13" s="575" t="s">
        <v>1548</v>
      </c>
      <c r="D13" s="577" t="str">
        <f t="shared" ref="D13:D76" si="2">D12</f>
        <v>ER16-1774</v>
      </c>
      <c r="E13" s="574">
        <v>0.5</v>
      </c>
      <c r="F13" s="579">
        <v>13</v>
      </c>
      <c r="G13" s="580">
        <v>41145</v>
      </c>
      <c r="H13" s="580">
        <v>41760</v>
      </c>
      <c r="I13" s="517">
        <v>789687.58</v>
      </c>
      <c r="J13" s="517">
        <v>0</v>
      </c>
      <c r="K13" s="373">
        <f t="shared" si="0"/>
        <v>394843.79</v>
      </c>
      <c r="L13" s="373">
        <f t="shared" si="1"/>
        <v>197421.89499999999</v>
      </c>
    </row>
    <row r="14" spans="1:14" ht="13.8">
      <c r="A14" s="525">
        <v>8</v>
      </c>
      <c r="B14" s="575" t="s">
        <v>1549</v>
      </c>
      <c r="C14" s="575" t="s">
        <v>1550</v>
      </c>
      <c r="D14" s="577" t="str">
        <f t="shared" si="2"/>
        <v>ER16-1774</v>
      </c>
      <c r="E14" s="574">
        <v>0.5</v>
      </c>
      <c r="F14" s="579">
        <v>13</v>
      </c>
      <c r="G14" s="580">
        <v>41409</v>
      </c>
      <c r="H14" s="580">
        <v>41726</v>
      </c>
      <c r="I14" s="517">
        <v>3097.71</v>
      </c>
      <c r="J14" s="517">
        <v>0</v>
      </c>
      <c r="K14" s="373">
        <f t="shared" si="0"/>
        <v>1548.855</v>
      </c>
      <c r="L14" s="373">
        <f t="shared" si="1"/>
        <v>774.42750000000001</v>
      </c>
    </row>
    <row r="15" spans="1:14" ht="13.8">
      <c r="A15" s="525">
        <v>13</v>
      </c>
      <c r="B15" s="575" t="s">
        <v>1551</v>
      </c>
      <c r="C15" s="575" t="s">
        <v>1552</v>
      </c>
      <c r="D15" s="577" t="str">
        <f t="shared" si="2"/>
        <v>ER16-1774</v>
      </c>
      <c r="E15" s="574">
        <v>0.5</v>
      </c>
      <c r="F15" s="579">
        <v>13</v>
      </c>
      <c r="G15" s="580">
        <v>41743</v>
      </c>
      <c r="H15" s="580">
        <v>41781</v>
      </c>
      <c r="I15" s="517">
        <v>-634</v>
      </c>
      <c r="J15" s="517">
        <v>0</v>
      </c>
      <c r="K15" s="373">
        <f t="shared" si="0"/>
        <v>-317</v>
      </c>
      <c r="L15" s="373">
        <f t="shared" si="1"/>
        <v>-158.5</v>
      </c>
    </row>
    <row r="16" spans="1:14" ht="13.8">
      <c r="A16" s="525">
        <v>14</v>
      </c>
      <c r="B16" s="575" t="s">
        <v>1553</v>
      </c>
      <c r="C16" s="575" t="s">
        <v>1554</v>
      </c>
      <c r="D16" s="577" t="str">
        <f t="shared" si="2"/>
        <v>ER16-1774</v>
      </c>
      <c r="E16" s="574">
        <v>0.5</v>
      </c>
      <c r="F16" s="579">
        <v>13</v>
      </c>
      <c r="G16" s="580">
        <v>41820</v>
      </c>
      <c r="H16" s="580">
        <v>42461</v>
      </c>
      <c r="I16" s="517">
        <v>595140.41</v>
      </c>
      <c r="J16" s="517">
        <v>0</v>
      </c>
      <c r="K16" s="373">
        <f t="shared" si="0"/>
        <v>297570.20500000002</v>
      </c>
      <c r="L16" s="373">
        <f t="shared" si="1"/>
        <v>148785.10250000001</v>
      </c>
    </row>
    <row r="17" spans="1:12" ht="13.8">
      <c r="A17" s="525">
        <v>15</v>
      </c>
      <c r="B17" s="575" t="s">
        <v>1555</v>
      </c>
      <c r="C17" s="575" t="s">
        <v>1556</v>
      </c>
      <c r="D17" s="577" t="str">
        <f t="shared" si="2"/>
        <v>ER16-1774</v>
      </c>
      <c r="E17" s="574">
        <v>0.5</v>
      </c>
      <c r="F17" s="579">
        <v>13</v>
      </c>
      <c r="G17" s="580">
        <v>41803</v>
      </c>
      <c r="H17" s="580">
        <v>41862</v>
      </c>
      <c r="I17" s="517">
        <v>14583.5</v>
      </c>
      <c r="J17" s="517">
        <v>0</v>
      </c>
      <c r="K17" s="373">
        <f t="shared" si="0"/>
        <v>7291.75</v>
      </c>
      <c r="L17" s="373">
        <f t="shared" si="1"/>
        <v>3645.875</v>
      </c>
    </row>
    <row r="18" spans="1:12" ht="13.8">
      <c r="A18" s="525">
        <v>16</v>
      </c>
      <c r="B18" s="575" t="s">
        <v>1557</v>
      </c>
      <c r="C18" s="575" t="s">
        <v>1558</v>
      </c>
      <c r="D18" s="577" t="str">
        <f t="shared" si="2"/>
        <v>ER16-1774</v>
      </c>
      <c r="E18" s="574">
        <v>0.5</v>
      </c>
      <c r="F18" s="579">
        <v>13</v>
      </c>
      <c r="G18" s="580">
        <v>41579</v>
      </c>
      <c r="H18" s="580">
        <v>41631</v>
      </c>
      <c r="I18" s="517">
        <v>9547.16</v>
      </c>
      <c r="J18" s="517">
        <v>64371.43</v>
      </c>
      <c r="K18" s="373">
        <f t="shared" si="0"/>
        <v>36959.294999999998</v>
      </c>
      <c r="L18" s="373">
        <f t="shared" si="1"/>
        <v>18479.647499999999</v>
      </c>
    </row>
    <row r="19" spans="1:12" ht="13.8">
      <c r="A19" s="525">
        <v>17</v>
      </c>
      <c r="B19" s="575" t="s">
        <v>1559</v>
      </c>
      <c r="C19" s="575" t="s">
        <v>1560</v>
      </c>
      <c r="D19" s="577" t="str">
        <f t="shared" si="2"/>
        <v>ER16-1774</v>
      </c>
      <c r="E19" s="574">
        <v>0.5</v>
      </c>
      <c r="F19" s="579">
        <v>13</v>
      </c>
      <c r="G19" s="580">
        <v>42505</v>
      </c>
      <c r="H19" s="580">
        <v>42536</v>
      </c>
      <c r="I19" s="517">
        <v>16958.8</v>
      </c>
      <c r="J19" s="517">
        <v>0</v>
      </c>
      <c r="K19" s="373">
        <f t="shared" si="0"/>
        <v>8479.4</v>
      </c>
      <c r="L19" s="373">
        <f t="shared" si="1"/>
        <v>4239.7</v>
      </c>
    </row>
    <row r="20" spans="1:12" ht="13.8">
      <c r="A20" s="525">
        <v>19</v>
      </c>
      <c r="B20" s="575" t="s">
        <v>1561</v>
      </c>
      <c r="C20" s="575" t="s">
        <v>1562</v>
      </c>
      <c r="D20" s="577" t="str">
        <f t="shared" si="2"/>
        <v>ER16-1774</v>
      </c>
      <c r="E20" s="574">
        <v>0.5</v>
      </c>
      <c r="F20" s="579">
        <v>13</v>
      </c>
      <c r="G20" s="580">
        <v>42297</v>
      </c>
      <c r="H20" s="580">
        <v>42312</v>
      </c>
      <c r="I20" s="517">
        <v>400648.39</v>
      </c>
      <c r="J20" s="517">
        <v>76061.67</v>
      </c>
      <c r="K20" s="373">
        <f t="shared" si="0"/>
        <v>238355.03</v>
      </c>
      <c r="L20" s="373">
        <f t="shared" si="1"/>
        <v>119177.515</v>
      </c>
    </row>
    <row r="21" spans="1:12" ht="13.8">
      <c r="A21" s="525">
        <v>20</v>
      </c>
      <c r="B21" s="578" t="s">
        <v>1563</v>
      </c>
      <c r="C21" s="575" t="s">
        <v>1564</v>
      </c>
      <c r="D21" s="577" t="str">
        <f t="shared" si="2"/>
        <v>ER16-1774</v>
      </c>
      <c r="E21" s="574">
        <v>0.5</v>
      </c>
      <c r="F21" s="579">
        <v>13</v>
      </c>
      <c r="G21" s="580">
        <v>41836</v>
      </c>
      <c r="H21" s="580">
        <v>41908</v>
      </c>
      <c r="I21" s="517">
        <v>105429</v>
      </c>
      <c r="J21" s="517">
        <v>0</v>
      </c>
      <c r="K21" s="373">
        <f t="shared" si="0"/>
        <v>52714.5</v>
      </c>
      <c r="L21" s="373">
        <f t="shared" si="1"/>
        <v>26357.25</v>
      </c>
    </row>
    <row r="22" spans="1:12" ht="13.8">
      <c r="A22" s="525">
        <v>21</v>
      </c>
      <c r="B22" s="575" t="s">
        <v>1565</v>
      </c>
      <c r="C22" s="575" t="s">
        <v>1566</v>
      </c>
      <c r="D22" s="577" t="str">
        <f t="shared" si="2"/>
        <v>ER16-1774</v>
      </c>
      <c r="E22" s="574">
        <v>0.5</v>
      </c>
      <c r="F22" s="579">
        <v>13</v>
      </c>
      <c r="G22" s="580">
        <v>41808</v>
      </c>
      <c r="H22" s="580">
        <v>41946</v>
      </c>
      <c r="I22" s="517">
        <v>190762.63</v>
      </c>
      <c r="J22" s="517">
        <v>0</v>
      </c>
      <c r="K22" s="373">
        <f t="shared" si="0"/>
        <v>95381.315000000002</v>
      </c>
      <c r="L22" s="373">
        <f t="shared" si="1"/>
        <v>47690.657500000001</v>
      </c>
    </row>
    <row r="23" spans="1:12" ht="13.8">
      <c r="A23" s="525">
        <v>22</v>
      </c>
      <c r="B23" s="575" t="s">
        <v>1567</v>
      </c>
      <c r="C23" s="575" t="s">
        <v>1568</v>
      </c>
      <c r="D23" s="577" t="str">
        <f t="shared" si="2"/>
        <v>ER16-1774</v>
      </c>
      <c r="E23" s="574">
        <v>0.5</v>
      </c>
      <c r="F23" s="579">
        <v>13</v>
      </c>
      <c r="G23" s="580">
        <v>41521</v>
      </c>
      <c r="H23" s="580">
        <v>41781</v>
      </c>
      <c r="I23" s="517">
        <v>608424</v>
      </c>
      <c r="J23" s="517">
        <v>0</v>
      </c>
      <c r="K23" s="373">
        <f t="shared" si="0"/>
        <v>304212</v>
      </c>
      <c r="L23" s="373">
        <f t="shared" si="1"/>
        <v>152106</v>
      </c>
    </row>
    <row r="24" spans="1:12" ht="13.8">
      <c r="A24" s="525">
        <v>23</v>
      </c>
      <c r="B24" s="575" t="s">
        <v>1569</v>
      </c>
      <c r="C24" s="575" t="s">
        <v>1570</v>
      </c>
      <c r="D24" s="577" t="str">
        <f t="shared" si="2"/>
        <v>ER16-1774</v>
      </c>
      <c r="E24" s="574">
        <v>0.5</v>
      </c>
      <c r="F24" s="579">
        <v>13</v>
      </c>
      <c r="G24" s="580">
        <v>41778</v>
      </c>
      <c r="H24" s="580">
        <v>42018</v>
      </c>
      <c r="I24" s="517">
        <v>460571</v>
      </c>
      <c r="J24" s="517">
        <v>0</v>
      </c>
      <c r="K24" s="373">
        <f t="shared" si="0"/>
        <v>230285.5</v>
      </c>
      <c r="L24" s="373">
        <f t="shared" si="1"/>
        <v>115142.75</v>
      </c>
    </row>
    <row r="25" spans="1:12" ht="13.8">
      <c r="A25" s="525">
        <v>24</v>
      </c>
      <c r="B25" s="578" t="s">
        <v>1689</v>
      </c>
      <c r="C25" s="575" t="s">
        <v>1690</v>
      </c>
      <c r="D25" s="577" t="str">
        <f t="shared" si="2"/>
        <v>ER16-1774</v>
      </c>
      <c r="E25" s="574">
        <v>0.5</v>
      </c>
      <c r="F25" s="579">
        <v>13</v>
      </c>
      <c r="G25" s="580">
        <v>41611</v>
      </c>
      <c r="H25" s="580">
        <v>42826</v>
      </c>
      <c r="I25" s="517">
        <v>0</v>
      </c>
      <c r="J25" s="517">
        <v>7700</v>
      </c>
      <c r="K25" s="373">
        <f t="shared" si="0"/>
        <v>3850</v>
      </c>
      <c r="L25" s="373">
        <f t="shared" si="1"/>
        <v>1925</v>
      </c>
    </row>
    <row r="26" spans="1:12" ht="13.8">
      <c r="A26" s="525">
        <v>25</v>
      </c>
      <c r="B26" s="575" t="s">
        <v>1571</v>
      </c>
      <c r="C26" s="575" t="s">
        <v>1572</v>
      </c>
      <c r="D26" s="577" t="str">
        <f t="shared" si="2"/>
        <v>ER16-1774</v>
      </c>
      <c r="E26" s="574">
        <v>0.5</v>
      </c>
      <c r="F26" s="579">
        <v>13</v>
      </c>
      <c r="G26" s="580">
        <v>42228</v>
      </c>
      <c r="H26" s="580">
        <v>42328</v>
      </c>
      <c r="I26" s="517">
        <v>1150005.1200000001</v>
      </c>
      <c r="J26" s="517">
        <v>487814.57</v>
      </c>
      <c r="K26" s="373">
        <f t="shared" si="0"/>
        <v>818909.84500000009</v>
      </c>
      <c r="L26" s="373">
        <f t="shared" si="1"/>
        <v>409454.92250000004</v>
      </c>
    </row>
    <row r="27" spans="1:12" ht="13.8">
      <c r="A27" s="525">
        <v>28</v>
      </c>
      <c r="B27" s="575" t="s">
        <v>1575</v>
      </c>
      <c r="C27" s="575" t="s">
        <v>1576</v>
      </c>
      <c r="D27" s="577" t="str">
        <f t="shared" si="2"/>
        <v>ER16-1774</v>
      </c>
      <c r="E27" s="574">
        <v>0.5</v>
      </c>
      <c r="F27" s="579">
        <v>13</v>
      </c>
      <c r="G27" s="580">
        <v>42461</v>
      </c>
      <c r="H27" s="580">
        <v>42522</v>
      </c>
      <c r="I27" s="517">
        <v>199801.32</v>
      </c>
      <c r="J27" s="517">
        <v>0</v>
      </c>
      <c r="K27" s="373">
        <f t="shared" si="0"/>
        <v>99900.66</v>
      </c>
      <c r="L27" s="373">
        <f t="shared" si="1"/>
        <v>49950.33</v>
      </c>
    </row>
    <row r="28" spans="1:12" ht="13.8">
      <c r="A28" s="525">
        <v>29</v>
      </c>
      <c r="B28" s="575" t="s">
        <v>1577</v>
      </c>
      <c r="C28" s="575" t="s">
        <v>1578</v>
      </c>
      <c r="D28" s="577" t="str">
        <f t="shared" si="2"/>
        <v>ER16-1774</v>
      </c>
      <c r="E28" s="574">
        <v>0.5</v>
      </c>
      <c r="F28" s="579">
        <v>13</v>
      </c>
      <c r="G28" s="580">
        <v>42522</v>
      </c>
      <c r="H28" s="580">
        <v>42583</v>
      </c>
      <c r="I28" s="517">
        <v>151654.26</v>
      </c>
      <c r="J28" s="517">
        <v>0</v>
      </c>
      <c r="K28" s="373">
        <f t="shared" si="0"/>
        <v>75827.13</v>
      </c>
      <c r="L28" s="373">
        <f t="shared" si="1"/>
        <v>37913.565000000002</v>
      </c>
    </row>
    <row r="29" spans="1:12" ht="13.8">
      <c r="A29" s="525">
        <v>30</v>
      </c>
      <c r="B29" s="575" t="s">
        <v>1579</v>
      </c>
      <c r="C29" s="575" t="s">
        <v>1580</v>
      </c>
      <c r="D29" s="577" t="str">
        <f t="shared" si="2"/>
        <v>ER16-1774</v>
      </c>
      <c r="E29" s="574">
        <v>0.5</v>
      </c>
      <c r="F29" s="579">
        <v>13</v>
      </c>
      <c r="G29" s="580">
        <v>41927</v>
      </c>
      <c r="H29" s="580">
        <v>42061</v>
      </c>
      <c r="I29" s="517">
        <v>1799162</v>
      </c>
      <c r="J29" s="517">
        <v>6705</v>
      </c>
      <c r="K29" s="373">
        <f t="shared" si="0"/>
        <v>902933.5</v>
      </c>
      <c r="L29" s="373">
        <f t="shared" si="1"/>
        <v>451466.75</v>
      </c>
    </row>
    <row r="30" spans="1:12" ht="13.8">
      <c r="A30" s="525">
        <v>32</v>
      </c>
      <c r="B30" s="575" t="s">
        <v>1583</v>
      </c>
      <c r="C30" s="575" t="s">
        <v>1584</v>
      </c>
      <c r="D30" s="577" t="str">
        <f t="shared" si="2"/>
        <v>ER16-1774</v>
      </c>
      <c r="E30" s="574">
        <v>0.5</v>
      </c>
      <c r="F30" s="579">
        <v>13</v>
      </c>
      <c r="G30" s="580">
        <v>42522</v>
      </c>
      <c r="H30" s="580">
        <v>42552</v>
      </c>
      <c r="I30" s="517">
        <v>1374.57</v>
      </c>
      <c r="J30" s="517">
        <v>21515.1</v>
      </c>
      <c r="K30" s="373">
        <f t="shared" ref="K30:K80" si="3">SUM(I30:J30)/2</f>
        <v>11444.834999999999</v>
      </c>
      <c r="L30" s="373">
        <f t="shared" si="1"/>
        <v>5722.4174999999996</v>
      </c>
    </row>
    <row r="31" spans="1:12" ht="13.8">
      <c r="A31" s="525">
        <v>33</v>
      </c>
      <c r="B31" s="575" t="s">
        <v>1585</v>
      </c>
      <c r="C31" s="575" t="s">
        <v>1586</v>
      </c>
      <c r="D31" s="577" t="str">
        <f t="shared" si="2"/>
        <v>ER16-1774</v>
      </c>
      <c r="E31" s="574">
        <v>0.5</v>
      </c>
      <c r="F31" s="579">
        <v>13</v>
      </c>
      <c r="G31" s="580">
        <v>42078</v>
      </c>
      <c r="H31" s="580">
        <v>42170</v>
      </c>
      <c r="I31" s="517">
        <v>237188.03</v>
      </c>
      <c r="J31" s="517">
        <v>0</v>
      </c>
      <c r="K31" s="373">
        <f t="shared" si="3"/>
        <v>118594.015</v>
      </c>
      <c r="L31" s="373">
        <f t="shared" si="1"/>
        <v>59297.0075</v>
      </c>
    </row>
    <row r="32" spans="1:12" ht="13.8">
      <c r="A32" s="525">
        <v>34</v>
      </c>
      <c r="B32" s="575" t="s">
        <v>1587</v>
      </c>
      <c r="C32" s="575" t="s">
        <v>1588</v>
      </c>
      <c r="D32" s="577" t="str">
        <f t="shared" si="2"/>
        <v>ER16-1774</v>
      </c>
      <c r="E32" s="574">
        <v>0.5</v>
      </c>
      <c r="F32" s="579">
        <v>13</v>
      </c>
      <c r="G32" s="580">
        <v>42171</v>
      </c>
      <c r="H32" s="580">
        <v>42306</v>
      </c>
      <c r="I32" s="517">
        <v>3564638.99</v>
      </c>
      <c r="J32" s="517">
        <v>0</v>
      </c>
      <c r="K32" s="373">
        <f t="shared" si="3"/>
        <v>1782319.4950000001</v>
      </c>
      <c r="L32" s="373">
        <f t="shared" si="1"/>
        <v>891159.74750000006</v>
      </c>
    </row>
    <row r="33" spans="1:12" ht="13.8">
      <c r="A33" s="525">
        <v>35</v>
      </c>
      <c r="B33" s="575" t="s">
        <v>1589</v>
      </c>
      <c r="C33" s="575" t="s">
        <v>1590</v>
      </c>
      <c r="D33" s="577" t="str">
        <f t="shared" si="2"/>
        <v>ER16-1774</v>
      </c>
      <c r="E33" s="574">
        <v>0.5</v>
      </c>
      <c r="F33" s="579">
        <v>13</v>
      </c>
      <c r="G33" s="580">
        <v>42186</v>
      </c>
      <c r="H33" s="580">
        <v>42306</v>
      </c>
      <c r="I33" s="517">
        <v>795187.98</v>
      </c>
      <c r="J33" s="517">
        <v>1466.5</v>
      </c>
      <c r="K33" s="373">
        <f t="shared" si="3"/>
        <v>398327.24</v>
      </c>
      <c r="L33" s="373">
        <f t="shared" si="1"/>
        <v>199163.62</v>
      </c>
    </row>
    <row r="34" spans="1:12" ht="13.8">
      <c r="A34" s="525">
        <v>38</v>
      </c>
      <c r="B34" s="575" t="s">
        <v>1591</v>
      </c>
      <c r="C34" s="575" t="s">
        <v>1592</v>
      </c>
      <c r="D34" s="577" t="str">
        <f t="shared" si="2"/>
        <v>ER16-1774</v>
      </c>
      <c r="E34" s="574">
        <v>0.5</v>
      </c>
      <c r="F34" s="579">
        <v>13</v>
      </c>
      <c r="G34" s="580">
        <v>42064</v>
      </c>
      <c r="H34" s="580">
        <v>42222</v>
      </c>
      <c r="I34" s="517">
        <v>69253</v>
      </c>
      <c r="J34" s="517">
        <v>0</v>
      </c>
      <c r="K34" s="373">
        <f t="shared" si="3"/>
        <v>34626.5</v>
      </c>
      <c r="L34" s="373">
        <f t="shared" si="1"/>
        <v>17313.25</v>
      </c>
    </row>
    <row r="35" spans="1:12" ht="13.8">
      <c r="A35" s="525">
        <v>39</v>
      </c>
      <c r="B35" s="575" t="s">
        <v>1593</v>
      </c>
      <c r="C35" s="575" t="s">
        <v>1594</v>
      </c>
      <c r="D35" s="577" t="str">
        <f t="shared" si="2"/>
        <v>ER16-1774</v>
      </c>
      <c r="E35" s="574">
        <v>0.5</v>
      </c>
      <c r="F35" s="579">
        <v>13</v>
      </c>
      <c r="G35" s="580">
        <v>41640</v>
      </c>
      <c r="H35" s="580">
        <v>42004</v>
      </c>
      <c r="I35" s="517">
        <v>17289</v>
      </c>
      <c r="J35" s="517">
        <v>17289.39</v>
      </c>
      <c r="K35" s="373">
        <f t="shared" si="3"/>
        <v>17289.195</v>
      </c>
      <c r="L35" s="373">
        <f t="shared" si="1"/>
        <v>8644.5974999999999</v>
      </c>
    </row>
    <row r="36" spans="1:12" ht="13.8">
      <c r="A36" s="525">
        <v>40</v>
      </c>
      <c r="B36" s="575" t="s">
        <v>1595</v>
      </c>
      <c r="C36" s="575" t="s">
        <v>1596</v>
      </c>
      <c r="D36" s="577" t="str">
        <f t="shared" si="2"/>
        <v>ER16-1774</v>
      </c>
      <c r="E36" s="574">
        <v>0.5</v>
      </c>
      <c r="F36" s="579">
        <v>13</v>
      </c>
      <c r="G36" s="580">
        <v>41955</v>
      </c>
      <c r="H36" s="580">
        <v>42061</v>
      </c>
      <c r="I36" s="517">
        <v>330827</v>
      </c>
      <c r="J36" s="517">
        <v>0</v>
      </c>
      <c r="K36" s="373">
        <f t="shared" si="3"/>
        <v>165413.5</v>
      </c>
      <c r="L36" s="373">
        <f t="shared" si="1"/>
        <v>82706.75</v>
      </c>
    </row>
    <row r="37" spans="1:12" ht="13.8">
      <c r="A37" s="525">
        <v>41</v>
      </c>
      <c r="B37" s="575" t="s">
        <v>1597</v>
      </c>
      <c r="C37" s="575" t="s">
        <v>1598</v>
      </c>
      <c r="D37" s="577" t="str">
        <f t="shared" si="2"/>
        <v>ER16-1774</v>
      </c>
      <c r="E37" s="574">
        <v>0.5</v>
      </c>
      <c r="F37" s="579">
        <v>13</v>
      </c>
      <c r="G37" s="580">
        <v>41927</v>
      </c>
      <c r="H37" s="580">
        <v>41982</v>
      </c>
      <c r="I37" s="517">
        <v>134839</v>
      </c>
      <c r="J37" s="517">
        <v>0</v>
      </c>
      <c r="K37" s="373">
        <f t="shared" si="3"/>
        <v>67419.5</v>
      </c>
      <c r="L37" s="373">
        <f t="shared" si="1"/>
        <v>33709.75</v>
      </c>
    </row>
    <row r="38" spans="1:12" ht="13.8">
      <c r="A38" s="525">
        <v>42</v>
      </c>
      <c r="B38" s="575" t="s">
        <v>1599</v>
      </c>
      <c r="C38" s="575" t="s">
        <v>1600</v>
      </c>
      <c r="D38" s="577" t="str">
        <f t="shared" si="2"/>
        <v>ER16-1774</v>
      </c>
      <c r="E38" s="574">
        <v>0.5</v>
      </c>
      <c r="F38" s="579">
        <v>13</v>
      </c>
      <c r="G38" s="580">
        <v>42095</v>
      </c>
      <c r="H38" s="580">
        <v>42284</v>
      </c>
      <c r="I38" s="517">
        <v>183669.47</v>
      </c>
      <c r="J38" s="517">
        <v>304701.40000000002</v>
      </c>
      <c r="K38" s="373">
        <f t="shared" si="3"/>
        <v>244185.435</v>
      </c>
      <c r="L38" s="373">
        <f t="shared" si="1"/>
        <v>122092.7175</v>
      </c>
    </row>
    <row r="39" spans="1:12" ht="13.8">
      <c r="A39" s="525">
        <v>43</v>
      </c>
      <c r="B39" s="575" t="s">
        <v>1601</v>
      </c>
      <c r="C39" s="575" t="s">
        <v>1602</v>
      </c>
      <c r="D39" s="577" t="str">
        <f t="shared" si="2"/>
        <v>ER16-1774</v>
      </c>
      <c r="E39" s="574">
        <v>0.5</v>
      </c>
      <c r="F39" s="579">
        <v>13</v>
      </c>
      <c r="G39" s="580">
        <v>42143</v>
      </c>
      <c r="H39" s="580">
        <v>42444</v>
      </c>
      <c r="I39" s="517">
        <v>456825.99</v>
      </c>
      <c r="J39" s="517">
        <v>0</v>
      </c>
      <c r="K39" s="373">
        <f t="shared" si="3"/>
        <v>228412.995</v>
      </c>
      <c r="L39" s="373">
        <f t="shared" si="1"/>
        <v>114206.4975</v>
      </c>
    </row>
    <row r="40" spans="1:12" ht="13.8">
      <c r="A40" s="525">
        <v>44</v>
      </c>
      <c r="B40" s="575" t="s">
        <v>1603</v>
      </c>
      <c r="C40" s="575" t="s">
        <v>1604</v>
      </c>
      <c r="D40" s="577" t="str">
        <f t="shared" si="2"/>
        <v>ER16-1774</v>
      </c>
      <c r="E40" s="574">
        <v>0.5</v>
      </c>
      <c r="F40" s="579">
        <v>13</v>
      </c>
      <c r="G40" s="580">
        <v>42004</v>
      </c>
      <c r="H40" s="580">
        <v>42073</v>
      </c>
      <c r="I40" s="517">
        <v>189773.93</v>
      </c>
      <c r="J40" s="517">
        <v>0</v>
      </c>
      <c r="K40" s="373">
        <f t="shared" si="3"/>
        <v>94886.964999999997</v>
      </c>
      <c r="L40" s="373">
        <f t="shared" si="1"/>
        <v>47443.482499999998</v>
      </c>
    </row>
    <row r="41" spans="1:12" ht="13.8">
      <c r="A41" s="525">
        <v>46</v>
      </c>
      <c r="B41" s="575" t="s">
        <v>1605</v>
      </c>
      <c r="C41" s="575" t="s">
        <v>1606</v>
      </c>
      <c r="D41" s="577" t="str">
        <f t="shared" si="2"/>
        <v>ER16-1774</v>
      </c>
      <c r="E41" s="574">
        <v>0.5</v>
      </c>
      <c r="F41" s="579">
        <v>13</v>
      </c>
      <c r="G41" s="580">
        <v>42461</v>
      </c>
      <c r="H41" s="580">
        <v>42491</v>
      </c>
      <c r="I41" s="517">
        <v>115354.58</v>
      </c>
      <c r="J41" s="517">
        <v>1588.04</v>
      </c>
      <c r="K41" s="373">
        <f t="shared" si="3"/>
        <v>58471.31</v>
      </c>
      <c r="L41" s="373">
        <f t="shared" si="1"/>
        <v>29235.654999999999</v>
      </c>
    </row>
    <row r="42" spans="1:12" ht="13.8">
      <c r="A42" s="525">
        <v>47</v>
      </c>
      <c r="B42" s="575" t="s">
        <v>1607</v>
      </c>
      <c r="C42" s="575" t="s">
        <v>1608</v>
      </c>
      <c r="D42" s="577" t="str">
        <f t="shared" si="2"/>
        <v>ER16-1774</v>
      </c>
      <c r="E42" s="574">
        <v>0.5</v>
      </c>
      <c r="F42" s="579">
        <v>13</v>
      </c>
      <c r="G42" s="580">
        <v>42309</v>
      </c>
      <c r="H42" s="580">
        <v>42323</v>
      </c>
      <c r="I42" s="517">
        <v>38888.019999999997</v>
      </c>
      <c r="J42" s="517">
        <v>0</v>
      </c>
      <c r="K42" s="373">
        <f t="shared" si="3"/>
        <v>19444.009999999998</v>
      </c>
      <c r="L42" s="373">
        <f t="shared" si="1"/>
        <v>9722.0049999999992</v>
      </c>
    </row>
    <row r="43" spans="1:12" ht="13.8">
      <c r="A43" s="525">
        <v>48</v>
      </c>
      <c r="B43" s="575" t="s">
        <v>1609</v>
      </c>
      <c r="C43" s="575" t="s">
        <v>1610</v>
      </c>
      <c r="D43" s="577" t="str">
        <f t="shared" si="2"/>
        <v>ER16-1774</v>
      </c>
      <c r="E43" s="574">
        <v>0.5</v>
      </c>
      <c r="F43" s="579">
        <v>13</v>
      </c>
      <c r="G43" s="580">
        <v>42675</v>
      </c>
      <c r="H43" s="580">
        <v>42917</v>
      </c>
      <c r="I43" s="517">
        <v>790596.15</v>
      </c>
      <c r="J43" s="517">
        <v>1054828.47</v>
      </c>
      <c r="K43" s="373">
        <f t="shared" si="3"/>
        <v>922712.31</v>
      </c>
      <c r="L43" s="373">
        <f t="shared" si="1"/>
        <v>461356.15500000003</v>
      </c>
    </row>
    <row r="44" spans="1:12" ht="13.8">
      <c r="A44" s="525">
        <v>49</v>
      </c>
      <c r="B44" s="575" t="s">
        <v>1611</v>
      </c>
      <c r="C44" s="575" t="s">
        <v>1612</v>
      </c>
      <c r="D44" s="577" t="str">
        <f t="shared" si="2"/>
        <v>ER16-1774</v>
      </c>
      <c r="E44" s="574">
        <v>0.5</v>
      </c>
      <c r="F44" s="579">
        <v>13</v>
      </c>
      <c r="G44" s="580">
        <v>42464</v>
      </c>
      <c r="H44" s="580">
        <v>42689</v>
      </c>
      <c r="I44" s="517">
        <v>685084.7</v>
      </c>
      <c r="J44" s="517">
        <v>3516834.59</v>
      </c>
      <c r="K44" s="373">
        <f t="shared" si="3"/>
        <v>2100959.645</v>
      </c>
      <c r="L44" s="373">
        <f t="shared" si="1"/>
        <v>1050479.8225</v>
      </c>
    </row>
    <row r="45" spans="1:12" ht="13.8">
      <c r="A45" s="525">
        <v>52</v>
      </c>
      <c r="B45" s="575" t="s">
        <v>1617</v>
      </c>
      <c r="C45" s="575" t="s">
        <v>1618</v>
      </c>
      <c r="D45" s="577" t="str">
        <f t="shared" si="2"/>
        <v>ER16-1774</v>
      </c>
      <c r="E45" s="574">
        <v>0.5</v>
      </c>
      <c r="F45" s="579">
        <v>13</v>
      </c>
      <c r="G45" s="580">
        <v>41981</v>
      </c>
      <c r="H45" s="580">
        <v>42249</v>
      </c>
      <c r="I45" s="517">
        <v>0</v>
      </c>
      <c r="J45" s="517">
        <v>2000</v>
      </c>
      <c r="K45" s="373">
        <f t="shared" si="3"/>
        <v>1000</v>
      </c>
      <c r="L45" s="373">
        <f t="shared" si="1"/>
        <v>500</v>
      </c>
    </row>
    <row r="46" spans="1:12" ht="13.8">
      <c r="A46" s="525">
        <v>53</v>
      </c>
      <c r="B46" s="575" t="s">
        <v>1619</v>
      </c>
      <c r="C46" s="575" t="s">
        <v>1620</v>
      </c>
      <c r="D46" s="577" t="str">
        <f t="shared" si="2"/>
        <v>ER16-1774</v>
      </c>
      <c r="E46" s="574">
        <v>0.5</v>
      </c>
      <c r="F46" s="579">
        <v>13</v>
      </c>
      <c r="G46" s="580">
        <v>42491</v>
      </c>
      <c r="H46" s="580">
        <v>42736</v>
      </c>
      <c r="I46" s="517">
        <v>651184</v>
      </c>
      <c r="J46" s="517">
        <v>3931115.24</v>
      </c>
      <c r="K46" s="373">
        <f t="shared" si="3"/>
        <v>2291149.62</v>
      </c>
      <c r="L46" s="373">
        <f t="shared" si="1"/>
        <v>1145574.81</v>
      </c>
    </row>
    <row r="47" spans="1:12" ht="13.8">
      <c r="A47" s="525">
        <v>55</v>
      </c>
      <c r="B47" s="575" t="s">
        <v>1623</v>
      </c>
      <c r="C47" s="575" t="s">
        <v>1624</v>
      </c>
      <c r="D47" s="577" t="str">
        <f t="shared" si="2"/>
        <v>ER16-1774</v>
      </c>
      <c r="E47" s="574">
        <v>0.5</v>
      </c>
      <c r="F47" s="579">
        <v>13</v>
      </c>
      <c r="G47" s="580">
        <v>42064</v>
      </c>
      <c r="H47" s="580">
        <v>42475</v>
      </c>
      <c r="I47" s="517">
        <v>246514.28</v>
      </c>
      <c r="J47" s="517">
        <v>0</v>
      </c>
      <c r="K47" s="373">
        <f t="shared" si="3"/>
        <v>123257.14</v>
      </c>
      <c r="L47" s="373">
        <f t="shared" si="1"/>
        <v>61628.57</v>
      </c>
    </row>
    <row r="48" spans="1:12" ht="13.8">
      <c r="A48" s="525">
        <v>59</v>
      </c>
      <c r="B48" s="575" t="s">
        <v>1625</v>
      </c>
      <c r="C48" s="575" t="s">
        <v>1626</v>
      </c>
      <c r="D48" s="577" t="str">
        <f t="shared" si="2"/>
        <v>ER16-1774</v>
      </c>
      <c r="E48" s="574">
        <v>0.5</v>
      </c>
      <c r="F48" s="579">
        <v>13</v>
      </c>
      <c r="G48" s="580">
        <v>42006</v>
      </c>
      <c r="H48" s="580">
        <v>42369</v>
      </c>
      <c r="I48" s="517">
        <v>1837406.32</v>
      </c>
      <c r="J48" s="517">
        <v>0</v>
      </c>
      <c r="K48" s="373">
        <f t="shared" si="3"/>
        <v>918703.16</v>
      </c>
      <c r="L48" s="373">
        <f t="shared" si="1"/>
        <v>459351.58</v>
      </c>
    </row>
    <row r="49" spans="1:12" ht="13.8">
      <c r="A49" s="525">
        <v>60</v>
      </c>
      <c r="B49" s="575" t="s">
        <v>1627</v>
      </c>
      <c r="C49" s="575" t="s">
        <v>1628</v>
      </c>
      <c r="D49" s="577" t="str">
        <f t="shared" si="2"/>
        <v>ER16-1774</v>
      </c>
      <c r="E49" s="574">
        <v>0.5</v>
      </c>
      <c r="F49" s="579">
        <v>13</v>
      </c>
      <c r="G49" s="580">
        <v>42278</v>
      </c>
      <c r="H49" s="580">
        <v>42327</v>
      </c>
      <c r="I49" s="517">
        <v>7333.76</v>
      </c>
      <c r="J49" s="517">
        <v>7333.76</v>
      </c>
      <c r="K49" s="373">
        <f t="shared" si="3"/>
        <v>7333.76</v>
      </c>
      <c r="L49" s="373">
        <f t="shared" si="1"/>
        <v>3666.88</v>
      </c>
    </row>
    <row r="50" spans="1:12" ht="13.8">
      <c r="A50" s="525">
        <v>62</v>
      </c>
      <c r="B50" s="575" t="s">
        <v>1631</v>
      </c>
      <c r="C50" s="575" t="s">
        <v>1632</v>
      </c>
      <c r="D50" s="577" t="str">
        <f t="shared" si="2"/>
        <v>ER16-1774</v>
      </c>
      <c r="E50" s="574">
        <v>0.5</v>
      </c>
      <c r="F50" s="579">
        <v>13</v>
      </c>
      <c r="G50" s="580">
        <v>42522</v>
      </c>
      <c r="H50" s="580">
        <v>42644</v>
      </c>
      <c r="I50" s="517">
        <v>396539.02</v>
      </c>
      <c r="J50" s="517">
        <v>555261.21</v>
      </c>
      <c r="K50" s="373">
        <f t="shared" si="3"/>
        <v>475900.11499999999</v>
      </c>
      <c r="L50" s="373">
        <f t="shared" si="1"/>
        <v>237950.0575</v>
      </c>
    </row>
    <row r="51" spans="1:12" ht="13.8">
      <c r="A51" s="525">
        <v>63</v>
      </c>
      <c r="B51" s="575" t="s">
        <v>1633</v>
      </c>
      <c r="C51" s="575" t="s">
        <v>1634</v>
      </c>
      <c r="D51" s="577" t="str">
        <f t="shared" si="2"/>
        <v>ER16-1774</v>
      </c>
      <c r="E51" s="574">
        <v>0.5</v>
      </c>
      <c r="F51" s="579">
        <v>13</v>
      </c>
      <c r="G51" s="580">
        <v>42675</v>
      </c>
      <c r="H51" s="580">
        <v>42826</v>
      </c>
      <c r="I51" s="517">
        <v>346657.42</v>
      </c>
      <c r="J51" s="517">
        <v>0</v>
      </c>
      <c r="K51" s="373">
        <f t="shared" si="3"/>
        <v>173328.71</v>
      </c>
      <c r="L51" s="373">
        <f t="shared" si="1"/>
        <v>86664.354999999996</v>
      </c>
    </row>
    <row r="52" spans="1:12" ht="13.8">
      <c r="A52" s="525">
        <v>64</v>
      </c>
      <c r="B52" s="575" t="s">
        <v>1635</v>
      </c>
      <c r="C52" s="575" t="s">
        <v>1636</v>
      </c>
      <c r="D52" s="577" t="str">
        <f t="shared" si="2"/>
        <v>ER16-1774</v>
      </c>
      <c r="E52" s="574">
        <v>0.5</v>
      </c>
      <c r="F52" s="579">
        <v>13</v>
      </c>
      <c r="G52" s="580">
        <v>42552</v>
      </c>
      <c r="H52" s="580">
        <v>42614</v>
      </c>
      <c r="I52" s="517">
        <v>193105.85</v>
      </c>
      <c r="J52" s="517">
        <v>703494.82</v>
      </c>
      <c r="K52" s="373">
        <f t="shared" si="3"/>
        <v>448300.33499999996</v>
      </c>
      <c r="L52" s="373">
        <f t="shared" si="1"/>
        <v>224150.16749999998</v>
      </c>
    </row>
    <row r="53" spans="1:12" ht="13.8">
      <c r="A53" s="525">
        <v>65</v>
      </c>
      <c r="B53" s="575" t="s">
        <v>1637</v>
      </c>
      <c r="C53" s="575" t="s">
        <v>1638</v>
      </c>
      <c r="D53" s="577" t="str">
        <f t="shared" si="2"/>
        <v>ER16-1774</v>
      </c>
      <c r="E53" s="574">
        <v>0.5</v>
      </c>
      <c r="F53" s="579">
        <v>13</v>
      </c>
      <c r="G53" s="580">
        <v>42278</v>
      </c>
      <c r="H53" s="580">
        <v>42345</v>
      </c>
      <c r="I53" s="517">
        <v>-201690.69</v>
      </c>
      <c r="J53" s="517">
        <v>-202391.23</v>
      </c>
      <c r="K53" s="373">
        <f t="shared" si="3"/>
        <v>-202040.96000000002</v>
      </c>
      <c r="L53" s="373">
        <f t="shared" si="1"/>
        <v>-101020.48000000001</v>
      </c>
    </row>
    <row r="54" spans="1:12" ht="13.8">
      <c r="A54" s="525">
        <v>66</v>
      </c>
      <c r="B54" s="578" t="s">
        <v>1639</v>
      </c>
      <c r="C54" s="575" t="s">
        <v>1640</v>
      </c>
      <c r="D54" s="577" t="str">
        <f t="shared" si="2"/>
        <v>ER16-1774</v>
      </c>
      <c r="E54" s="574">
        <v>0.5</v>
      </c>
      <c r="F54" s="579">
        <v>13</v>
      </c>
      <c r="G54" s="580">
        <v>42522</v>
      </c>
      <c r="H54" s="580">
        <v>42552</v>
      </c>
      <c r="I54" s="517">
        <v>45644.85</v>
      </c>
      <c r="J54" s="517">
        <v>113571.92</v>
      </c>
      <c r="K54" s="373">
        <f t="shared" si="3"/>
        <v>79608.384999999995</v>
      </c>
      <c r="L54" s="373">
        <f t="shared" ref="L54:L95" si="4">K54*E54</f>
        <v>39804.192499999997</v>
      </c>
    </row>
    <row r="55" spans="1:12" ht="13.8">
      <c r="A55" s="525">
        <v>67</v>
      </c>
      <c r="B55" s="578" t="s">
        <v>1641</v>
      </c>
      <c r="C55" s="575" t="s">
        <v>1642</v>
      </c>
      <c r="D55" s="577" t="str">
        <f t="shared" si="2"/>
        <v>ER16-1774</v>
      </c>
      <c r="E55" s="574">
        <v>0.5</v>
      </c>
      <c r="F55" s="579">
        <v>13</v>
      </c>
      <c r="G55" s="580">
        <v>41944</v>
      </c>
      <c r="H55" s="580">
        <v>41964</v>
      </c>
      <c r="I55" s="517">
        <v>46319</v>
      </c>
      <c r="J55" s="517">
        <v>101693.53</v>
      </c>
      <c r="K55" s="373">
        <f t="shared" si="3"/>
        <v>74006.264999999999</v>
      </c>
      <c r="L55" s="373">
        <f t="shared" si="4"/>
        <v>37003.1325</v>
      </c>
    </row>
    <row r="56" spans="1:12" ht="13.8">
      <c r="A56" s="525">
        <v>68</v>
      </c>
      <c r="B56" s="575" t="s">
        <v>1643</v>
      </c>
      <c r="C56" s="575" t="s">
        <v>1644</v>
      </c>
      <c r="D56" s="577" t="str">
        <f t="shared" si="2"/>
        <v>ER16-1774</v>
      </c>
      <c r="E56" s="574">
        <v>0.5</v>
      </c>
      <c r="F56" s="579">
        <v>13</v>
      </c>
      <c r="G56" s="580">
        <v>42005</v>
      </c>
      <c r="H56" s="580">
        <v>42369</v>
      </c>
      <c r="I56" s="517">
        <v>764324.29</v>
      </c>
      <c r="J56" s="517">
        <v>0</v>
      </c>
      <c r="K56" s="373">
        <f t="shared" si="3"/>
        <v>382162.14500000002</v>
      </c>
      <c r="L56" s="373">
        <f t="shared" si="4"/>
        <v>191081.07250000001</v>
      </c>
    </row>
    <row r="57" spans="1:12" ht="13.8">
      <c r="A57" s="525">
        <v>69</v>
      </c>
      <c r="B57" s="575" t="s">
        <v>1645</v>
      </c>
      <c r="C57" s="575" t="s">
        <v>1646</v>
      </c>
      <c r="D57" s="577" t="str">
        <f t="shared" si="2"/>
        <v>ER16-1774</v>
      </c>
      <c r="E57" s="574">
        <v>0.5</v>
      </c>
      <c r="F57" s="579">
        <v>13</v>
      </c>
      <c r="G57" s="580">
        <v>42005</v>
      </c>
      <c r="H57" s="580">
        <v>42369</v>
      </c>
      <c r="I57" s="517">
        <v>894111.21</v>
      </c>
      <c r="J57" s="517">
        <v>0</v>
      </c>
      <c r="K57" s="373">
        <f t="shared" si="3"/>
        <v>447055.60499999998</v>
      </c>
      <c r="L57" s="373">
        <f t="shared" si="4"/>
        <v>223527.80249999999</v>
      </c>
    </row>
    <row r="58" spans="1:12" ht="13.8">
      <c r="A58" s="525">
        <v>70</v>
      </c>
      <c r="B58" s="575" t="s">
        <v>1647</v>
      </c>
      <c r="C58" s="575" t="s">
        <v>1648</v>
      </c>
      <c r="D58" s="577" t="str">
        <f t="shared" si="2"/>
        <v>ER16-1774</v>
      </c>
      <c r="E58" s="574">
        <v>0.5</v>
      </c>
      <c r="F58" s="579">
        <v>13</v>
      </c>
      <c r="G58" s="580">
        <v>42948</v>
      </c>
      <c r="H58" s="580">
        <v>43009</v>
      </c>
      <c r="I58" s="517">
        <v>1082.42</v>
      </c>
      <c r="J58" s="517">
        <v>1126.6099999999999</v>
      </c>
      <c r="K58" s="373">
        <f t="shared" si="3"/>
        <v>1104.5149999999999</v>
      </c>
      <c r="L58" s="373">
        <f t="shared" si="4"/>
        <v>552.25749999999994</v>
      </c>
    </row>
    <row r="59" spans="1:12" ht="13.8">
      <c r="A59" s="525">
        <v>71</v>
      </c>
      <c r="B59" s="575" t="s">
        <v>1649</v>
      </c>
      <c r="C59" s="575" t="s">
        <v>1650</v>
      </c>
      <c r="D59" s="577" t="str">
        <f t="shared" si="2"/>
        <v>ER16-1774</v>
      </c>
      <c r="E59" s="574">
        <v>0.5</v>
      </c>
      <c r="F59" s="579">
        <v>13</v>
      </c>
      <c r="G59" s="580">
        <v>42005</v>
      </c>
      <c r="H59" s="580">
        <v>42369</v>
      </c>
      <c r="I59" s="517">
        <v>443781.2</v>
      </c>
      <c r="J59" s="517">
        <v>445595.25</v>
      </c>
      <c r="K59" s="373">
        <f t="shared" si="3"/>
        <v>444688.22499999998</v>
      </c>
      <c r="L59" s="373">
        <f t="shared" si="4"/>
        <v>222344.11249999999</v>
      </c>
    </row>
    <row r="60" spans="1:12" ht="13.8">
      <c r="A60" s="525">
        <v>72</v>
      </c>
      <c r="B60" s="575" t="s">
        <v>1651</v>
      </c>
      <c r="C60" s="575" t="s">
        <v>1652</v>
      </c>
      <c r="D60" s="577" t="str">
        <f t="shared" si="2"/>
        <v>ER16-1774</v>
      </c>
      <c r="E60" s="574">
        <v>0.5</v>
      </c>
      <c r="F60" s="579">
        <v>13</v>
      </c>
      <c r="G60" s="580">
        <v>42491</v>
      </c>
      <c r="H60" s="580">
        <v>42705</v>
      </c>
      <c r="I60" s="517">
        <v>384889.81</v>
      </c>
      <c r="J60" s="517">
        <v>722698.73</v>
      </c>
      <c r="K60" s="373">
        <f t="shared" si="3"/>
        <v>553794.27</v>
      </c>
      <c r="L60" s="373">
        <f t="shared" si="4"/>
        <v>276897.13500000001</v>
      </c>
    </row>
    <row r="61" spans="1:12" ht="13.8">
      <c r="A61" s="525">
        <v>73</v>
      </c>
      <c r="B61" s="575" t="s">
        <v>1653</v>
      </c>
      <c r="C61" s="575" t="s">
        <v>1654</v>
      </c>
      <c r="D61" s="577" t="str">
        <f t="shared" si="2"/>
        <v>ER16-1774</v>
      </c>
      <c r="E61" s="574">
        <v>0.5</v>
      </c>
      <c r="F61" s="579">
        <v>13</v>
      </c>
      <c r="G61" s="580">
        <v>42309</v>
      </c>
      <c r="H61" s="580">
        <v>42348</v>
      </c>
      <c r="I61" s="517">
        <v>223085.72</v>
      </c>
      <c r="J61" s="517">
        <v>2000</v>
      </c>
      <c r="K61" s="373">
        <f t="shared" si="3"/>
        <v>112542.86</v>
      </c>
      <c r="L61" s="373">
        <f t="shared" si="4"/>
        <v>56271.43</v>
      </c>
    </row>
    <row r="62" spans="1:12" ht="13.8">
      <c r="A62" s="525">
        <v>74</v>
      </c>
      <c r="B62" s="575" t="s">
        <v>1655</v>
      </c>
      <c r="C62" s="575" t="s">
        <v>1656</v>
      </c>
      <c r="D62" s="577" t="str">
        <f t="shared" si="2"/>
        <v>ER16-1774</v>
      </c>
      <c r="E62" s="574">
        <v>0.5</v>
      </c>
      <c r="F62" s="579">
        <v>13</v>
      </c>
      <c r="G62" s="580">
        <v>42130</v>
      </c>
      <c r="H62" s="580">
        <v>42306</v>
      </c>
      <c r="I62" s="517">
        <v>-129505.08</v>
      </c>
      <c r="J62" s="517">
        <v>0</v>
      </c>
      <c r="K62" s="373">
        <f t="shared" si="3"/>
        <v>-64752.54</v>
      </c>
      <c r="L62" s="373">
        <f t="shared" si="4"/>
        <v>-32376.27</v>
      </c>
    </row>
    <row r="63" spans="1:12" ht="13.8">
      <c r="A63" s="525">
        <v>75</v>
      </c>
      <c r="B63" s="575" t="s">
        <v>1657</v>
      </c>
      <c r="C63" s="575" t="s">
        <v>1658</v>
      </c>
      <c r="D63" s="577" t="str">
        <f t="shared" si="2"/>
        <v>ER16-1774</v>
      </c>
      <c r="E63" s="574">
        <v>0.5</v>
      </c>
      <c r="F63" s="579">
        <v>13</v>
      </c>
      <c r="G63" s="580">
        <v>42130</v>
      </c>
      <c r="H63" s="580">
        <v>42306</v>
      </c>
      <c r="I63" s="517">
        <v>-61853.22</v>
      </c>
      <c r="J63" s="517">
        <v>0</v>
      </c>
      <c r="K63" s="373">
        <f t="shared" si="3"/>
        <v>-30926.61</v>
      </c>
      <c r="L63" s="373">
        <f t="shared" si="4"/>
        <v>-15463.305</v>
      </c>
    </row>
    <row r="64" spans="1:12" ht="13.8">
      <c r="A64" s="525">
        <v>76</v>
      </c>
      <c r="B64" s="575" t="s">
        <v>1659</v>
      </c>
      <c r="C64" s="575" t="s">
        <v>1660</v>
      </c>
      <c r="D64" s="577" t="str">
        <f t="shared" si="2"/>
        <v>ER16-1774</v>
      </c>
      <c r="E64" s="574">
        <v>0.5</v>
      </c>
      <c r="F64" s="579">
        <v>13</v>
      </c>
      <c r="G64" s="580">
        <v>42442</v>
      </c>
      <c r="H64" s="580">
        <v>42736</v>
      </c>
      <c r="I64" s="517">
        <v>170506.41</v>
      </c>
      <c r="J64" s="517">
        <v>406297.17</v>
      </c>
      <c r="K64" s="373">
        <f t="shared" si="3"/>
        <v>288401.78999999998</v>
      </c>
      <c r="L64" s="373">
        <f t="shared" si="4"/>
        <v>144200.89499999999</v>
      </c>
    </row>
    <row r="65" spans="1:12" ht="13.8">
      <c r="A65" s="525">
        <v>77</v>
      </c>
      <c r="B65" s="575" t="s">
        <v>1661</v>
      </c>
      <c r="C65" s="575" t="s">
        <v>1662</v>
      </c>
      <c r="D65" s="577" t="str">
        <f t="shared" si="2"/>
        <v>ER16-1774</v>
      </c>
      <c r="E65" s="574">
        <v>0.5</v>
      </c>
      <c r="F65" s="579">
        <v>13</v>
      </c>
      <c r="G65" s="580">
        <v>42140</v>
      </c>
      <c r="H65" s="580">
        <v>42306</v>
      </c>
      <c r="I65" s="517">
        <v>-42998.38</v>
      </c>
      <c r="J65" s="517">
        <v>0</v>
      </c>
      <c r="K65" s="373">
        <f t="shared" si="3"/>
        <v>-21499.19</v>
      </c>
      <c r="L65" s="373">
        <f t="shared" si="4"/>
        <v>-10749.594999999999</v>
      </c>
    </row>
    <row r="66" spans="1:12" ht="13.8">
      <c r="A66" s="525">
        <v>78</v>
      </c>
      <c r="B66" s="575" t="s">
        <v>1663</v>
      </c>
      <c r="C66" s="575" t="s">
        <v>1664</v>
      </c>
      <c r="D66" s="577" t="str">
        <f t="shared" si="2"/>
        <v>ER16-1774</v>
      </c>
      <c r="E66" s="574">
        <v>0.5</v>
      </c>
      <c r="F66" s="579">
        <v>13</v>
      </c>
      <c r="G66" s="580">
        <v>42200</v>
      </c>
      <c r="H66" s="580">
        <v>42369</v>
      </c>
      <c r="I66" s="517">
        <v>7052.58</v>
      </c>
      <c r="J66" s="517">
        <v>0</v>
      </c>
      <c r="K66" s="373">
        <f t="shared" si="3"/>
        <v>3526.29</v>
      </c>
      <c r="L66" s="373">
        <f t="shared" si="4"/>
        <v>1763.145</v>
      </c>
    </row>
    <row r="67" spans="1:12" ht="13.8">
      <c r="A67" s="525">
        <v>79</v>
      </c>
      <c r="B67" s="575" t="s">
        <v>1665</v>
      </c>
      <c r="C67" s="575" t="s">
        <v>1666</v>
      </c>
      <c r="D67" s="577" t="str">
        <f t="shared" si="2"/>
        <v>ER16-1774</v>
      </c>
      <c r="E67" s="574">
        <v>0.5</v>
      </c>
      <c r="F67" s="579">
        <v>13</v>
      </c>
      <c r="G67" s="580">
        <v>42217</v>
      </c>
      <c r="H67" s="580">
        <v>42369</v>
      </c>
      <c r="I67" s="517">
        <v>5329.91</v>
      </c>
      <c r="J67" s="517">
        <v>0</v>
      </c>
      <c r="K67" s="373">
        <f t="shared" si="3"/>
        <v>2664.9549999999999</v>
      </c>
      <c r="L67" s="373">
        <f t="shared" si="4"/>
        <v>1332.4775</v>
      </c>
    </row>
    <row r="68" spans="1:12" ht="13.8">
      <c r="A68" s="525">
        <v>80</v>
      </c>
      <c r="B68" s="575" t="s">
        <v>1667</v>
      </c>
      <c r="C68" s="575" t="s">
        <v>1668</v>
      </c>
      <c r="D68" s="577" t="str">
        <f t="shared" si="2"/>
        <v>ER16-1774</v>
      </c>
      <c r="E68" s="574">
        <v>0.5</v>
      </c>
      <c r="F68" s="579">
        <v>13</v>
      </c>
      <c r="G68" s="580">
        <v>42217</v>
      </c>
      <c r="H68" s="580">
        <v>42369</v>
      </c>
      <c r="I68" s="517">
        <v>26407.85</v>
      </c>
      <c r="J68" s="517">
        <v>0</v>
      </c>
      <c r="K68" s="373">
        <f t="shared" si="3"/>
        <v>13203.924999999999</v>
      </c>
      <c r="L68" s="373">
        <f t="shared" si="4"/>
        <v>6601.9624999999996</v>
      </c>
    </row>
    <row r="69" spans="1:12" ht="13.8">
      <c r="A69" s="525">
        <v>81</v>
      </c>
      <c r="B69" s="575" t="s">
        <v>1669</v>
      </c>
      <c r="C69" s="575" t="s">
        <v>1670</v>
      </c>
      <c r="D69" s="577" t="str">
        <f t="shared" si="2"/>
        <v>ER16-1774</v>
      </c>
      <c r="E69" s="574">
        <v>0.5</v>
      </c>
      <c r="F69" s="579">
        <v>13</v>
      </c>
      <c r="G69" s="580">
        <v>42491</v>
      </c>
      <c r="H69" s="580">
        <v>42522</v>
      </c>
      <c r="I69" s="517">
        <v>1716.06</v>
      </c>
      <c r="J69" s="517">
        <v>17498.13</v>
      </c>
      <c r="K69" s="373">
        <f t="shared" si="3"/>
        <v>9607.0950000000012</v>
      </c>
      <c r="L69" s="373">
        <f t="shared" si="4"/>
        <v>4803.5475000000006</v>
      </c>
    </row>
    <row r="70" spans="1:12" ht="13.8">
      <c r="A70" s="525">
        <v>82</v>
      </c>
      <c r="B70" s="575" t="s">
        <v>1671</v>
      </c>
      <c r="C70" s="575" t="s">
        <v>1672</v>
      </c>
      <c r="D70" s="577" t="str">
        <f t="shared" si="2"/>
        <v>ER16-1774</v>
      </c>
      <c r="E70" s="574">
        <v>0.5</v>
      </c>
      <c r="F70" s="579">
        <v>13</v>
      </c>
      <c r="G70" s="580">
        <v>42461</v>
      </c>
      <c r="H70" s="580">
        <v>42522</v>
      </c>
      <c r="I70" s="517">
        <v>6004.34</v>
      </c>
      <c r="J70" s="517">
        <v>21102.13</v>
      </c>
      <c r="K70" s="373">
        <f t="shared" si="3"/>
        <v>13553.235000000001</v>
      </c>
      <c r="L70" s="373">
        <f t="shared" si="4"/>
        <v>6776.6175000000003</v>
      </c>
    </row>
    <row r="71" spans="1:12" ht="13.8">
      <c r="A71" s="525">
        <v>83</v>
      </c>
      <c r="B71" s="575" t="s">
        <v>1673</v>
      </c>
      <c r="C71" s="575" t="s">
        <v>1674</v>
      </c>
      <c r="D71" s="577" t="str">
        <f t="shared" si="2"/>
        <v>ER16-1774</v>
      </c>
      <c r="E71" s="574">
        <v>0.5</v>
      </c>
      <c r="F71" s="579">
        <v>13</v>
      </c>
      <c r="G71" s="580">
        <v>42461</v>
      </c>
      <c r="H71" s="580">
        <v>42522</v>
      </c>
      <c r="I71" s="517">
        <v>10832.15</v>
      </c>
      <c r="J71" s="517">
        <v>25267.56</v>
      </c>
      <c r="K71" s="373">
        <f t="shared" si="3"/>
        <v>18049.855</v>
      </c>
      <c r="L71" s="373">
        <f t="shared" si="4"/>
        <v>9024.9274999999998</v>
      </c>
    </row>
    <row r="72" spans="1:12" ht="13.8">
      <c r="A72" s="525">
        <v>84</v>
      </c>
      <c r="B72" s="575" t="s">
        <v>1675</v>
      </c>
      <c r="C72" s="575" t="s">
        <v>1676</v>
      </c>
      <c r="D72" s="577" t="str">
        <f t="shared" si="2"/>
        <v>ER16-1774</v>
      </c>
      <c r="E72" s="574">
        <v>0.5</v>
      </c>
      <c r="F72" s="579">
        <v>13</v>
      </c>
      <c r="G72" s="580">
        <v>42736</v>
      </c>
      <c r="H72" s="580">
        <v>42856</v>
      </c>
      <c r="I72" s="517">
        <v>10796.98</v>
      </c>
      <c r="J72" s="517">
        <v>331539.39</v>
      </c>
      <c r="K72" s="373">
        <f t="shared" si="3"/>
        <v>171168.185</v>
      </c>
      <c r="L72" s="373">
        <f t="shared" si="4"/>
        <v>85584.092499999999</v>
      </c>
    </row>
    <row r="73" spans="1:12" ht="13.8">
      <c r="A73" s="525">
        <v>85</v>
      </c>
      <c r="B73" s="575" t="s">
        <v>1677</v>
      </c>
      <c r="C73" s="575" t="s">
        <v>1678</v>
      </c>
      <c r="D73" s="577" t="str">
        <f t="shared" si="2"/>
        <v>ER16-1774</v>
      </c>
      <c r="E73" s="574">
        <v>0.5</v>
      </c>
      <c r="F73" s="579">
        <v>13</v>
      </c>
      <c r="G73" s="580">
        <v>42309</v>
      </c>
      <c r="H73" s="580">
        <v>42320</v>
      </c>
      <c r="I73" s="517">
        <v>15828.17</v>
      </c>
      <c r="J73" s="517"/>
      <c r="K73" s="373">
        <f t="shared" si="3"/>
        <v>7914.085</v>
      </c>
      <c r="L73" s="373">
        <f t="shared" si="4"/>
        <v>3957.0425</v>
      </c>
    </row>
    <row r="74" spans="1:12" ht="13.8">
      <c r="A74" s="525">
        <v>86</v>
      </c>
      <c r="B74" s="578" t="s">
        <v>1691</v>
      </c>
      <c r="C74" s="575" t="s">
        <v>1692</v>
      </c>
      <c r="D74" s="577" t="str">
        <f t="shared" si="2"/>
        <v>ER16-1774</v>
      </c>
      <c r="E74" s="574">
        <v>0.5</v>
      </c>
      <c r="F74" s="579">
        <v>13</v>
      </c>
      <c r="G74" s="580">
        <v>42370</v>
      </c>
      <c r="H74" s="580">
        <v>42735</v>
      </c>
      <c r="I74" s="517">
        <v>0</v>
      </c>
      <c r="J74" s="517">
        <v>1047961.53</v>
      </c>
      <c r="K74" s="373">
        <f t="shared" si="3"/>
        <v>523980.76500000001</v>
      </c>
      <c r="L74" s="373">
        <f t="shared" si="4"/>
        <v>261990.38250000001</v>
      </c>
    </row>
    <row r="75" spans="1:12" ht="13.8">
      <c r="A75" s="525">
        <v>87</v>
      </c>
      <c r="B75" s="578" t="s">
        <v>1693</v>
      </c>
      <c r="C75" s="575" t="s">
        <v>1694</v>
      </c>
      <c r="D75" s="577" t="str">
        <f t="shared" si="2"/>
        <v>ER16-1774</v>
      </c>
      <c r="E75" s="574">
        <v>0.5</v>
      </c>
      <c r="F75" s="579">
        <v>13</v>
      </c>
      <c r="G75" s="580">
        <v>42370</v>
      </c>
      <c r="H75" s="580">
        <v>42735</v>
      </c>
      <c r="I75" s="517">
        <v>0</v>
      </c>
      <c r="J75" s="517">
        <v>320476.51</v>
      </c>
      <c r="K75" s="373">
        <f t="shared" si="3"/>
        <v>160238.255</v>
      </c>
      <c r="L75" s="373">
        <f t="shared" si="4"/>
        <v>80119.127500000002</v>
      </c>
    </row>
    <row r="76" spans="1:12" ht="13.8">
      <c r="A76" s="525">
        <v>88</v>
      </c>
      <c r="B76" s="578" t="s">
        <v>1695</v>
      </c>
      <c r="C76" s="575" t="s">
        <v>1696</v>
      </c>
      <c r="D76" s="577" t="str">
        <f t="shared" si="2"/>
        <v>ER16-1774</v>
      </c>
      <c r="E76" s="574">
        <v>0.5</v>
      </c>
      <c r="F76" s="579">
        <v>13</v>
      </c>
      <c r="G76" s="580">
        <v>42370</v>
      </c>
      <c r="H76" s="580">
        <v>42735</v>
      </c>
      <c r="I76" s="517">
        <v>0</v>
      </c>
      <c r="J76" s="517">
        <v>1677879.84</v>
      </c>
      <c r="K76" s="373">
        <f t="shared" si="3"/>
        <v>838939.92</v>
      </c>
      <c r="L76" s="373">
        <f t="shared" si="4"/>
        <v>419469.96</v>
      </c>
    </row>
    <row r="77" spans="1:12" ht="13.8">
      <c r="A77" s="525">
        <v>89</v>
      </c>
      <c r="B77" s="575" t="s">
        <v>1679</v>
      </c>
      <c r="C77" s="575" t="s">
        <v>1680</v>
      </c>
      <c r="D77" s="577" t="str">
        <f t="shared" ref="D77:D96" si="5">D76</f>
        <v>ER16-1774</v>
      </c>
      <c r="E77" s="574">
        <v>0.5</v>
      </c>
      <c r="F77" s="579">
        <v>13</v>
      </c>
      <c r="G77" s="580">
        <v>42342</v>
      </c>
      <c r="H77" s="575" t="s">
        <v>1687</v>
      </c>
      <c r="I77" s="517">
        <v>-2877.73</v>
      </c>
      <c r="J77" s="517">
        <v>-4471.46</v>
      </c>
      <c r="K77" s="373">
        <f t="shared" si="3"/>
        <v>-3674.5950000000003</v>
      </c>
      <c r="L77" s="373">
        <f t="shared" si="4"/>
        <v>-1837.2975000000001</v>
      </c>
    </row>
    <row r="78" spans="1:12" ht="13.8">
      <c r="A78" s="525">
        <v>90</v>
      </c>
      <c r="B78" s="575" t="s">
        <v>1681</v>
      </c>
      <c r="C78" s="575" t="s">
        <v>1682</v>
      </c>
      <c r="D78" s="577" t="str">
        <f t="shared" si="5"/>
        <v>ER16-1774</v>
      </c>
      <c r="E78" s="574">
        <v>0.5</v>
      </c>
      <c r="F78" s="579">
        <v>13</v>
      </c>
      <c r="G78" s="580">
        <v>42342</v>
      </c>
      <c r="H78" s="575" t="s">
        <v>1687</v>
      </c>
      <c r="I78" s="517">
        <v>5591.85</v>
      </c>
      <c r="J78" s="517">
        <v>-10235.17</v>
      </c>
      <c r="K78" s="373">
        <f t="shared" si="3"/>
        <v>-2321.66</v>
      </c>
      <c r="L78" s="373">
        <f t="shared" si="4"/>
        <v>-1160.83</v>
      </c>
    </row>
    <row r="79" spans="1:12" ht="13.8">
      <c r="A79" s="525">
        <v>91</v>
      </c>
      <c r="B79" s="575" t="s">
        <v>1683</v>
      </c>
      <c r="C79" s="575" t="s">
        <v>1684</v>
      </c>
      <c r="D79" s="577" t="str">
        <f t="shared" si="5"/>
        <v>ER16-1774</v>
      </c>
      <c r="E79" s="574">
        <v>0.5</v>
      </c>
      <c r="F79" s="579">
        <v>13</v>
      </c>
      <c r="G79" s="580">
        <v>42342</v>
      </c>
      <c r="H79" s="575" t="s">
        <v>1687</v>
      </c>
      <c r="I79" s="517">
        <v>26756.06</v>
      </c>
      <c r="J79" s="517">
        <v>-4123.96</v>
      </c>
      <c r="K79" s="373">
        <f t="shared" si="3"/>
        <v>11316.050000000001</v>
      </c>
      <c r="L79" s="373">
        <f t="shared" si="4"/>
        <v>5658.0250000000005</v>
      </c>
    </row>
    <row r="80" spans="1:12" ht="13.8">
      <c r="A80" s="525">
        <v>92</v>
      </c>
      <c r="B80" s="575" t="s">
        <v>1685</v>
      </c>
      <c r="C80" s="575" t="s">
        <v>1686</v>
      </c>
      <c r="D80" s="577" t="str">
        <f t="shared" si="5"/>
        <v>ER16-1774</v>
      </c>
      <c r="E80" s="574">
        <v>0.5</v>
      </c>
      <c r="F80" s="579">
        <v>13</v>
      </c>
      <c r="G80" s="580">
        <v>42369</v>
      </c>
      <c r="H80" s="575" t="s">
        <v>1688</v>
      </c>
      <c r="I80" s="517">
        <v>408114.63</v>
      </c>
      <c r="J80" s="517">
        <v>3184.74</v>
      </c>
      <c r="K80" s="373">
        <f t="shared" si="3"/>
        <v>205649.685</v>
      </c>
      <c r="L80" s="373">
        <f t="shared" si="4"/>
        <v>102824.8425</v>
      </c>
    </row>
    <row r="81" spans="1:12" ht="13.8">
      <c r="A81" s="525">
        <v>93</v>
      </c>
      <c r="B81" s="578" t="s">
        <v>1697</v>
      </c>
      <c r="C81" s="575" t="s">
        <v>1712</v>
      </c>
      <c r="D81" s="577" t="str">
        <f t="shared" si="5"/>
        <v>ER16-1774</v>
      </c>
      <c r="E81" s="574">
        <v>0.5</v>
      </c>
      <c r="F81" s="579">
        <v>13</v>
      </c>
      <c r="G81" s="580">
        <v>42647</v>
      </c>
      <c r="H81" s="580">
        <v>42856</v>
      </c>
      <c r="I81" s="517">
        <v>0</v>
      </c>
      <c r="J81" s="517">
        <v>144487.07</v>
      </c>
      <c r="K81" s="373">
        <f t="shared" ref="K81:K95" si="6">SUM(I81:J81)/2</f>
        <v>72243.535000000003</v>
      </c>
      <c r="L81" s="373">
        <f t="shared" si="4"/>
        <v>36121.767500000002</v>
      </c>
    </row>
    <row r="82" spans="1:12" ht="13.8">
      <c r="A82" s="525">
        <v>94</v>
      </c>
      <c r="B82" s="578" t="s">
        <v>1698</v>
      </c>
      <c r="C82" s="575" t="s">
        <v>1713</v>
      </c>
      <c r="D82" s="577" t="str">
        <f t="shared" si="5"/>
        <v>ER16-1774</v>
      </c>
      <c r="E82" s="574">
        <v>0.5</v>
      </c>
      <c r="F82" s="579">
        <v>13</v>
      </c>
      <c r="G82" s="580">
        <v>42795</v>
      </c>
      <c r="H82" s="580">
        <v>43070</v>
      </c>
      <c r="I82" s="517">
        <v>0</v>
      </c>
      <c r="J82" s="517">
        <v>164613.42000000001</v>
      </c>
      <c r="K82" s="373">
        <f t="shared" si="6"/>
        <v>82306.710000000006</v>
      </c>
      <c r="L82" s="373">
        <f t="shared" si="4"/>
        <v>41153.355000000003</v>
      </c>
    </row>
    <row r="83" spans="1:12" ht="13.8">
      <c r="A83" s="525">
        <v>95</v>
      </c>
      <c r="B83" s="578" t="s">
        <v>1699</v>
      </c>
      <c r="C83" s="575" t="s">
        <v>1714</v>
      </c>
      <c r="D83" s="577" t="str">
        <f t="shared" si="5"/>
        <v>ER16-1774</v>
      </c>
      <c r="E83" s="574">
        <v>0.5</v>
      </c>
      <c r="F83" s="579">
        <v>13</v>
      </c>
      <c r="G83" s="580">
        <v>42521</v>
      </c>
      <c r="H83" s="580">
        <v>42916</v>
      </c>
      <c r="I83" s="517">
        <v>0</v>
      </c>
      <c r="J83" s="517">
        <v>110240.4</v>
      </c>
      <c r="K83" s="373">
        <f t="shared" si="6"/>
        <v>55120.2</v>
      </c>
      <c r="L83" s="373">
        <f t="shared" si="4"/>
        <v>27560.1</v>
      </c>
    </row>
    <row r="84" spans="1:12" ht="13.8">
      <c r="A84" s="525">
        <v>96</v>
      </c>
      <c r="B84" s="578" t="s">
        <v>1700</v>
      </c>
      <c r="C84" s="575" t="s">
        <v>1715</v>
      </c>
      <c r="D84" s="577" t="str">
        <f t="shared" si="5"/>
        <v>ER16-1774</v>
      </c>
      <c r="E84" s="574">
        <v>0.5</v>
      </c>
      <c r="F84" s="579">
        <v>13</v>
      </c>
      <c r="G84" s="580">
        <v>42887</v>
      </c>
      <c r="H84" s="580">
        <v>42917</v>
      </c>
      <c r="I84" s="517">
        <v>0</v>
      </c>
      <c r="J84" s="517">
        <v>513.64</v>
      </c>
      <c r="K84" s="373">
        <f t="shared" si="6"/>
        <v>256.82</v>
      </c>
      <c r="L84" s="373">
        <f t="shared" si="4"/>
        <v>128.41</v>
      </c>
    </row>
    <row r="85" spans="1:12" ht="13.8">
      <c r="A85" s="525">
        <v>97</v>
      </c>
      <c r="B85" s="578" t="s">
        <v>1701</v>
      </c>
      <c r="C85" s="575" t="s">
        <v>1716</v>
      </c>
      <c r="D85" s="577" t="str">
        <f t="shared" si="5"/>
        <v>ER16-1774</v>
      </c>
      <c r="E85" s="574">
        <v>0.5</v>
      </c>
      <c r="F85" s="579">
        <v>13</v>
      </c>
      <c r="G85" s="580">
        <v>42591</v>
      </c>
      <c r="H85" s="580">
        <v>42601</v>
      </c>
      <c r="I85" s="517">
        <v>0</v>
      </c>
      <c r="J85" s="517">
        <v>999</v>
      </c>
      <c r="K85" s="373">
        <f t="shared" si="6"/>
        <v>499.5</v>
      </c>
      <c r="L85" s="373">
        <f t="shared" si="4"/>
        <v>249.75</v>
      </c>
    </row>
    <row r="86" spans="1:12" ht="13.8">
      <c r="A86" s="525">
        <v>98</v>
      </c>
      <c r="B86" s="578" t="s">
        <v>1702</v>
      </c>
      <c r="C86" s="575" t="s">
        <v>1717</v>
      </c>
      <c r="D86" s="577" t="str">
        <f t="shared" si="5"/>
        <v>ER16-1774</v>
      </c>
      <c r="E86" s="574">
        <v>0.5</v>
      </c>
      <c r="F86" s="579">
        <v>13</v>
      </c>
      <c r="G86" s="580">
        <v>42552</v>
      </c>
      <c r="H86" s="580">
        <v>42706</v>
      </c>
      <c r="I86" s="517">
        <v>0</v>
      </c>
      <c r="J86" s="517">
        <v>133233.07999999999</v>
      </c>
      <c r="K86" s="373">
        <f t="shared" si="6"/>
        <v>66616.539999999994</v>
      </c>
      <c r="L86" s="373">
        <f t="shared" si="4"/>
        <v>33308.269999999997</v>
      </c>
    </row>
    <row r="87" spans="1:12" ht="13.8">
      <c r="A87" s="525">
        <v>99</v>
      </c>
      <c r="B87" s="578" t="s">
        <v>1703</v>
      </c>
      <c r="C87" s="575" t="s">
        <v>1718</v>
      </c>
      <c r="D87" s="577" t="str">
        <f t="shared" si="5"/>
        <v>ER16-1774</v>
      </c>
      <c r="E87" s="574">
        <v>0.5</v>
      </c>
      <c r="F87" s="579">
        <v>13</v>
      </c>
      <c r="G87" s="580">
        <v>43040</v>
      </c>
      <c r="H87" s="580">
        <v>43221</v>
      </c>
      <c r="I87" s="517">
        <v>0</v>
      </c>
      <c r="J87" s="517">
        <v>824132.35</v>
      </c>
      <c r="K87" s="373">
        <f t="shared" si="6"/>
        <v>412066.17499999999</v>
      </c>
      <c r="L87" s="373">
        <f t="shared" si="4"/>
        <v>206033.08749999999</v>
      </c>
    </row>
    <row r="88" spans="1:12" ht="13.8">
      <c r="A88" s="525">
        <v>100</v>
      </c>
      <c r="B88" s="578" t="s">
        <v>1704</v>
      </c>
      <c r="C88" s="575" t="s">
        <v>1719</v>
      </c>
      <c r="D88" s="577" t="str">
        <f t="shared" si="5"/>
        <v>ER16-1774</v>
      </c>
      <c r="E88" s="574">
        <v>0.5</v>
      </c>
      <c r="F88" s="579">
        <v>13</v>
      </c>
      <c r="G88" s="580">
        <v>43040</v>
      </c>
      <c r="H88" s="580">
        <v>43191</v>
      </c>
      <c r="I88" s="517">
        <v>0</v>
      </c>
      <c r="J88" s="517">
        <v>52968.09</v>
      </c>
      <c r="K88" s="373">
        <f t="shared" si="6"/>
        <v>26484.044999999998</v>
      </c>
      <c r="L88" s="373">
        <f t="shared" si="4"/>
        <v>13242.022499999999</v>
      </c>
    </row>
    <row r="89" spans="1:12" ht="13.8">
      <c r="A89" s="525">
        <v>101</v>
      </c>
      <c r="B89" s="578" t="s">
        <v>1705</v>
      </c>
      <c r="C89" s="575" t="s">
        <v>1720</v>
      </c>
      <c r="D89" s="577" t="str">
        <f t="shared" si="5"/>
        <v>ER16-1774</v>
      </c>
      <c r="E89" s="574">
        <v>0.5</v>
      </c>
      <c r="F89" s="579">
        <v>13</v>
      </c>
      <c r="G89" s="580">
        <v>42954</v>
      </c>
      <c r="H89" s="580">
        <v>43007</v>
      </c>
      <c r="I89" s="517">
        <v>0</v>
      </c>
      <c r="J89" s="517">
        <v>18037.02</v>
      </c>
      <c r="K89" s="373">
        <f t="shared" si="6"/>
        <v>9018.51</v>
      </c>
      <c r="L89" s="373">
        <f t="shared" si="4"/>
        <v>4509.2550000000001</v>
      </c>
    </row>
    <row r="90" spans="1:12" ht="13.8">
      <c r="A90" s="525">
        <v>102</v>
      </c>
      <c r="B90" s="578" t="s">
        <v>1706</v>
      </c>
      <c r="C90" s="575" t="s">
        <v>1721</v>
      </c>
      <c r="D90" s="577" t="str">
        <f t="shared" si="5"/>
        <v>ER16-1774</v>
      </c>
      <c r="E90" s="574">
        <v>0.5</v>
      </c>
      <c r="F90" s="579">
        <v>13</v>
      </c>
      <c r="G90" s="580">
        <v>42370</v>
      </c>
      <c r="H90" s="580">
        <v>42735</v>
      </c>
      <c r="I90" s="517">
        <v>0</v>
      </c>
      <c r="J90" s="517">
        <v>24272.16</v>
      </c>
      <c r="K90" s="373">
        <f t="shared" si="6"/>
        <v>12136.08</v>
      </c>
      <c r="L90" s="373">
        <f t="shared" si="4"/>
        <v>6068.04</v>
      </c>
    </row>
    <row r="91" spans="1:12" ht="13.8">
      <c r="A91" s="525">
        <v>103</v>
      </c>
      <c r="B91" s="578" t="s">
        <v>1707</v>
      </c>
      <c r="C91" s="575" t="s">
        <v>1722</v>
      </c>
      <c r="D91" s="577" t="str">
        <f t="shared" si="5"/>
        <v>ER16-1774</v>
      </c>
      <c r="E91" s="574">
        <v>0.5</v>
      </c>
      <c r="F91" s="579">
        <v>13</v>
      </c>
      <c r="G91" s="580">
        <v>42856</v>
      </c>
      <c r="H91" s="580">
        <v>42979</v>
      </c>
      <c r="I91" s="517">
        <v>0</v>
      </c>
      <c r="J91" s="517">
        <v>21386.79</v>
      </c>
      <c r="K91" s="373">
        <f t="shared" si="6"/>
        <v>10693.395</v>
      </c>
      <c r="L91" s="373">
        <f t="shared" si="4"/>
        <v>5346.6975000000002</v>
      </c>
    </row>
    <row r="92" spans="1:12" ht="13.8">
      <c r="A92" s="525">
        <v>104</v>
      </c>
      <c r="B92" s="578" t="s">
        <v>1708</v>
      </c>
      <c r="C92" s="575" t="s">
        <v>1723</v>
      </c>
      <c r="D92" s="577" t="str">
        <f t="shared" si="5"/>
        <v>ER16-1774</v>
      </c>
      <c r="E92" s="574">
        <v>0.5</v>
      </c>
      <c r="F92" s="579">
        <v>13</v>
      </c>
      <c r="G92" s="580">
        <v>42664</v>
      </c>
      <c r="H92" s="580">
        <v>42678</v>
      </c>
      <c r="I92" s="517">
        <v>0</v>
      </c>
      <c r="J92" s="517">
        <v>18177.849999999999</v>
      </c>
      <c r="K92" s="373">
        <f t="shared" si="6"/>
        <v>9088.9249999999993</v>
      </c>
      <c r="L92" s="373">
        <f t="shared" si="4"/>
        <v>4544.4624999999996</v>
      </c>
    </row>
    <row r="93" spans="1:12" ht="13.8">
      <c r="A93" s="525">
        <v>105</v>
      </c>
      <c r="B93" s="578" t="s">
        <v>1709</v>
      </c>
      <c r="C93" s="575" t="s">
        <v>1724</v>
      </c>
      <c r="D93" s="577" t="str">
        <f t="shared" si="5"/>
        <v>ER16-1774</v>
      </c>
      <c r="E93" s="574">
        <v>0.5</v>
      </c>
      <c r="F93" s="579">
        <v>13</v>
      </c>
      <c r="G93" s="580">
        <v>42826</v>
      </c>
      <c r="H93" s="580">
        <v>42887</v>
      </c>
      <c r="I93" s="517">
        <v>0</v>
      </c>
      <c r="J93" s="517">
        <v>31516.14</v>
      </c>
      <c r="K93" s="373">
        <f t="shared" si="6"/>
        <v>15758.07</v>
      </c>
      <c r="L93" s="373">
        <f t="shared" si="4"/>
        <v>7879.0349999999999</v>
      </c>
    </row>
    <row r="94" spans="1:12" ht="13.8">
      <c r="A94" s="525">
        <v>106</v>
      </c>
      <c r="B94" s="578" t="s">
        <v>1710</v>
      </c>
      <c r="C94" s="575" t="s">
        <v>1725</v>
      </c>
      <c r="D94" s="577" t="str">
        <f t="shared" si="5"/>
        <v>ER16-1774</v>
      </c>
      <c r="E94" s="574">
        <v>0.5</v>
      </c>
      <c r="F94" s="579">
        <v>13</v>
      </c>
      <c r="G94" s="580">
        <v>41611</v>
      </c>
      <c r="H94" s="580">
        <v>42826</v>
      </c>
      <c r="I94" s="517">
        <v>0</v>
      </c>
      <c r="J94" s="517">
        <v>37383.94</v>
      </c>
      <c r="K94" s="373">
        <f t="shared" si="6"/>
        <v>18691.97</v>
      </c>
      <c r="L94" s="373">
        <f t="shared" si="4"/>
        <v>9345.9850000000006</v>
      </c>
    </row>
    <row r="95" spans="1:12" ht="13.8">
      <c r="A95" s="525">
        <v>107</v>
      </c>
      <c r="B95" s="578" t="s">
        <v>1711</v>
      </c>
      <c r="C95" s="575" t="s">
        <v>1726</v>
      </c>
      <c r="D95" s="577" t="str">
        <f t="shared" si="5"/>
        <v>ER16-1774</v>
      </c>
      <c r="E95" s="574">
        <v>0.5</v>
      </c>
      <c r="F95" s="579">
        <v>13</v>
      </c>
      <c r="G95" s="580">
        <v>42551</v>
      </c>
      <c r="H95" s="580">
        <v>42767</v>
      </c>
      <c r="I95" s="517">
        <v>0</v>
      </c>
      <c r="J95" s="517">
        <v>18636</v>
      </c>
      <c r="K95" s="373">
        <f t="shared" si="6"/>
        <v>9318</v>
      </c>
      <c r="L95" s="373">
        <f t="shared" si="4"/>
        <v>4659</v>
      </c>
    </row>
    <row r="96" spans="1:12" ht="13.8">
      <c r="A96" s="525">
        <v>108</v>
      </c>
      <c r="B96" s="578" t="s">
        <v>2445</v>
      </c>
      <c r="C96" s="575" t="s">
        <v>2446</v>
      </c>
      <c r="D96" s="577" t="str">
        <f t="shared" si="5"/>
        <v>ER16-1774</v>
      </c>
      <c r="E96" s="574">
        <v>0.5</v>
      </c>
      <c r="F96" s="579">
        <v>13</v>
      </c>
      <c r="G96" s="580">
        <v>43160</v>
      </c>
      <c r="H96" s="580">
        <v>43373</v>
      </c>
      <c r="I96" s="517">
        <v>0</v>
      </c>
      <c r="J96" s="517">
        <v>11541.16</v>
      </c>
      <c r="K96" s="373">
        <f t="shared" ref="K96" si="7">SUM(I96:J96)/2</f>
        <v>5770.58</v>
      </c>
      <c r="L96" s="373">
        <f t="shared" ref="L96" si="8">K96*E96</f>
        <v>2885.29</v>
      </c>
    </row>
    <row r="97" spans="1:21">
      <c r="A97" s="526"/>
      <c r="B97" s="56"/>
      <c r="C97" s="56"/>
      <c r="D97" s="56"/>
      <c r="E97" s="56"/>
      <c r="F97" s="56"/>
      <c r="G97" s="56"/>
      <c r="H97" s="56"/>
      <c r="I97" s="119"/>
      <c r="J97" s="119"/>
      <c r="K97" s="119"/>
      <c r="L97" s="119"/>
    </row>
    <row r="98" spans="1:21" ht="13.8">
      <c r="A98" s="524">
        <f>A96+1</f>
        <v>109</v>
      </c>
      <c r="B98" s="106" t="s">
        <v>1095</v>
      </c>
      <c r="C98" s="61"/>
      <c r="D98" s="61"/>
      <c r="E98" s="61"/>
      <c r="F98" s="61"/>
      <c r="G98" s="57"/>
      <c r="H98" s="57"/>
      <c r="I98" s="151">
        <f>SUM(I11:I96)</f>
        <v>20878826.450000003</v>
      </c>
      <c r="J98" s="151">
        <f>SUM(J11:J96)</f>
        <v>17420853.990000002</v>
      </c>
      <c r="K98" s="151">
        <f>SUM(K11:K96)</f>
        <v>19149840.220000006</v>
      </c>
      <c r="L98" s="151">
        <f>SUM(L11:L96)</f>
        <v>9574920.1100000031</v>
      </c>
    </row>
    <row r="99" spans="1:21" ht="13.8">
      <c r="A99" s="524">
        <f>A98+1</f>
        <v>110</v>
      </c>
      <c r="B99" s="63" t="s">
        <v>444</v>
      </c>
      <c r="C99" s="60"/>
      <c r="D99" s="60"/>
      <c r="E99" s="60"/>
      <c r="F99" s="60"/>
      <c r="G99" s="56"/>
      <c r="H99" s="56"/>
      <c r="I99" s="60"/>
      <c r="J99" s="60"/>
      <c r="K99" s="60"/>
      <c r="L99" s="60"/>
    </row>
    <row r="100" spans="1:21" ht="13.8">
      <c r="A100" s="524">
        <f t="shared" ref="A100:A109" si="9">A99+1</f>
        <v>111</v>
      </c>
      <c r="B100" s="372" t="s">
        <v>1309</v>
      </c>
      <c r="C100" s="372"/>
      <c r="D100" s="372"/>
      <c r="E100" s="372"/>
      <c r="F100" s="372"/>
      <c r="G100" s="372"/>
      <c r="H100" s="372"/>
      <c r="I100" s="372"/>
      <c r="J100" s="372"/>
      <c r="K100" s="372"/>
      <c r="L100" s="372"/>
      <c r="M100" s="372"/>
      <c r="N100" s="372"/>
      <c r="O100" s="372"/>
      <c r="P100" s="372"/>
      <c r="Q100" s="372"/>
      <c r="R100" s="372"/>
      <c r="S100" s="372"/>
      <c r="T100" s="372"/>
      <c r="U100" s="372"/>
    </row>
    <row r="101" spans="1:21" ht="13.8">
      <c r="A101" s="524">
        <f t="shared" si="9"/>
        <v>112</v>
      </c>
      <c r="B101" s="374" t="s">
        <v>1357</v>
      </c>
      <c r="C101" s="372"/>
      <c r="D101" s="372"/>
      <c r="E101" s="372"/>
      <c r="F101" s="372"/>
      <c r="G101" s="372"/>
      <c r="H101" s="372"/>
      <c r="I101" s="372"/>
      <c r="J101" s="372"/>
      <c r="K101" s="372"/>
      <c r="L101" s="593"/>
      <c r="M101" s="372"/>
      <c r="N101" s="372"/>
      <c r="O101" s="372"/>
      <c r="P101" s="372"/>
      <c r="Q101" s="372"/>
      <c r="R101" s="372"/>
      <c r="S101" s="372"/>
      <c r="T101" s="372"/>
      <c r="U101" s="372"/>
    </row>
    <row r="102" spans="1:21" ht="13.8">
      <c r="A102" s="524">
        <f t="shared" si="9"/>
        <v>113</v>
      </c>
      <c r="B102" s="372" t="s">
        <v>1310</v>
      </c>
      <c r="C102" s="372"/>
      <c r="D102" s="372"/>
      <c r="E102" s="372"/>
      <c r="F102" s="372"/>
      <c r="G102" s="372"/>
      <c r="H102" s="372"/>
      <c r="I102" s="372"/>
      <c r="J102" s="372"/>
      <c r="K102" s="372"/>
      <c r="L102" s="372"/>
      <c r="M102" s="372"/>
      <c r="N102" s="372"/>
      <c r="O102" s="372"/>
      <c r="P102" s="372"/>
      <c r="Q102" s="372"/>
      <c r="R102" s="372"/>
      <c r="S102" s="372"/>
      <c r="T102" s="372"/>
      <c r="U102" s="372"/>
    </row>
    <row r="103" spans="1:21" ht="13.8">
      <c r="A103" s="524">
        <f t="shared" si="9"/>
        <v>114</v>
      </c>
      <c r="B103" s="374" t="s">
        <v>1482</v>
      </c>
      <c r="C103" s="372"/>
      <c r="D103" s="372"/>
      <c r="E103" s="372"/>
      <c r="F103" s="372"/>
      <c r="G103" s="372"/>
      <c r="H103" s="372"/>
      <c r="I103" s="372"/>
      <c r="J103" s="372"/>
      <c r="K103" s="372"/>
      <c r="L103" s="372"/>
      <c r="M103" s="372"/>
      <c r="N103" s="372"/>
      <c r="O103" s="372"/>
      <c r="P103" s="372"/>
      <c r="Q103" s="372"/>
      <c r="R103" s="372"/>
      <c r="S103" s="372"/>
      <c r="T103" s="372"/>
      <c r="U103" s="372"/>
    </row>
    <row r="104" spans="1:21" ht="13.8">
      <c r="A104" s="524">
        <f t="shared" si="9"/>
        <v>115</v>
      </c>
      <c r="B104" s="374" t="s">
        <v>1483</v>
      </c>
      <c r="C104" s="372"/>
      <c r="D104" s="372"/>
      <c r="E104" s="372"/>
      <c r="F104" s="372"/>
      <c r="G104" s="372"/>
      <c r="H104" s="372"/>
      <c r="I104" s="372"/>
      <c r="J104" s="372"/>
      <c r="K104" s="372"/>
      <c r="L104" s="372"/>
      <c r="M104" s="372"/>
      <c r="N104" s="372"/>
      <c r="O104" s="372"/>
      <c r="P104" s="372"/>
      <c r="Q104" s="372"/>
      <c r="R104" s="372"/>
      <c r="S104" s="372"/>
      <c r="T104" s="372"/>
      <c r="U104" s="372"/>
    </row>
    <row r="105" spans="1:21" ht="14.4">
      <c r="A105" s="524">
        <f t="shared" si="9"/>
        <v>116</v>
      </c>
      <c r="B105" s="83" t="s">
        <v>1479</v>
      </c>
      <c r="C105" s="375"/>
      <c r="D105" s="375"/>
      <c r="E105" s="375"/>
      <c r="F105" s="375"/>
      <c r="G105" s="375"/>
      <c r="H105" s="375"/>
      <c r="I105" s="375"/>
      <c r="J105" s="375"/>
      <c r="K105" s="375"/>
      <c r="L105" s="375"/>
      <c r="M105" s="375"/>
      <c r="N105" s="375"/>
      <c r="O105" s="375"/>
      <c r="P105" s="375"/>
      <c r="Q105" s="375"/>
      <c r="R105" s="375"/>
      <c r="S105" s="375"/>
      <c r="T105" s="375"/>
      <c r="U105" s="375"/>
    </row>
    <row r="106" spans="1:21" ht="14.4">
      <c r="A106" s="524">
        <f t="shared" si="9"/>
        <v>117</v>
      </c>
      <c r="B106" s="83" t="s">
        <v>1484</v>
      </c>
      <c r="C106" s="375"/>
      <c r="D106" s="375"/>
      <c r="E106" s="375"/>
      <c r="F106" s="375"/>
      <c r="G106" s="375"/>
      <c r="H106" s="375"/>
      <c r="I106" s="375"/>
      <c r="J106" s="375"/>
      <c r="K106" s="375"/>
      <c r="L106" s="375"/>
      <c r="M106" s="375"/>
      <c r="N106" s="375"/>
      <c r="O106" s="375"/>
      <c r="P106" s="375"/>
      <c r="Q106" s="375"/>
      <c r="R106" s="375"/>
      <c r="S106" s="375"/>
      <c r="T106" s="375"/>
      <c r="U106" s="375"/>
    </row>
    <row r="107" spans="1:21" ht="14.4">
      <c r="A107" s="524">
        <f t="shared" si="9"/>
        <v>118</v>
      </c>
      <c r="B107" s="83" t="s">
        <v>1485</v>
      </c>
      <c r="C107" s="375"/>
      <c r="D107" s="375"/>
      <c r="E107" s="375"/>
      <c r="F107" s="375"/>
      <c r="G107" s="375"/>
      <c r="H107" s="375"/>
      <c r="I107" s="375"/>
      <c r="J107" s="375"/>
      <c r="K107" s="375"/>
      <c r="L107" s="375"/>
      <c r="M107" s="375"/>
      <c r="N107" s="375"/>
      <c r="O107" s="375"/>
      <c r="P107" s="375"/>
      <c r="Q107" s="375"/>
      <c r="R107" s="375"/>
      <c r="S107" s="375"/>
      <c r="T107" s="375"/>
      <c r="U107" s="375"/>
    </row>
    <row r="108" spans="1:21" ht="14.4">
      <c r="A108" s="524">
        <f t="shared" si="9"/>
        <v>119</v>
      </c>
      <c r="B108" s="83" t="s">
        <v>1486</v>
      </c>
      <c r="C108" s="375"/>
      <c r="D108" s="375"/>
      <c r="E108" s="375"/>
      <c r="F108" s="375"/>
      <c r="G108" s="375"/>
      <c r="H108" s="375"/>
      <c r="I108" s="375"/>
      <c r="J108" s="375"/>
      <c r="K108" s="375"/>
      <c r="L108" s="375"/>
      <c r="M108" s="375"/>
      <c r="N108" s="375"/>
      <c r="O108" s="375"/>
      <c r="P108" s="375"/>
      <c r="Q108" s="375"/>
      <c r="R108" s="375"/>
      <c r="S108" s="375"/>
      <c r="T108" s="375"/>
      <c r="U108" s="375"/>
    </row>
    <row r="109" spans="1:21" ht="14.4">
      <c r="A109" s="524">
        <f t="shared" si="9"/>
        <v>120</v>
      </c>
      <c r="B109" s="83" t="s">
        <v>1487</v>
      </c>
      <c r="C109" s="375"/>
      <c r="D109" s="375"/>
      <c r="E109" s="375"/>
      <c r="F109" s="375"/>
      <c r="G109" s="375"/>
      <c r="H109" s="375"/>
      <c r="I109" s="375"/>
      <c r="J109" s="375"/>
      <c r="K109" s="375"/>
      <c r="L109" s="375"/>
      <c r="M109" s="375"/>
      <c r="N109" s="375"/>
      <c r="O109" s="375"/>
      <c r="P109" s="375"/>
      <c r="Q109" s="375"/>
      <c r="R109" s="375"/>
      <c r="S109" s="375"/>
      <c r="T109" s="375"/>
      <c r="U109" s="375"/>
    </row>
    <row r="110" spans="1:21">
      <c r="J110" s="59"/>
      <c r="K110" s="59"/>
      <c r="L110" s="59"/>
    </row>
    <row r="111" spans="1:21">
      <c r="J111" s="59"/>
      <c r="K111" s="59"/>
      <c r="L111" s="59"/>
    </row>
    <row r="112" spans="1:21">
      <c r="J112" s="59"/>
      <c r="K112" s="59"/>
      <c r="L112" s="59"/>
    </row>
    <row r="113" spans="10:12">
      <c r="J113" s="59"/>
      <c r="K113" s="59"/>
      <c r="L113" s="59"/>
    </row>
    <row r="114" spans="10:12">
      <c r="J114" s="59"/>
      <c r="K114" s="59"/>
      <c r="L114" s="59"/>
    </row>
    <row r="115" spans="10:12">
      <c r="J115" s="59"/>
      <c r="K115" s="59"/>
      <c r="L115" s="59"/>
    </row>
    <row r="116" spans="10:12">
      <c r="J116" s="59"/>
      <c r="K116" s="59"/>
      <c r="L116" s="59"/>
    </row>
    <row r="117" spans="10:12">
      <c r="J117" s="59"/>
      <c r="K117" s="59"/>
      <c r="L117" s="59"/>
    </row>
    <row r="118" spans="10:12">
      <c r="J118" s="59"/>
      <c r="K118" s="59"/>
      <c r="L118" s="59"/>
    </row>
    <row r="119" spans="10:12">
      <c r="J119" s="59"/>
      <c r="K119" s="59"/>
      <c r="L119" s="59"/>
    </row>
    <row r="120" spans="10:12">
      <c r="J120" s="59"/>
      <c r="K120" s="59"/>
      <c r="L120" s="59"/>
    </row>
    <row r="121" spans="10:12">
      <c r="J121" s="59"/>
      <c r="K121" s="59"/>
      <c r="L121" s="59"/>
    </row>
    <row r="122" spans="10:12">
      <c r="J122" s="59"/>
      <c r="K122" s="59"/>
      <c r="L122" s="59"/>
    </row>
    <row r="123" spans="10:12">
      <c r="J123" s="59"/>
      <c r="K123" s="59"/>
      <c r="L123" s="59"/>
    </row>
  </sheetData>
  <printOptions horizontalCentered="1"/>
  <pageMargins left="0.2" right="0.2" top="0.75" bottom="0.75" header="0.3" footer="0.3"/>
  <pageSetup scale="79" fitToHeight="5" orientation="landscape" horizontalDpi="1200" verticalDpi="1200" r:id="rId1"/>
  <headerFooter>
    <oddHeader xml:space="preserve">&amp;RPage &amp;P
Worksheet  O
</oddHeader>
  </headerFooter>
  <rowBreaks count="1" manualBreakCount="1">
    <brk id="99" min="3"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3:V98"/>
  <sheetViews>
    <sheetView topLeftCell="A7" zoomScaleNormal="100" workbookViewId="0"/>
  </sheetViews>
  <sheetFormatPr defaultColWidth="8" defaultRowHeight="11.4"/>
  <cols>
    <col min="1" max="2" width="9.8984375" style="55" customWidth="1"/>
    <col min="3" max="3" width="32.5" style="55" bestFit="1" customWidth="1"/>
    <col min="4" max="4" width="12.59765625" style="55" customWidth="1"/>
    <col min="5" max="5" width="13.3984375" style="55" customWidth="1"/>
    <col min="6" max="6" width="18.19921875" style="55" customWidth="1"/>
    <col min="7" max="7" width="8" style="55"/>
    <col min="8" max="8" width="15" style="55" customWidth="1"/>
    <col min="9" max="9" width="28.59765625" style="55" bestFit="1" customWidth="1"/>
    <col min="10" max="11" width="10.59765625" style="55" customWidth="1"/>
    <col min="12" max="16384" width="8" style="55"/>
  </cols>
  <sheetData>
    <row r="3" spans="1:11" ht="13.8">
      <c r="J3" s="177" t="s">
        <v>1449</v>
      </c>
    </row>
    <row r="4" spans="1:11" ht="13.8">
      <c r="A4" s="376" t="str">
        <f>Index!B4</f>
        <v>Western Farmers Electric Cooperative, Inc.</v>
      </c>
    </row>
    <row r="5" spans="1:11" ht="13.8">
      <c r="A5" s="62"/>
    </row>
    <row r="6" spans="1:11" ht="13.8">
      <c r="A6" s="377" t="s">
        <v>1291</v>
      </c>
    </row>
    <row r="7" spans="1:11" ht="13.8">
      <c r="A7" s="377" t="str">
        <f>Index!B6</f>
        <v>Year Ending December 31, 2016</v>
      </c>
    </row>
    <row r="9" spans="1:11" ht="13.8">
      <c r="A9" s="84" t="s">
        <v>3</v>
      </c>
      <c r="B9" s="84" t="s">
        <v>4</v>
      </c>
      <c r="C9" s="84" t="s">
        <v>5</v>
      </c>
      <c r="D9" s="84" t="s">
        <v>9</v>
      </c>
      <c r="E9" s="84" t="s">
        <v>10</v>
      </c>
      <c r="F9" s="84" t="s">
        <v>11</v>
      </c>
    </row>
    <row r="10" spans="1:11" ht="27.6">
      <c r="A10" s="194" t="s">
        <v>16</v>
      </c>
      <c r="B10" s="194" t="s">
        <v>1235</v>
      </c>
      <c r="C10" s="194" t="s">
        <v>1236</v>
      </c>
      <c r="D10" s="366" t="s">
        <v>1239</v>
      </c>
      <c r="E10" s="366" t="s">
        <v>1240</v>
      </c>
      <c r="F10" s="194" t="s">
        <v>1289</v>
      </c>
      <c r="H10" s="57"/>
      <c r="I10" s="57"/>
      <c r="J10" s="58"/>
      <c r="K10" s="58"/>
    </row>
    <row r="11" spans="1:11" customFormat="1" ht="13.8">
      <c r="A11" s="381">
        <v>1</v>
      </c>
      <c r="B11" s="581" t="s">
        <v>1547</v>
      </c>
      <c r="C11" s="581" t="s">
        <v>1548</v>
      </c>
      <c r="D11" s="518">
        <v>8162077.8499999996</v>
      </c>
      <c r="E11" s="518">
        <v>0</v>
      </c>
      <c r="F11" s="400">
        <f t="shared" ref="F11:F39" si="0">SUM(D11:E11)/2</f>
        <v>4081038.9249999998</v>
      </c>
    </row>
    <row r="12" spans="1:11" customFormat="1" ht="13.8">
      <c r="A12" s="381">
        <f>A11+1</f>
        <v>2</v>
      </c>
      <c r="B12" s="581" t="s">
        <v>1553</v>
      </c>
      <c r="C12" s="582" t="s">
        <v>1554</v>
      </c>
      <c r="D12" s="518">
        <v>3215969.66</v>
      </c>
      <c r="E12" s="518">
        <v>0</v>
      </c>
      <c r="F12" s="400">
        <f t="shared" si="0"/>
        <v>1607984.83</v>
      </c>
    </row>
    <row r="13" spans="1:11" customFormat="1" ht="13.8">
      <c r="A13" s="381">
        <f t="shared" ref="A13:A14" si="1">A12+1</f>
        <v>3</v>
      </c>
      <c r="B13" s="581" t="s">
        <v>1555</v>
      </c>
      <c r="C13" s="582" t="s">
        <v>1556</v>
      </c>
      <c r="D13" s="518">
        <v>1002178.79</v>
      </c>
      <c r="E13" s="518">
        <v>0</v>
      </c>
      <c r="F13" s="400">
        <f t="shared" si="0"/>
        <v>501089.39500000002</v>
      </c>
    </row>
    <row r="14" spans="1:11" customFormat="1" ht="13.8">
      <c r="A14" s="381">
        <f t="shared" si="1"/>
        <v>4</v>
      </c>
      <c r="B14" s="581" t="s">
        <v>1557</v>
      </c>
      <c r="C14" s="582" t="s">
        <v>1558</v>
      </c>
      <c r="D14" s="518">
        <v>369067</v>
      </c>
      <c r="E14" s="518">
        <v>653108.96</v>
      </c>
      <c r="F14" s="400">
        <f t="shared" si="0"/>
        <v>511087.98</v>
      </c>
    </row>
    <row r="15" spans="1:11" customFormat="1" ht="13.8">
      <c r="A15" s="381">
        <f>A14+1</f>
        <v>5</v>
      </c>
      <c r="B15" s="581" t="s">
        <v>1561</v>
      </c>
      <c r="C15" s="581" t="s">
        <v>1562</v>
      </c>
      <c r="D15" s="518">
        <v>440453.2</v>
      </c>
      <c r="E15" s="518">
        <v>879770.5</v>
      </c>
      <c r="F15" s="400">
        <f t="shared" si="0"/>
        <v>660111.85</v>
      </c>
    </row>
    <row r="16" spans="1:11" customFormat="1" ht="13.8">
      <c r="A16" s="381">
        <f t="shared" ref="A16:A48" si="2">A15+1</f>
        <v>6</v>
      </c>
      <c r="B16" s="581" t="s">
        <v>1565</v>
      </c>
      <c r="C16" s="582" t="s">
        <v>1566</v>
      </c>
      <c r="D16" s="518">
        <v>1043730</v>
      </c>
      <c r="E16" s="518">
        <v>0</v>
      </c>
      <c r="F16" s="400">
        <f t="shared" si="0"/>
        <v>521865</v>
      </c>
    </row>
    <row r="17" spans="1:6" customFormat="1" ht="13.8">
      <c r="A17" s="381">
        <f t="shared" si="2"/>
        <v>7</v>
      </c>
      <c r="B17" s="581" t="s">
        <v>1567</v>
      </c>
      <c r="C17" s="582" t="s">
        <v>1568</v>
      </c>
      <c r="D17" s="518">
        <v>5457428</v>
      </c>
      <c r="E17" s="518">
        <v>0</v>
      </c>
      <c r="F17" s="400">
        <f t="shared" si="0"/>
        <v>2728714</v>
      </c>
    </row>
    <row r="18" spans="1:6" customFormat="1" ht="13.8">
      <c r="A18" s="381">
        <f t="shared" si="2"/>
        <v>8</v>
      </c>
      <c r="B18" s="581" t="s">
        <v>1569</v>
      </c>
      <c r="C18" s="581" t="s">
        <v>1727</v>
      </c>
      <c r="D18" s="518">
        <v>4524761</v>
      </c>
      <c r="E18" s="518">
        <v>0</v>
      </c>
      <c r="F18" s="400">
        <f t="shared" si="0"/>
        <v>2262380.5</v>
      </c>
    </row>
    <row r="19" spans="1:6" customFormat="1" ht="13.8">
      <c r="A19" s="381">
        <f t="shared" si="2"/>
        <v>9</v>
      </c>
      <c r="B19" s="590" t="s">
        <v>1689</v>
      </c>
      <c r="C19" s="581" t="s">
        <v>1690</v>
      </c>
      <c r="D19" s="518">
        <v>0</v>
      </c>
      <c r="E19" s="518">
        <v>78938.710000000006</v>
      </c>
      <c r="F19" s="400">
        <f t="shared" si="0"/>
        <v>39469.355000000003</v>
      </c>
    </row>
    <row r="20" spans="1:6" customFormat="1" ht="13.8">
      <c r="A20" s="381">
        <f t="shared" si="2"/>
        <v>10</v>
      </c>
      <c r="B20" s="581" t="s">
        <v>1571</v>
      </c>
      <c r="C20" s="581" t="s">
        <v>1572</v>
      </c>
      <c r="D20" s="518">
        <v>2731318.28</v>
      </c>
      <c r="E20" s="518">
        <v>0</v>
      </c>
      <c r="F20" s="400">
        <f t="shared" si="0"/>
        <v>1365659.14</v>
      </c>
    </row>
    <row r="21" spans="1:6" customFormat="1" ht="13.8">
      <c r="A21" s="381">
        <f t="shared" si="2"/>
        <v>11</v>
      </c>
      <c r="B21" s="581" t="s">
        <v>1573</v>
      </c>
      <c r="C21" s="581" t="s">
        <v>1574</v>
      </c>
      <c r="D21" s="518">
        <v>44592.76</v>
      </c>
      <c r="E21" s="518">
        <v>0</v>
      </c>
      <c r="F21" s="400">
        <f t="shared" si="0"/>
        <v>22296.38</v>
      </c>
    </row>
    <row r="22" spans="1:6" customFormat="1" ht="13.8">
      <c r="A22" s="381">
        <f t="shared" si="2"/>
        <v>12</v>
      </c>
      <c r="B22" s="581" t="s">
        <v>1579</v>
      </c>
      <c r="C22" s="581" t="s">
        <v>1728</v>
      </c>
      <c r="D22" s="518">
        <v>2201597.83</v>
      </c>
      <c r="E22" s="518">
        <v>0</v>
      </c>
      <c r="F22" s="400">
        <f t="shared" si="0"/>
        <v>1100798.915</v>
      </c>
    </row>
    <row r="23" spans="1:6" customFormat="1" ht="13.8">
      <c r="A23" s="381">
        <f t="shared" si="2"/>
        <v>13</v>
      </c>
      <c r="B23" s="581" t="s">
        <v>1581</v>
      </c>
      <c r="C23" s="582" t="s">
        <v>1582</v>
      </c>
      <c r="D23" s="518">
        <v>505612</v>
      </c>
      <c r="E23" s="518">
        <v>505611.77</v>
      </c>
      <c r="F23" s="400">
        <f t="shared" si="0"/>
        <v>505611.88500000001</v>
      </c>
    </row>
    <row r="24" spans="1:6" customFormat="1" ht="13.8">
      <c r="A24" s="381">
        <f t="shared" si="2"/>
        <v>14</v>
      </c>
      <c r="B24" s="581" t="s">
        <v>1585</v>
      </c>
      <c r="C24" s="581" t="s">
        <v>1586</v>
      </c>
      <c r="D24" s="518">
        <v>1169649.1299999999</v>
      </c>
      <c r="E24" s="518">
        <v>0</v>
      </c>
      <c r="F24" s="400">
        <f t="shared" si="0"/>
        <v>584824.56499999994</v>
      </c>
    </row>
    <row r="25" spans="1:6" customFormat="1" ht="13.8">
      <c r="A25" s="381">
        <f t="shared" si="2"/>
        <v>15</v>
      </c>
      <c r="B25" s="581" t="s">
        <v>1729</v>
      </c>
      <c r="C25" s="582" t="s">
        <v>1730</v>
      </c>
      <c r="D25" s="518">
        <v>309525</v>
      </c>
      <c r="E25" s="518">
        <v>0</v>
      </c>
      <c r="F25" s="400">
        <f t="shared" si="0"/>
        <v>154762.5</v>
      </c>
    </row>
    <row r="26" spans="1:6" customFormat="1" ht="13.8">
      <c r="A26" s="381">
        <f t="shared" si="2"/>
        <v>16</v>
      </c>
      <c r="B26" s="581" t="s">
        <v>1589</v>
      </c>
      <c r="C26" s="581" t="s">
        <v>1590</v>
      </c>
      <c r="D26" s="518">
        <v>3467317.14</v>
      </c>
      <c r="E26" s="518">
        <v>0</v>
      </c>
      <c r="F26" s="400">
        <f t="shared" si="0"/>
        <v>1733658.57</v>
      </c>
    </row>
    <row r="27" spans="1:6" customFormat="1" ht="13.8">
      <c r="A27" s="381">
        <f t="shared" si="2"/>
        <v>17</v>
      </c>
      <c r="B27" s="581" t="s">
        <v>1591</v>
      </c>
      <c r="C27" s="581" t="s">
        <v>1592</v>
      </c>
      <c r="D27" s="518">
        <v>3613105.54</v>
      </c>
      <c r="E27" s="518">
        <v>0</v>
      </c>
      <c r="F27" s="400">
        <f t="shared" si="0"/>
        <v>1806552.77</v>
      </c>
    </row>
    <row r="28" spans="1:6" customFormat="1" ht="13.8">
      <c r="A28" s="381">
        <f t="shared" si="2"/>
        <v>18</v>
      </c>
      <c r="B28" s="581" t="s">
        <v>1595</v>
      </c>
      <c r="C28" s="581" t="s">
        <v>1596</v>
      </c>
      <c r="D28" s="518">
        <v>2963742.01</v>
      </c>
      <c r="E28" s="518">
        <v>0</v>
      </c>
      <c r="F28" s="400">
        <f t="shared" si="0"/>
        <v>1481871.0049999999</v>
      </c>
    </row>
    <row r="29" spans="1:6" customFormat="1" ht="13.8">
      <c r="A29" s="381">
        <f t="shared" si="2"/>
        <v>19</v>
      </c>
      <c r="B29" s="581" t="s">
        <v>1597</v>
      </c>
      <c r="C29" s="581" t="s">
        <v>1598</v>
      </c>
      <c r="D29" s="518">
        <v>2338844.4500000002</v>
      </c>
      <c r="E29" s="518">
        <v>0</v>
      </c>
      <c r="F29" s="400">
        <f t="shared" si="0"/>
        <v>1169422.2250000001</v>
      </c>
    </row>
    <row r="30" spans="1:6" customFormat="1" ht="13.8">
      <c r="A30" s="381">
        <f t="shared" si="2"/>
        <v>20</v>
      </c>
      <c r="B30" s="581" t="s">
        <v>1599</v>
      </c>
      <c r="C30" s="581" t="s">
        <v>1600</v>
      </c>
      <c r="D30" s="518">
        <v>2089108.29</v>
      </c>
      <c r="E30" s="518">
        <v>1980163.29</v>
      </c>
      <c r="F30" s="400">
        <f t="shared" si="0"/>
        <v>2034635.79</v>
      </c>
    </row>
    <row r="31" spans="1:6" customFormat="1" ht="13.8">
      <c r="A31" s="381">
        <f t="shared" si="2"/>
        <v>21</v>
      </c>
      <c r="B31" s="581" t="s">
        <v>1601</v>
      </c>
      <c r="C31" s="581" t="s">
        <v>1602</v>
      </c>
      <c r="D31" s="518">
        <v>3809166.36</v>
      </c>
      <c r="E31" s="518">
        <v>0</v>
      </c>
      <c r="F31" s="400">
        <f t="shared" si="0"/>
        <v>1904583.18</v>
      </c>
    </row>
    <row r="32" spans="1:6" customFormat="1" ht="13.8">
      <c r="A32" s="381">
        <f t="shared" si="2"/>
        <v>22</v>
      </c>
      <c r="B32" s="581" t="s">
        <v>1603</v>
      </c>
      <c r="C32" s="581" t="s">
        <v>1604</v>
      </c>
      <c r="D32" s="518">
        <v>1555002.78</v>
      </c>
      <c r="E32" s="518">
        <v>0</v>
      </c>
      <c r="F32" s="400">
        <f t="shared" si="0"/>
        <v>777501.39</v>
      </c>
    </row>
    <row r="33" spans="1:6" customFormat="1" ht="13.8">
      <c r="A33" s="381">
        <f t="shared" si="2"/>
        <v>23</v>
      </c>
      <c r="B33" s="581" t="s">
        <v>1605</v>
      </c>
      <c r="C33" s="581" t="s">
        <v>1606</v>
      </c>
      <c r="D33" s="518">
        <v>0</v>
      </c>
      <c r="E33" s="518">
        <v>194512.01</v>
      </c>
      <c r="F33" s="400">
        <f t="shared" si="0"/>
        <v>97256.005000000005</v>
      </c>
    </row>
    <row r="34" spans="1:6" customFormat="1" ht="13.8">
      <c r="A34" s="381">
        <f t="shared" si="2"/>
        <v>24</v>
      </c>
      <c r="B34" s="581" t="s">
        <v>1613</v>
      </c>
      <c r="C34" s="581" t="s">
        <v>1614</v>
      </c>
      <c r="D34" s="518">
        <v>768431.89</v>
      </c>
      <c r="E34" s="518">
        <v>0</v>
      </c>
      <c r="F34" s="400">
        <f t="shared" si="0"/>
        <v>384215.94500000001</v>
      </c>
    </row>
    <row r="35" spans="1:6" customFormat="1" ht="13.8">
      <c r="A35" s="381">
        <f t="shared" si="2"/>
        <v>25</v>
      </c>
      <c r="B35" s="581" t="s">
        <v>1615</v>
      </c>
      <c r="C35" s="582" t="s">
        <v>1616</v>
      </c>
      <c r="D35" s="518">
        <v>274016</v>
      </c>
      <c r="E35" s="518">
        <v>0</v>
      </c>
      <c r="F35" s="400">
        <f t="shared" si="0"/>
        <v>137008</v>
      </c>
    </row>
    <row r="36" spans="1:6" customFormat="1" ht="13.8">
      <c r="A36" s="381">
        <f t="shared" si="2"/>
        <v>26</v>
      </c>
      <c r="B36" s="581" t="s">
        <v>1617</v>
      </c>
      <c r="C36" s="581" t="s">
        <v>1618</v>
      </c>
      <c r="D36" s="518">
        <v>222138.15</v>
      </c>
      <c r="E36" s="518">
        <v>232896.08</v>
      </c>
      <c r="F36" s="400">
        <f t="shared" si="0"/>
        <v>227517.11499999999</v>
      </c>
    </row>
    <row r="37" spans="1:6" customFormat="1" ht="13.8">
      <c r="A37" s="381">
        <f t="shared" si="2"/>
        <v>27</v>
      </c>
      <c r="B37" s="581" t="s">
        <v>1621</v>
      </c>
      <c r="C37" s="581" t="s">
        <v>1622</v>
      </c>
      <c r="D37" s="518">
        <v>57300.639999999999</v>
      </c>
      <c r="E37" s="518">
        <v>0</v>
      </c>
      <c r="F37" s="400">
        <f t="shared" si="0"/>
        <v>28650.32</v>
      </c>
    </row>
    <row r="38" spans="1:6" customFormat="1" ht="13.8">
      <c r="A38" s="381">
        <f t="shared" si="2"/>
        <v>28</v>
      </c>
      <c r="B38" s="581" t="s">
        <v>1625</v>
      </c>
      <c r="C38" s="582" t="s">
        <v>1626</v>
      </c>
      <c r="D38" s="518">
        <v>0</v>
      </c>
      <c r="E38" s="518">
        <v>1858891.1</v>
      </c>
      <c r="F38" s="400">
        <f t="shared" si="0"/>
        <v>929445.55</v>
      </c>
    </row>
    <row r="39" spans="1:6" customFormat="1" ht="13.8">
      <c r="A39" s="381">
        <f t="shared" si="2"/>
        <v>29</v>
      </c>
      <c r="B39" s="581" t="s">
        <v>1629</v>
      </c>
      <c r="C39" s="581" t="s">
        <v>1630</v>
      </c>
      <c r="D39" s="518">
        <v>298850.64</v>
      </c>
      <c r="E39" s="518">
        <v>0</v>
      </c>
      <c r="F39" s="400">
        <f t="shared" si="0"/>
        <v>149425.32</v>
      </c>
    </row>
    <row r="40" spans="1:6" customFormat="1" ht="13.8">
      <c r="A40" s="381">
        <f t="shared" si="2"/>
        <v>30</v>
      </c>
      <c r="B40" s="581" t="s">
        <v>1653</v>
      </c>
      <c r="C40" s="581" t="s">
        <v>1654</v>
      </c>
      <c r="D40" s="518">
        <v>0</v>
      </c>
      <c r="E40" s="518">
        <v>51545.23</v>
      </c>
      <c r="F40" s="400">
        <f t="shared" ref="F40:F48" si="3">SUM(D40:E40)/2</f>
        <v>25772.615000000002</v>
      </c>
    </row>
    <row r="41" spans="1:6" customFormat="1" ht="13.8">
      <c r="A41" s="381">
        <f t="shared" si="2"/>
        <v>31</v>
      </c>
      <c r="B41" s="581" t="s">
        <v>1655</v>
      </c>
      <c r="C41" s="581" t="s">
        <v>1656</v>
      </c>
      <c r="D41" s="518">
        <v>148005.79999999999</v>
      </c>
      <c r="E41" s="518">
        <v>0</v>
      </c>
      <c r="F41" s="400">
        <f t="shared" si="3"/>
        <v>74002.899999999994</v>
      </c>
    </row>
    <row r="42" spans="1:6" customFormat="1" ht="13.8">
      <c r="A42" s="381">
        <f t="shared" si="2"/>
        <v>32</v>
      </c>
      <c r="B42" s="581" t="s">
        <v>1657</v>
      </c>
      <c r="C42" s="581" t="s">
        <v>1658</v>
      </c>
      <c r="D42" s="518">
        <v>70689.39</v>
      </c>
      <c r="E42" s="518">
        <v>0</v>
      </c>
      <c r="F42" s="400">
        <f t="shared" si="3"/>
        <v>35344.695</v>
      </c>
    </row>
    <row r="43" spans="1:6" customFormat="1" ht="13.8">
      <c r="A43" s="381">
        <f t="shared" si="2"/>
        <v>33</v>
      </c>
      <c r="B43" s="581" t="s">
        <v>1661</v>
      </c>
      <c r="C43" s="581" t="s">
        <v>1662</v>
      </c>
      <c r="D43" s="518">
        <v>49191.040000000001</v>
      </c>
      <c r="E43" s="518">
        <v>0</v>
      </c>
      <c r="F43" s="400">
        <f t="shared" si="3"/>
        <v>24595.52</v>
      </c>
    </row>
    <row r="44" spans="1:6" customFormat="1" ht="13.8">
      <c r="A44" s="381">
        <f t="shared" si="2"/>
        <v>34</v>
      </c>
      <c r="B44" s="581" t="s">
        <v>1679</v>
      </c>
      <c r="C44" s="581" t="s">
        <v>1680</v>
      </c>
      <c r="D44" s="518">
        <v>0</v>
      </c>
      <c r="E44" s="518">
        <v>20483.36</v>
      </c>
      <c r="F44" s="400">
        <f t="shared" si="3"/>
        <v>10241.68</v>
      </c>
    </row>
    <row r="45" spans="1:6" customFormat="1" ht="13.8">
      <c r="A45" s="381">
        <f t="shared" si="2"/>
        <v>35</v>
      </c>
      <c r="B45" s="581" t="s">
        <v>1681</v>
      </c>
      <c r="C45" s="581" t="s">
        <v>1682</v>
      </c>
      <c r="D45" s="518">
        <v>0</v>
      </c>
      <c r="E45" s="518">
        <v>46886.3</v>
      </c>
      <c r="F45" s="400">
        <f t="shared" si="3"/>
        <v>23443.15</v>
      </c>
    </row>
    <row r="46" spans="1:6" customFormat="1" ht="13.8">
      <c r="A46" s="381">
        <f t="shared" si="2"/>
        <v>36</v>
      </c>
      <c r="B46" s="581" t="s">
        <v>1683</v>
      </c>
      <c r="C46" s="581" t="s">
        <v>1684</v>
      </c>
      <c r="D46" s="518">
        <v>0</v>
      </c>
      <c r="E46" s="518">
        <v>18891.5</v>
      </c>
      <c r="F46" s="400">
        <f t="shared" si="3"/>
        <v>9445.75</v>
      </c>
    </row>
    <row r="47" spans="1:6" customFormat="1" ht="13.8">
      <c r="A47" s="381">
        <f t="shared" si="2"/>
        <v>37</v>
      </c>
      <c r="B47" s="581" t="s">
        <v>1685</v>
      </c>
      <c r="C47" s="581" t="s">
        <v>1686</v>
      </c>
      <c r="D47" s="518">
        <v>0</v>
      </c>
      <c r="E47" s="518">
        <v>4896190.4000000004</v>
      </c>
      <c r="F47" s="400">
        <f t="shared" si="3"/>
        <v>2448095.2000000002</v>
      </c>
    </row>
    <row r="48" spans="1:6" customFormat="1" ht="13.8">
      <c r="A48" s="381">
        <f t="shared" si="2"/>
        <v>38</v>
      </c>
      <c r="B48" s="590" t="s">
        <v>1701</v>
      </c>
      <c r="C48" s="581" t="s">
        <v>1716</v>
      </c>
      <c r="D48" s="518">
        <v>0</v>
      </c>
      <c r="E48" s="518">
        <v>40141.42</v>
      </c>
      <c r="F48" s="400">
        <f t="shared" si="3"/>
        <v>20070.71</v>
      </c>
    </row>
    <row r="49" spans="1:22" ht="13.8">
      <c r="A49" s="195"/>
      <c r="B49" s="62"/>
      <c r="C49" s="62"/>
      <c r="D49" s="9"/>
      <c r="E49" s="9"/>
      <c r="F49" s="9"/>
      <c r="H49" s="56"/>
      <c r="I49" s="56"/>
      <c r="J49" s="60"/>
      <c r="K49" s="60"/>
    </row>
    <row r="50" spans="1:22" ht="13.8">
      <c r="A50" s="195">
        <f>A48+1</f>
        <v>39</v>
      </c>
      <c r="B50" s="106" t="s">
        <v>1095</v>
      </c>
      <c r="C50" s="107"/>
      <c r="D50" s="42">
        <f>SUM(D11:D48)</f>
        <v>52902870.619999997</v>
      </c>
      <c r="E50" s="42">
        <f>SUM(E11:E48)</f>
        <v>11458030.630000001</v>
      </c>
      <c r="F50" s="42">
        <f>SUM(F11:F48)</f>
        <v>32180450.624999996</v>
      </c>
      <c r="H50" s="57"/>
      <c r="I50" s="61"/>
      <c r="J50" s="61"/>
      <c r="K50" s="61"/>
    </row>
    <row r="51" spans="1:22" ht="13.8">
      <c r="A51" s="195">
        <f>A50+1</f>
        <v>40</v>
      </c>
      <c r="B51" s="527" t="s">
        <v>1306</v>
      </c>
      <c r="C51" s="59"/>
      <c r="D51" s="59"/>
      <c r="E51" s="59"/>
      <c r="F51" s="59"/>
      <c r="J51" s="59"/>
      <c r="K51" s="59"/>
    </row>
    <row r="52" spans="1:22" ht="13.8">
      <c r="A52" s="195">
        <f t="shared" ref="A52:A58" si="4">A51+1</f>
        <v>41</v>
      </c>
      <c r="B52" s="52" t="s">
        <v>1308</v>
      </c>
      <c r="E52" s="59"/>
      <c r="F52" s="59"/>
      <c r="J52" s="59"/>
      <c r="K52" s="59"/>
    </row>
    <row r="53" spans="1:22" ht="13.8">
      <c r="A53" s="195">
        <f t="shared" si="4"/>
        <v>42</v>
      </c>
      <c r="B53" s="52" t="s">
        <v>1502</v>
      </c>
      <c r="J53" s="59"/>
    </row>
    <row r="54" spans="1:22" ht="13.8">
      <c r="A54" s="195">
        <f t="shared" si="4"/>
        <v>43</v>
      </c>
      <c r="B54" s="52" t="s">
        <v>1503</v>
      </c>
      <c r="C54" s="372"/>
      <c r="D54" s="372"/>
      <c r="E54" s="372"/>
      <c r="F54" s="372"/>
      <c r="G54" s="372"/>
      <c r="H54" s="372"/>
      <c r="I54" s="372"/>
      <c r="J54" s="372"/>
      <c r="K54" s="372"/>
      <c r="L54" s="372"/>
      <c r="M54" s="372"/>
      <c r="N54" s="372"/>
      <c r="O54" s="372"/>
      <c r="P54" s="372"/>
      <c r="Q54" s="372"/>
      <c r="R54" s="372"/>
      <c r="S54" s="372"/>
      <c r="T54" s="372"/>
      <c r="U54" s="372"/>
      <c r="V54" s="372"/>
    </row>
    <row r="55" spans="1:22" ht="13.8">
      <c r="A55" s="195">
        <f t="shared" si="4"/>
        <v>44</v>
      </c>
      <c r="B55" s="52" t="s">
        <v>1504</v>
      </c>
      <c r="C55" s="372"/>
      <c r="D55" s="372"/>
      <c r="E55" s="372"/>
      <c r="F55" s="372"/>
      <c r="G55" s="372"/>
      <c r="H55" s="372"/>
      <c r="I55" s="372"/>
      <c r="J55" s="372"/>
      <c r="K55" s="372"/>
      <c r="L55" s="372"/>
      <c r="M55" s="372"/>
      <c r="N55" s="372"/>
      <c r="O55" s="372"/>
      <c r="P55" s="372"/>
      <c r="Q55" s="372"/>
      <c r="R55" s="372"/>
      <c r="S55" s="372"/>
      <c r="T55" s="372"/>
      <c r="U55" s="372"/>
      <c r="V55" s="372"/>
    </row>
    <row r="56" spans="1:22" ht="13.8">
      <c r="A56" s="195">
        <f t="shared" si="4"/>
        <v>45</v>
      </c>
      <c r="B56" s="52" t="s">
        <v>1505</v>
      </c>
      <c r="C56" s="372"/>
      <c r="D56" s="372"/>
      <c r="E56" s="372"/>
      <c r="F56" s="372"/>
      <c r="G56" s="372"/>
      <c r="H56" s="372"/>
      <c r="I56" s="372"/>
      <c r="J56" s="372"/>
      <c r="K56" s="372"/>
      <c r="L56" s="372"/>
      <c r="M56" s="372"/>
      <c r="N56" s="372"/>
      <c r="O56" s="372"/>
      <c r="P56" s="372"/>
      <c r="Q56" s="372"/>
      <c r="R56" s="372"/>
      <c r="S56" s="372"/>
      <c r="T56" s="372"/>
      <c r="U56" s="372"/>
      <c r="V56" s="372"/>
    </row>
    <row r="57" spans="1:22" ht="13.8">
      <c r="A57" s="195">
        <f t="shared" si="4"/>
        <v>46</v>
      </c>
      <c r="B57" s="52" t="s">
        <v>1506</v>
      </c>
      <c r="C57" s="372"/>
      <c r="D57" s="372"/>
      <c r="E57" s="372"/>
      <c r="F57" s="372"/>
      <c r="G57" s="372"/>
      <c r="H57" s="372"/>
      <c r="I57" s="372"/>
      <c r="J57" s="372"/>
      <c r="K57" s="372"/>
      <c r="L57" s="372"/>
      <c r="M57" s="372"/>
      <c r="N57" s="372"/>
      <c r="O57" s="372"/>
      <c r="P57" s="372"/>
      <c r="Q57" s="372"/>
      <c r="R57" s="372"/>
      <c r="S57" s="372"/>
      <c r="T57" s="372"/>
      <c r="U57" s="372"/>
      <c r="V57" s="372"/>
    </row>
    <row r="58" spans="1:22" ht="13.8">
      <c r="A58" s="195">
        <f t="shared" si="4"/>
        <v>47</v>
      </c>
      <c r="B58" s="83" t="s">
        <v>1507</v>
      </c>
      <c r="C58" s="372"/>
      <c r="D58" s="372"/>
      <c r="E58" s="372"/>
      <c r="F58" s="372"/>
      <c r="G58" s="372"/>
      <c r="H58" s="372"/>
      <c r="I58" s="372"/>
      <c r="J58" s="372"/>
      <c r="K58" s="372"/>
      <c r="L58" s="372"/>
      <c r="M58" s="372"/>
      <c r="N58" s="372"/>
      <c r="O58" s="372"/>
      <c r="P58" s="372"/>
      <c r="Q58" s="372"/>
      <c r="R58" s="372"/>
      <c r="S58" s="372"/>
      <c r="T58" s="372"/>
      <c r="U58" s="372"/>
      <c r="V58" s="372"/>
    </row>
    <row r="59" spans="1:22" ht="14.4">
      <c r="A59" s="375"/>
      <c r="B59" s="83"/>
      <c r="C59" s="375"/>
      <c r="D59" s="375"/>
      <c r="E59" s="375"/>
      <c r="F59" s="375"/>
      <c r="G59" s="375"/>
      <c r="H59" s="375"/>
      <c r="I59" s="375"/>
      <c r="J59" s="375"/>
      <c r="K59" s="375"/>
      <c r="L59" s="375"/>
      <c r="M59" s="375"/>
      <c r="N59" s="375"/>
      <c r="O59" s="375"/>
      <c r="P59" s="375"/>
      <c r="Q59" s="375"/>
      <c r="R59" s="375"/>
      <c r="S59" s="375"/>
      <c r="T59" s="375"/>
      <c r="U59" s="375"/>
      <c r="V59" s="375"/>
    </row>
    <row r="60" spans="1:22" ht="14.4">
      <c r="A60" s="375"/>
      <c r="B60" s="83"/>
      <c r="C60" s="375"/>
      <c r="D60" s="375"/>
      <c r="E60" s="375"/>
      <c r="F60" s="375"/>
      <c r="G60" s="375"/>
      <c r="H60" s="375"/>
      <c r="I60" s="375"/>
      <c r="J60" s="375"/>
      <c r="K60" s="375"/>
      <c r="L60" s="375"/>
      <c r="M60" s="375"/>
      <c r="N60" s="375"/>
      <c r="O60" s="375"/>
      <c r="P60" s="375"/>
      <c r="Q60" s="375"/>
      <c r="R60" s="375"/>
      <c r="S60" s="375"/>
      <c r="T60" s="375"/>
      <c r="U60" s="375"/>
      <c r="V60" s="375"/>
    </row>
    <row r="61" spans="1:22" ht="14.4">
      <c r="A61" s="375"/>
      <c r="B61" s="83"/>
      <c r="C61" s="375"/>
      <c r="D61" s="375"/>
      <c r="E61" s="375"/>
      <c r="F61" s="375"/>
      <c r="G61" s="375"/>
      <c r="H61" s="375"/>
      <c r="I61" s="375"/>
      <c r="J61" s="375"/>
      <c r="K61" s="375"/>
      <c r="L61" s="375"/>
      <c r="M61" s="375"/>
      <c r="N61" s="375"/>
      <c r="O61" s="375"/>
      <c r="P61" s="375"/>
      <c r="Q61" s="375"/>
      <c r="R61" s="375"/>
      <c r="S61" s="375"/>
      <c r="T61" s="375"/>
      <c r="U61" s="375"/>
      <c r="V61" s="375"/>
    </row>
    <row r="62" spans="1:22" ht="14.4">
      <c r="A62" s="375"/>
      <c r="B62" s="83"/>
      <c r="C62" s="375"/>
      <c r="D62" s="375"/>
      <c r="E62" s="375"/>
      <c r="F62" s="375"/>
      <c r="G62" s="375"/>
      <c r="H62" s="375"/>
      <c r="I62" s="375"/>
      <c r="J62" s="375"/>
      <c r="K62" s="375"/>
      <c r="L62" s="375"/>
      <c r="M62" s="375"/>
      <c r="N62" s="375"/>
      <c r="O62" s="375"/>
      <c r="P62" s="375"/>
      <c r="Q62" s="375"/>
      <c r="R62" s="375"/>
      <c r="S62" s="375"/>
      <c r="T62" s="375"/>
      <c r="U62" s="375"/>
      <c r="V62" s="375"/>
    </row>
    <row r="63" spans="1:22" ht="14.4">
      <c r="A63" s="375"/>
      <c r="B63" s="83"/>
      <c r="C63" s="375"/>
      <c r="D63" s="375"/>
      <c r="E63" s="375"/>
      <c r="F63" s="375"/>
      <c r="G63" s="375"/>
      <c r="H63" s="375"/>
      <c r="I63" s="375"/>
      <c r="J63" s="375"/>
      <c r="K63" s="375"/>
      <c r="L63" s="375"/>
      <c r="M63" s="375"/>
      <c r="N63" s="375"/>
      <c r="O63" s="375"/>
      <c r="P63" s="375"/>
      <c r="Q63" s="375"/>
      <c r="R63" s="375"/>
      <c r="S63" s="375"/>
      <c r="T63" s="375"/>
      <c r="U63" s="375"/>
      <c r="V63" s="375"/>
    </row>
    <row r="88" spans="9:11">
      <c r="I88" s="59"/>
      <c r="J88" s="59"/>
      <c r="K88" s="59"/>
    </row>
    <row r="89" spans="9:11">
      <c r="I89" s="59"/>
      <c r="J89" s="59"/>
      <c r="K89" s="59"/>
    </row>
    <row r="90" spans="9:11">
      <c r="I90" s="59"/>
      <c r="J90" s="59"/>
      <c r="K90" s="59"/>
    </row>
    <row r="91" spans="9:11">
      <c r="I91" s="59"/>
      <c r="J91" s="59"/>
      <c r="K91" s="59"/>
    </row>
    <row r="92" spans="9:11">
      <c r="I92" s="59"/>
      <c r="J92" s="59"/>
      <c r="K92" s="59"/>
    </row>
    <row r="93" spans="9:11">
      <c r="I93" s="59"/>
      <c r="J93" s="59"/>
      <c r="K93" s="59"/>
    </row>
    <row r="94" spans="9:11">
      <c r="I94" s="59"/>
      <c r="J94" s="59"/>
      <c r="K94" s="59"/>
    </row>
    <row r="95" spans="9:11">
      <c r="I95" s="59"/>
      <c r="J95" s="59"/>
      <c r="K95" s="59"/>
    </row>
    <row r="96" spans="9:11">
      <c r="I96" s="59"/>
      <c r="J96" s="59"/>
      <c r="K96" s="59"/>
    </row>
    <row r="97" spans="9:11">
      <c r="I97" s="59"/>
      <c r="J97" s="59"/>
      <c r="K97" s="59"/>
    </row>
    <row r="98" spans="9:11">
      <c r="I98" s="59"/>
      <c r="J98" s="59"/>
      <c r="K98" s="59"/>
    </row>
  </sheetData>
  <printOptions horizontalCentered="1"/>
  <pageMargins left="0.7" right="0.7" top="0.75" bottom="0.75" header="0.3" footer="0.3"/>
  <pageSetup scale="80" fitToHeight="0" orientation="landscape" horizontalDpi="1200" verticalDpi="1200" r:id="rId1"/>
  <headerFooter>
    <oddHeader xml:space="preserve">&amp;RPage &amp;P
Worksheet  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4"/>
  <sheetViews>
    <sheetView tabSelected="1" topLeftCell="A10" zoomScaleNormal="100" workbookViewId="0">
      <selection activeCell="I13" sqref="I13"/>
    </sheetView>
  </sheetViews>
  <sheetFormatPr defaultColWidth="9.19921875" defaultRowHeight="13.8"/>
  <cols>
    <col min="1" max="1" width="2.59765625" style="2" customWidth="1"/>
    <col min="2" max="2" width="5.59765625" style="2" customWidth="1"/>
    <col min="3" max="3" width="10.19921875" style="2" customWidth="1"/>
    <col min="4" max="4" width="44.69921875" style="2" customWidth="1"/>
    <col min="5" max="5" width="33.59765625" style="2" customWidth="1"/>
    <col min="6" max="8" width="15.59765625" style="2" customWidth="1"/>
    <col min="9" max="9" width="13.69921875" style="2" customWidth="1"/>
    <col min="10" max="10" width="12.5" style="2" customWidth="1"/>
    <col min="11" max="11" width="12.3984375" style="2" customWidth="1"/>
    <col min="12" max="12" width="14.5" style="2" customWidth="1"/>
    <col min="13" max="13" width="19.19921875" style="2" customWidth="1"/>
    <col min="14" max="16384" width="9.19921875" style="2"/>
  </cols>
  <sheetData>
    <row r="1" spans="2:11">
      <c r="I1" s="177"/>
    </row>
    <row r="2" spans="2:11">
      <c r="K2" s="178" t="s">
        <v>1355</v>
      </c>
    </row>
    <row r="4" spans="2:11" ht="17.399999999999999">
      <c r="B4" s="359" t="str">
        <f>Index!$B$4</f>
        <v>Western Farmers Electric Cooperative, Inc.</v>
      </c>
    </row>
    <row r="5" spans="2:11" ht="17.399999999999999">
      <c r="B5" s="357"/>
      <c r="I5" s="2" t="s">
        <v>0</v>
      </c>
    </row>
    <row r="6" spans="2:11" ht="17.399999999999999">
      <c r="B6" s="358" t="s">
        <v>8</v>
      </c>
    </row>
    <row r="7" spans="2:11" ht="17.399999999999999">
      <c r="B7" s="359" t="str">
        <f>Index!$B$6</f>
        <v>Year Ending December 31, 2016</v>
      </c>
      <c r="E7" s="2" t="s">
        <v>0</v>
      </c>
    </row>
    <row r="9" spans="2:11">
      <c r="B9" s="17" t="s">
        <v>3</v>
      </c>
      <c r="C9" s="17" t="s">
        <v>4</v>
      </c>
      <c r="D9" s="17" t="s">
        <v>5</v>
      </c>
      <c r="E9" s="17" t="s">
        <v>9</v>
      </c>
      <c r="F9" s="17" t="s">
        <v>10</v>
      </c>
      <c r="G9" s="17" t="s">
        <v>11</v>
      </c>
      <c r="H9" s="17" t="s">
        <v>12</v>
      </c>
      <c r="I9" s="17" t="s">
        <v>13</v>
      </c>
    </row>
    <row r="10" spans="2:11" ht="27.6">
      <c r="B10" s="201" t="s">
        <v>16</v>
      </c>
      <c r="C10" s="201" t="s">
        <v>198</v>
      </c>
      <c r="D10" s="201" t="s">
        <v>7</v>
      </c>
      <c r="E10" s="201" t="s">
        <v>17</v>
      </c>
      <c r="F10" s="201" t="s">
        <v>18</v>
      </c>
      <c r="G10" s="201" t="s">
        <v>20</v>
      </c>
      <c r="H10" s="201" t="s">
        <v>21</v>
      </c>
      <c r="I10" s="201" t="s">
        <v>22</v>
      </c>
    </row>
    <row r="11" spans="2:11">
      <c r="B11" s="329"/>
      <c r="C11" s="329"/>
      <c r="D11" s="329"/>
      <c r="E11" s="329" t="s">
        <v>0</v>
      </c>
      <c r="F11" s="329"/>
      <c r="G11" s="329"/>
      <c r="H11" s="329"/>
    </row>
    <row r="12" spans="2:11">
      <c r="B12" s="6">
        <v>1</v>
      </c>
      <c r="C12" s="6"/>
      <c r="D12" s="285" t="s">
        <v>23</v>
      </c>
      <c r="I12" s="23"/>
    </row>
    <row r="13" spans="2:11">
      <c r="B13" s="6">
        <f>B12+1</f>
        <v>2</v>
      </c>
      <c r="C13" s="6"/>
      <c r="D13" s="2" t="s">
        <v>24</v>
      </c>
      <c r="E13" s="2" t="str">
        <f>'Worksheet B, Expenses'!O2&amp;", Line "&amp;'Worksheet B, Expenses'!B59&amp;", Col "&amp;'Worksheet B, Expenses'!K9</f>
        <v>Worksheet B, Line 41, Col J</v>
      </c>
      <c r="I13" s="12">
        <f>'Worksheet B, Expenses'!K59</f>
        <v>40773479.68250607</v>
      </c>
    </row>
    <row r="14" spans="2:11">
      <c r="B14" s="6"/>
      <c r="C14" s="6"/>
      <c r="I14" s="12"/>
    </row>
    <row r="15" spans="2:11">
      <c r="B15" s="6">
        <f>B13+1</f>
        <v>3</v>
      </c>
      <c r="C15" s="6"/>
      <c r="D15" s="2" t="s">
        <v>25</v>
      </c>
      <c r="E15" s="3"/>
      <c r="F15" s="3"/>
      <c r="G15" s="3"/>
      <c r="H15" s="354"/>
      <c r="I15" s="12"/>
    </row>
    <row r="16" spans="2:11">
      <c r="B16" s="6">
        <f t="shared" ref="B16:B27" si="0">B15+1</f>
        <v>4</v>
      </c>
      <c r="C16" s="6">
        <v>451</v>
      </c>
      <c r="D16" s="2" t="s">
        <v>26</v>
      </c>
      <c r="E16" s="3" t="str">
        <f>'Worksheet N, OthRev Input'!$H$2&amp;", Line "&amp;'Worksheet N, OthRev Input'!A55&amp;" Column "&amp;'Worksheet N, OthRev Input'!$F$9</f>
        <v>Worksheet N, Line 44 Column E</v>
      </c>
      <c r="F16" s="209">
        <f>'Worksheet N, OthRev Input'!$F55</f>
        <v>-240297.68</v>
      </c>
      <c r="G16" s="339" t="s">
        <v>1305</v>
      </c>
      <c r="H16" s="336">
        <f>'Worksheet E, Alloc. Factor'!F36</f>
        <v>0.22527736485946975</v>
      </c>
      <c r="I16" s="9">
        <f t="shared" ref="I16:I17" si="1">F16*H16</f>
        <v>-54133.628132244106</v>
      </c>
    </row>
    <row r="17" spans="1:9">
      <c r="B17" s="6">
        <f t="shared" si="0"/>
        <v>5</v>
      </c>
      <c r="C17" s="6">
        <v>454</v>
      </c>
      <c r="D17" s="2" t="s">
        <v>27</v>
      </c>
      <c r="E17" s="3" t="str">
        <f>'Worksheet N, OthRev Input'!$H$2&amp;", Line "&amp;'Worksheet N, OthRev Input'!A56&amp;" Column "&amp;'Worksheet N, OthRev Input'!$F$9</f>
        <v>Worksheet N, Line 45 Column E</v>
      </c>
      <c r="F17" s="209">
        <f>'Worksheet N, OthRev Input'!$F56</f>
        <v>-8060</v>
      </c>
      <c r="G17" s="339" t="s">
        <v>1305</v>
      </c>
      <c r="H17" s="336">
        <f>'Worksheet E, Alloc. Factor'!F36</f>
        <v>0.22527736485946975</v>
      </c>
      <c r="I17" s="9">
        <f t="shared" si="1"/>
        <v>-1815.7355607673262</v>
      </c>
    </row>
    <row r="18" spans="1:9">
      <c r="B18" s="6">
        <f t="shared" si="0"/>
        <v>6</v>
      </c>
      <c r="C18" s="6">
        <v>456</v>
      </c>
      <c r="D18" s="2" t="s">
        <v>28</v>
      </c>
      <c r="E18" s="3" t="str">
        <f>'Worksheet N, OthRev Input'!$H$2&amp;", Line "&amp;'Worksheet N, OthRev Input'!A57&amp;" Column "&amp;'Worksheet N, OthRev Input'!$F$9</f>
        <v>Worksheet N, Line 46 Column E</v>
      </c>
      <c r="F18" s="209">
        <f>'Worksheet N, OthRev Input'!$F57</f>
        <v>-777965.23</v>
      </c>
      <c r="G18" s="339" t="s">
        <v>29</v>
      </c>
      <c r="H18" s="336">
        <f>'Worksheet E, Alloc. Factor'!F40</f>
        <v>0</v>
      </c>
      <c r="I18" s="9">
        <f>F18*H18</f>
        <v>0</v>
      </c>
    </row>
    <row r="19" spans="1:9">
      <c r="B19" s="6">
        <f t="shared" si="0"/>
        <v>7</v>
      </c>
      <c r="C19" s="6">
        <v>456</v>
      </c>
      <c r="D19" s="28" t="s">
        <v>30</v>
      </c>
      <c r="E19" s="3" t="str">
        <f>'Worksheet N, OthRev Input'!$H$2&amp;", Line "&amp;'Worksheet N, OthRev Input'!A58&amp;" Column "&amp;'Worksheet N, OthRev Input'!$F$9</f>
        <v>Worksheet N, Line 47 Column E</v>
      </c>
      <c r="F19" s="209">
        <f>'Worksheet N, OthRev Input'!$F58</f>
        <v>-36281350.770000003</v>
      </c>
      <c r="G19" s="339" t="s">
        <v>29</v>
      </c>
      <c r="H19" s="336">
        <f>'Worksheet E, Alloc. Factor'!F40</f>
        <v>0</v>
      </c>
      <c r="I19" s="9">
        <f>F19*H19</f>
        <v>0</v>
      </c>
    </row>
    <row r="20" spans="1:9">
      <c r="A20" s="6"/>
      <c r="B20" s="6">
        <f t="shared" si="0"/>
        <v>8</v>
      </c>
      <c r="C20" s="6">
        <v>456</v>
      </c>
      <c r="D20" s="28" t="s">
        <v>31</v>
      </c>
      <c r="E20" s="3" t="str">
        <f>'Worksheet N, OthRev Input'!$H$2&amp;", Line "&amp;'Worksheet N, OthRev Input'!A59&amp;" Column "&amp;'Worksheet N, OthRev Input'!$F$9</f>
        <v>Worksheet N, Line 48 Column E</v>
      </c>
      <c r="F20" s="209">
        <f>'Worksheet N, OthRev Input'!$F59</f>
        <v>-2695419.19</v>
      </c>
      <c r="G20" s="339" t="s">
        <v>29</v>
      </c>
      <c r="H20" s="336">
        <f>'Worksheet E, Alloc. Factor'!F40</f>
        <v>0</v>
      </c>
      <c r="I20" s="9">
        <f>F20*H20</f>
        <v>0</v>
      </c>
    </row>
    <row r="21" spans="1:9">
      <c r="A21" s="6"/>
      <c r="B21" s="6">
        <f t="shared" si="0"/>
        <v>9</v>
      </c>
      <c r="C21" s="6">
        <v>456</v>
      </c>
      <c r="D21" s="28" t="s">
        <v>32</v>
      </c>
      <c r="E21" s="3" t="str">
        <f>'Worksheet N, OthRev Input'!$H$2&amp;", Line "&amp;'Worksheet N, OthRev Input'!A60&amp;" Column "&amp;'Worksheet N, OthRev Input'!$F$9</f>
        <v>Worksheet N, Line 49 Column E</v>
      </c>
      <c r="F21" s="209">
        <f>'Worksheet N, OthRev Input'!$F60</f>
        <v>-327788.99</v>
      </c>
      <c r="G21" s="339" t="s">
        <v>29</v>
      </c>
      <c r="H21" s="336">
        <f>'Worksheet E, Alloc. Factor'!F40</f>
        <v>0</v>
      </c>
      <c r="I21" s="9">
        <f t="shared" ref="I21:I23" si="2">F21*H21</f>
        <v>0</v>
      </c>
    </row>
    <row r="22" spans="1:9">
      <c r="B22" s="6">
        <f t="shared" si="0"/>
        <v>10</v>
      </c>
      <c r="C22" s="6">
        <v>456</v>
      </c>
      <c r="D22" s="28" t="s">
        <v>33</v>
      </c>
      <c r="E22" s="3" t="str">
        <f>'Worksheet N, OthRev Input'!$H$2&amp;", Line "&amp;'Worksheet N, OthRev Input'!$A$61&amp;" Column "&amp;'Worksheet N, OthRev Input'!$F$9</f>
        <v>Worksheet N, Line 50 Column E</v>
      </c>
      <c r="F22" s="209">
        <f>'Worksheet N, OthRev Input'!$F61</f>
        <v>-274208.98</v>
      </c>
      <c r="G22" s="339" t="s">
        <v>29</v>
      </c>
      <c r="H22" s="336">
        <f>'Worksheet E, Alloc. Factor'!F40</f>
        <v>0</v>
      </c>
      <c r="I22" s="9">
        <f t="shared" si="2"/>
        <v>0</v>
      </c>
    </row>
    <row r="23" spans="1:9">
      <c r="B23" s="6">
        <f t="shared" si="0"/>
        <v>11</v>
      </c>
      <c r="C23" s="6">
        <v>456</v>
      </c>
      <c r="D23" s="28" t="s">
        <v>34</v>
      </c>
      <c r="E23" s="3" t="str">
        <f>'Worksheet N, OthRev Input'!$H$2&amp;", Line "&amp;'Worksheet N, OthRev Input'!A62&amp;" Column "&amp;'Worksheet N, OthRev Input'!$F$9</f>
        <v>Worksheet N, Line 51 Column E</v>
      </c>
      <c r="F23" s="209">
        <f>'Worksheet N, OthRev Input'!$F62</f>
        <v>330662.90000000014</v>
      </c>
      <c r="G23" s="4" t="s">
        <v>35</v>
      </c>
      <c r="H23" s="336">
        <f>'Worksheet E, Alloc. Factor'!F41</f>
        <v>1</v>
      </c>
      <c r="I23" s="9">
        <f t="shared" si="2"/>
        <v>330662.90000000014</v>
      </c>
    </row>
    <row r="24" spans="1:9">
      <c r="B24" s="6">
        <f t="shared" si="0"/>
        <v>12</v>
      </c>
      <c r="C24" s="6">
        <v>456</v>
      </c>
      <c r="D24" s="28" t="s">
        <v>1358</v>
      </c>
      <c r="E24" s="3" t="str">
        <f>'Worksheet N, OthRev Input'!$H$2&amp;", Line "&amp;'Worksheet N, OthRev Input'!A63&amp;" Column "&amp;'Worksheet N, OthRev Input'!$F$9</f>
        <v>Worksheet N, Line 52 Column E</v>
      </c>
      <c r="F24" s="209">
        <f>'Worksheet N, OthRev Input'!$F63</f>
        <v>-742179.7</v>
      </c>
      <c r="G24" s="4" t="s">
        <v>35</v>
      </c>
      <c r="H24" s="336">
        <v>1</v>
      </c>
      <c r="I24" s="9">
        <f t="shared" ref="I24" si="3">F24*H24</f>
        <v>-742179.7</v>
      </c>
    </row>
    <row r="25" spans="1:9">
      <c r="B25" s="6">
        <f t="shared" si="0"/>
        <v>13</v>
      </c>
      <c r="C25" s="6">
        <v>456</v>
      </c>
      <c r="D25" s="28" t="s">
        <v>1369</v>
      </c>
      <c r="E25" s="3" t="str">
        <f>""&amp;'Worksheet N, OthRev Input'!$H$2&amp;", Line "&amp;'Worksheet N, OthRev Input'!$A$64&amp;" Column "&amp;'Worksheet N, OthRev Input'!$F$9</f>
        <v>Worksheet N, Line 53 Column E</v>
      </c>
      <c r="F25" s="209">
        <f>'Worksheet N, OthRev Input'!$F49</f>
        <v>676418.67</v>
      </c>
      <c r="G25" s="4" t="s">
        <v>35</v>
      </c>
      <c r="H25" s="336">
        <v>1</v>
      </c>
      <c r="I25" s="9">
        <f t="shared" ref="I25" si="4">F25*H25</f>
        <v>676418.67</v>
      </c>
    </row>
    <row r="26" spans="1:9">
      <c r="B26" s="6">
        <f t="shared" si="0"/>
        <v>14</v>
      </c>
      <c r="C26" s="6">
        <v>459</v>
      </c>
      <c r="D26" s="3" t="s">
        <v>36</v>
      </c>
      <c r="E26" s="3" t="str">
        <f>'Worksheet N, OthRev Input'!$H$2&amp;", Line "&amp;'Worksheet N, OthRev Input'!A65&amp;" Column "&amp;'Worksheet N, OthRev Input'!$F$9</f>
        <v>Worksheet N, Line 54 Column E</v>
      </c>
      <c r="F26" s="209">
        <f>'Worksheet N, OthRev Input'!$F65</f>
        <v>290777.53999999998</v>
      </c>
      <c r="G26" s="339" t="s">
        <v>29</v>
      </c>
      <c r="H26" s="336">
        <f>'Worksheet E, Alloc. Factor'!F40</f>
        <v>0</v>
      </c>
      <c r="I26" s="9">
        <f>F26*H26</f>
        <v>0</v>
      </c>
    </row>
    <row r="27" spans="1:9">
      <c r="B27" s="6">
        <f t="shared" si="0"/>
        <v>15</v>
      </c>
      <c r="C27" s="6"/>
      <c r="D27" s="3" t="s">
        <v>25</v>
      </c>
      <c r="E27" s="3" t="s">
        <v>37</v>
      </c>
      <c r="F27" s="209">
        <f>SUM(F16:F26)</f>
        <v>-40049411.43</v>
      </c>
      <c r="G27" s="3"/>
      <c r="H27" s="354"/>
      <c r="I27" s="209">
        <f>SUM(I16:I26)</f>
        <v>208952.50630698877</v>
      </c>
    </row>
    <row r="28" spans="1:9">
      <c r="B28" s="6"/>
      <c r="C28" s="6"/>
      <c r="E28" s="3"/>
      <c r="F28" s="14"/>
      <c r="G28" s="3"/>
      <c r="H28" s="354"/>
      <c r="I28" s="12"/>
    </row>
    <row r="29" spans="1:9" ht="27.6">
      <c r="B29" s="6">
        <f>+B27+1</f>
        <v>16</v>
      </c>
      <c r="C29" s="6"/>
      <c r="D29" s="304" t="s">
        <v>1379</v>
      </c>
      <c r="E29" s="418" t="str">
        <f>"Line "&amp;B13&amp;"  + Line "&amp;B27</f>
        <v>Line 2  + Line 15</v>
      </c>
      <c r="F29" s="4"/>
      <c r="G29" s="4"/>
      <c r="H29" s="4"/>
      <c r="I29" s="12">
        <f>SUM(I13:I14,I27)</f>
        <v>40982432.188813061</v>
      </c>
    </row>
    <row r="30" spans="1:9">
      <c r="B30" s="6">
        <f>B29+1</f>
        <v>17</v>
      </c>
      <c r="C30" s="6"/>
      <c r="D30" s="2" t="s">
        <v>38</v>
      </c>
      <c r="E30" s="3" t="str">
        <f>"-"&amp;'Worksheet H SPP Upgrade Proj.'!W1&amp;", Line "&amp;'Worksheet H SPP Upgrade Proj.'!A171&amp;", Col "&amp;'Worksheet H SPP Upgrade Proj.'!T9</f>
        <v>-Worksheet H, Line 161, Col T</v>
      </c>
      <c r="F30" s="4"/>
      <c r="G30" s="4"/>
      <c r="H30" s="4"/>
      <c r="I30" s="12">
        <f ca="1">-'Worksheet H SPP Upgrade Proj.'!T171</f>
        <v>-28354848.621295009</v>
      </c>
    </row>
    <row r="31" spans="1:9">
      <c r="B31" s="6">
        <f>B30+1</f>
        <v>18</v>
      </c>
      <c r="C31" s="6"/>
      <c r="D31" s="2" t="s">
        <v>39</v>
      </c>
      <c r="E31" s="3" t="str">
        <f>'Worksheet I Reconciliation'!$O$2&amp;", Line "&amp; 'Worksheet I Reconciliation'!A57&amp;", Col "&amp;'Worksheet I Reconciliation'!$L$9</f>
        <v>Worksheet I, Line 12, Col J</v>
      </c>
      <c r="F31" s="4"/>
      <c r="G31" s="4"/>
      <c r="H31" s="4"/>
      <c r="I31" s="12">
        <f>'Worksheet I Reconciliation'!L57</f>
        <v>0</v>
      </c>
    </row>
    <row r="32" spans="1:9" ht="14.4" thickBot="1">
      <c r="B32" s="6">
        <f t="shared" ref="B32:B33" si="5">B31+1</f>
        <v>19</v>
      </c>
      <c r="C32" s="6"/>
      <c r="D32" s="2" t="s">
        <v>40</v>
      </c>
      <c r="E32" s="3" t="str">
        <f>'Worksheet I Reconciliation'!$O$2&amp;", Line "&amp; 'Worksheet I Reconciliation'!A32&amp;", Col "&amp;'Worksheet I Reconciliation'!$L$9</f>
        <v>Worksheet I, Line 6, Col J</v>
      </c>
      <c r="F32" s="4"/>
      <c r="G32" s="4"/>
      <c r="H32" s="4"/>
      <c r="I32" s="12">
        <f>'Worksheet I Reconciliation'!L32</f>
        <v>0</v>
      </c>
    </row>
    <row r="33" spans="2:11" ht="14.4" thickBot="1">
      <c r="B33" s="6">
        <f t="shared" si="5"/>
        <v>20</v>
      </c>
      <c r="C33" s="6"/>
      <c r="D33" s="2" t="s">
        <v>41</v>
      </c>
      <c r="E33" s="3" t="str">
        <f>"Sum(Line "&amp;B29&amp;" Thru Line "&amp;B31&amp;")"</f>
        <v>Sum(Line 16 Thru Line 18)</v>
      </c>
      <c r="F33" s="4"/>
      <c r="G33" s="4"/>
      <c r="H33" s="4"/>
      <c r="I33" s="419">
        <f ca="1">SUM(I29:I32)</f>
        <v>12627583.567518052</v>
      </c>
      <c r="J33" s="424"/>
    </row>
    <row r="34" spans="2:11">
      <c r="B34" s="6" t="s">
        <v>0</v>
      </c>
      <c r="C34" s="6"/>
      <c r="I34" s="220"/>
    </row>
    <row r="35" spans="2:11">
      <c r="B35" s="6">
        <f>B33+1</f>
        <v>21</v>
      </c>
      <c r="C35" s="6"/>
      <c r="D35" s="2" t="s">
        <v>42</v>
      </c>
      <c r="E35" s="353" t="str">
        <f>'Worksheet D, Load'!$F$2&amp;", Line "&amp;'Worksheet D, Load'!$A$25&amp;", Column "&amp;'Worksheet D, Load'!$C$9</f>
        <v>Worksheet D, Line 14, Column C</v>
      </c>
      <c r="F35" s="4"/>
      <c r="G35" s="4"/>
      <c r="H35" s="4"/>
      <c r="I35" s="6">
        <f>'Worksheet D, Load'!$C$25</f>
        <v>1251.8333333333333</v>
      </c>
    </row>
    <row r="36" spans="2:11">
      <c r="B36" s="6"/>
      <c r="C36" s="6"/>
      <c r="E36" s="3"/>
      <c r="F36" s="4"/>
      <c r="G36" s="4"/>
      <c r="H36" s="4"/>
      <c r="I36" s="6"/>
    </row>
    <row r="37" spans="2:11">
      <c r="B37" s="6">
        <f>B35+1</f>
        <v>22</v>
      </c>
      <c r="C37" s="6"/>
      <c r="D37" s="285" t="s">
        <v>43</v>
      </c>
      <c r="E37" s="3"/>
      <c r="F37" s="4"/>
      <c r="G37" s="4"/>
      <c r="H37" s="328"/>
      <c r="I37" s="6"/>
    </row>
    <row r="38" spans="2:11">
      <c r="B38" s="6">
        <f t="shared" ref="B38:B44" si="6">B37+1</f>
        <v>23</v>
      </c>
      <c r="C38" s="6"/>
      <c r="D38" s="2" t="s">
        <v>44</v>
      </c>
      <c r="E38" s="5" t="str">
        <f>"Line "&amp;B33&amp;" / Line "&amp;B$35</f>
        <v>Line 20 / Line 21</v>
      </c>
      <c r="F38" s="4"/>
      <c r="G38" s="4"/>
      <c r="H38" s="4"/>
      <c r="I38" s="389">
        <f ca="1">I33/I35</f>
        <v>10087.272188138506</v>
      </c>
      <c r="K38" s="306"/>
    </row>
    <row r="39" spans="2:11">
      <c r="B39" s="6">
        <f t="shared" si="6"/>
        <v>24</v>
      </c>
      <c r="C39" s="6"/>
      <c r="D39" s="2" t="s">
        <v>45</v>
      </c>
      <c r="E39" s="5" t="str">
        <f>"Line "&amp;B$38&amp;" / 12"</f>
        <v>Line 23 / 12</v>
      </c>
      <c r="F39" s="4"/>
      <c r="G39" s="4"/>
      <c r="H39" s="4"/>
      <c r="I39" s="389">
        <f ca="1">$I$38/12</f>
        <v>840.60601567820879</v>
      </c>
      <c r="K39" s="306"/>
    </row>
    <row r="40" spans="2:11">
      <c r="B40" s="6">
        <f t="shared" si="6"/>
        <v>25</v>
      </c>
      <c r="C40" s="6"/>
      <c r="D40" s="2" t="s">
        <v>46</v>
      </c>
      <c r="E40" s="5" t="str">
        <f>"Line "&amp;B$38&amp;" / 52"</f>
        <v>Line 23 / 52</v>
      </c>
      <c r="I40" s="389">
        <f ca="1">$I$38/52</f>
        <v>193.98600361804819</v>
      </c>
      <c r="K40" s="306"/>
    </row>
    <row r="41" spans="2:11">
      <c r="B41" s="6">
        <f t="shared" si="6"/>
        <v>26</v>
      </c>
      <c r="C41" s="220"/>
      <c r="D41" s="2" t="s">
        <v>47</v>
      </c>
      <c r="E41" s="5" t="str">
        <f>"Line "&amp;B$38&amp;" / 260"</f>
        <v>Line 23 / 260</v>
      </c>
      <c r="F41" s="23"/>
      <c r="G41" s="23"/>
      <c r="H41" s="23"/>
      <c r="I41" s="389">
        <f ca="1">$I$38/260</f>
        <v>38.797200723609642</v>
      </c>
      <c r="K41" s="34"/>
    </row>
    <row r="42" spans="2:11">
      <c r="B42" s="6">
        <f t="shared" si="6"/>
        <v>27</v>
      </c>
      <c r="C42" s="220"/>
      <c r="D42" s="2" t="s">
        <v>48</v>
      </c>
      <c r="E42" s="5" t="str">
        <f>"Line "&amp;B$38&amp;" / 365"</f>
        <v>Line 23 / 365</v>
      </c>
      <c r="F42" s="23"/>
      <c r="G42" s="23"/>
      <c r="H42" s="23"/>
      <c r="I42" s="389">
        <f ca="1">$I$38/365</f>
        <v>27.636362159283578</v>
      </c>
    </row>
    <row r="43" spans="2:11">
      <c r="B43" s="6">
        <f t="shared" si="6"/>
        <v>28</v>
      </c>
      <c r="C43" s="220"/>
      <c r="D43" s="2" t="s">
        <v>49</v>
      </c>
      <c r="E43" s="5" t="str">
        <f>"Line "&amp;B$38&amp;" / 4160"</f>
        <v>Line 23 / 4160</v>
      </c>
      <c r="F43" s="272"/>
      <c r="G43" s="272"/>
      <c r="H43" s="272"/>
      <c r="I43" s="389">
        <f ca="1">$I$38/4160</f>
        <v>2.4248250452256026</v>
      </c>
    </row>
    <row r="44" spans="2:11">
      <c r="B44" s="6">
        <f t="shared" si="6"/>
        <v>29</v>
      </c>
      <c r="C44" s="220"/>
      <c r="D44" s="2" t="s">
        <v>50</v>
      </c>
      <c r="E44" s="5" t="str">
        <f>"Line "&amp;B$38&amp;" / 8760"</f>
        <v>Line 23 / 8760</v>
      </c>
      <c r="F44" s="23"/>
      <c r="G44" s="23"/>
      <c r="H44" s="23"/>
      <c r="I44" s="389">
        <f ca="1">$I$38/8760</f>
        <v>1.1515150899701492</v>
      </c>
      <c r="K44" s="396"/>
    </row>
  </sheetData>
  <conditionalFormatting sqref="E31 D22:D24">
    <cfRule type="containsErrors" dxfId="22" priority="14">
      <formula>ISERROR(D22)</formula>
    </cfRule>
  </conditionalFormatting>
  <conditionalFormatting sqref="G22:I23">
    <cfRule type="containsErrors" dxfId="21" priority="13">
      <formula>ISERROR(G22)</formula>
    </cfRule>
  </conditionalFormatting>
  <conditionalFormatting sqref="H26">
    <cfRule type="containsErrors" dxfId="20" priority="12">
      <formula>ISERROR(H26)</formula>
    </cfRule>
  </conditionalFormatting>
  <conditionalFormatting sqref="H18">
    <cfRule type="containsErrors" dxfId="19" priority="11">
      <formula>ISERROR(H18)</formula>
    </cfRule>
  </conditionalFormatting>
  <conditionalFormatting sqref="H20:H23">
    <cfRule type="containsErrors" dxfId="18" priority="10">
      <formula>ISERROR(H20)</formula>
    </cfRule>
  </conditionalFormatting>
  <conditionalFormatting sqref="H16:H17">
    <cfRule type="containsErrors" dxfId="17" priority="9">
      <formula>ISERROR(H16)</formula>
    </cfRule>
  </conditionalFormatting>
  <conditionalFormatting sqref="E32">
    <cfRule type="containsErrors" dxfId="16" priority="8">
      <formula>ISERROR(E32)</formula>
    </cfRule>
  </conditionalFormatting>
  <conditionalFormatting sqref="G24:I24">
    <cfRule type="containsErrors" dxfId="15" priority="7">
      <formula>ISERROR(G24)</formula>
    </cfRule>
  </conditionalFormatting>
  <conditionalFormatting sqref="H24">
    <cfRule type="containsErrors" dxfId="14" priority="6">
      <formula>ISERROR(H24)</formula>
    </cfRule>
  </conditionalFormatting>
  <conditionalFormatting sqref="G25:I25">
    <cfRule type="containsErrors" dxfId="13" priority="4">
      <formula>ISERROR(G25)</formula>
    </cfRule>
  </conditionalFormatting>
  <conditionalFormatting sqref="H25">
    <cfRule type="containsErrors" dxfId="12" priority="3">
      <formula>ISERROR(H25)</formula>
    </cfRule>
  </conditionalFormatting>
  <conditionalFormatting sqref="A1:XFD1048576">
    <cfRule type="containsErrors" dxfId="11" priority="1">
      <formula>ISERROR(A1)</formula>
    </cfRule>
  </conditionalFormatting>
  <printOptions horizontalCentered="1"/>
  <pageMargins left="0.7" right="0.7" top="0.75" bottom="0.75" header="0.3" footer="0.3"/>
  <pageSetup scale="71" fitToHeight="0" orientation="landscape" r:id="rId1"/>
  <headerFooter>
    <oddHeader xml:space="preserve">&amp;RPage &amp;P
Summary ATRR
</oddHeader>
  </headerFooter>
  <extLst>
    <ext xmlns:x14="http://schemas.microsoft.com/office/spreadsheetml/2009/9/main" uri="{78C0D931-6437-407d-A8EE-F0AAD7539E65}">
      <x14:conditionalFormattings>
        <x14:conditionalFormatting xmlns:xm="http://schemas.microsoft.com/office/excel/2006/main">
          <x14:cfRule type="containsErrors" priority="5" id="{1A7496D0-8BF8-4B03-9B31-60A36F9E9582}">
            <xm:f>ISERROR('Revenue Requirements Schedule 1'!G24)</xm:f>
            <x14:dxf>
              <font>
                <color theme="0"/>
              </font>
            </x14:dxf>
          </x14:cfRule>
          <xm:sqref>F25</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55"/>
  <sheetViews>
    <sheetView zoomScaleNormal="100" workbookViewId="0">
      <selection activeCell="K39" sqref="K39"/>
    </sheetView>
  </sheetViews>
  <sheetFormatPr defaultColWidth="8" defaultRowHeight="15"/>
  <cols>
    <col min="1" max="1" width="5.59765625" style="54" customWidth="1"/>
    <col min="2" max="2" width="7.5" style="183" customWidth="1"/>
    <col min="3" max="3" width="6.69921875" style="184" bestFit="1" customWidth="1"/>
    <col min="4" max="4" width="36.3984375" style="184" bestFit="1" customWidth="1"/>
    <col min="5" max="7" width="12.69921875" style="185" customWidth="1"/>
    <col min="8" max="8" width="14.8984375" style="184" customWidth="1"/>
    <col min="9" max="9" width="13.09765625" style="184" customWidth="1"/>
    <col min="10" max="10" width="12.09765625" style="184" customWidth="1"/>
    <col min="11" max="11" width="11.69921875" style="184" bestFit="1" customWidth="1"/>
    <col min="12" max="12" width="12.3984375" style="184" bestFit="1" customWidth="1"/>
    <col min="13" max="16384" width="8" style="184"/>
  </cols>
  <sheetData>
    <row r="1" spans="1:13">
      <c r="M1" s="186"/>
    </row>
    <row r="2" spans="1:13">
      <c r="E2" s="187"/>
      <c r="I2" s="3" t="s">
        <v>1471</v>
      </c>
      <c r="M2" s="188"/>
    </row>
    <row r="4" spans="1:13">
      <c r="A4" s="376" t="str">
        <f>Index!B4</f>
        <v>Western Farmers Electric Cooperative, Inc.</v>
      </c>
      <c r="C4" s="52"/>
      <c r="D4" s="52"/>
      <c r="H4" s="52"/>
      <c r="I4" s="52"/>
      <c r="J4" s="52"/>
    </row>
    <row r="5" spans="1:13">
      <c r="A5" s="185"/>
      <c r="C5" s="52"/>
      <c r="D5" s="52"/>
      <c r="H5" s="52"/>
      <c r="I5" s="52"/>
      <c r="J5" s="52"/>
    </row>
    <row r="6" spans="1:13">
      <c r="A6" s="1" t="s">
        <v>1241</v>
      </c>
      <c r="C6" s="52"/>
      <c r="D6" s="52"/>
      <c r="H6" s="52"/>
      <c r="I6" s="52"/>
      <c r="J6" s="52"/>
    </row>
    <row r="7" spans="1:13">
      <c r="A7" s="376" t="str">
        <f>Index!B6</f>
        <v>Year Ending December 31, 2016</v>
      </c>
      <c r="C7" s="52"/>
      <c r="D7" s="52"/>
      <c r="E7" s="52"/>
      <c r="F7" s="52"/>
      <c r="G7" s="52"/>
      <c r="H7" s="52"/>
      <c r="I7" s="52"/>
      <c r="J7" s="52"/>
    </row>
    <row r="8" spans="1:13">
      <c r="A8" s="52"/>
      <c r="B8" s="143"/>
      <c r="C8" s="52"/>
      <c r="D8" s="52"/>
      <c r="E8" s="144"/>
      <c r="F8" s="96"/>
      <c r="G8" s="144"/>
      <c r="H8" s="144"/>
      <c r="I8" s="96"/>
      <c r="J8" s="144"/>
      <c r="K8" s="144"/>
      <c r="L8" s="96"/>
      <c r="M8" s="144"/>
    </row>
    <row r="9" spans="1:13">
      <c r="A9" s="145" t="s">
        <v>3</v>
      </c>
      <c r="B9" s="146" t="s">
        <v>4</v>
      </c>
      <c r="C9" s="145" t="s">
        <v>5</v>
      </c>
      <c r="D9" s="145" t="s">
        <v>9</v>
      </c>
      <c r="E9" s="147" t="s">
        <v>10</v>
      </c>
      <c r="F9" s="147" t="s">
        <v>11</v>
      </c>
      <c r="G9" s="147" t="s">
        <v>12</v>
      </c>
      <c r="H9" s="189"/>
      <c r="I9" s="189"/>
      <c r="J9" s="189"/>
      <c r="K9" s="189"/>
      <c r="L9" s="189"/>
      <c r="M9" s="189"/>
    </row>
    <row r="10" spans="1:13" s="191" customFormat="1" ht="27.6">
      <c r="A10" s="148" t="s">
        <v>157</v>
      </c>
      <c r="B10" s="98" t="s">
        <v>1242</v>
      </c>
      <c r="C10" s="98" t="s">
        <v>1243</v>
      </c>
      <c r="D10" s="98" t="s">
        <v>7</v>
      </c>
      <c r="E10" s="98" t="s">
        <v>1244</v>
      </c>
      <c r="F10" s="98" t="s">
        <v>1245</v>
      </c>
      <c r="G10" s="98" t="s">
        <v>1246</v>
      </c>
      <c r="H10" s="190"/>
      <c r="I10" s="190"/>
      <c r="J10" s="190"/>
      <c r="K10" s="190"/>
      <c r="L10" s="190"/>
      <c r="M10" s="190"/>
    </row>
    <row r="11" spans="1:13">
      <c r="A11" s="52">
        <v>1</v>
      </c>
      <c r="B11" s="583"/>
      <c r="C11" s="584"/>
      <c r="D11" s="585"/>
      <c r="E11" s="519"/>
      <c r="F11" s="519"/>
      <c r="G11" s="149">
        <f t="shared" ref="G11:G24" si="0">(E11+F11)/2</f>
        <v>0</v>
      </c>
      <c r="H11" s="189"/>
      <c r="I11" s="189"/>
      <c r="J11" s="189"/>
      <c r="K11" s="189"/>
      <c r="L11" s="189"/>
      <c r="M11" s="189"/>
    </row>
    <row r="12" spans="1:13">
      <c r="A12" s="52">
        <f t="shared" ref="A12:A32" si="1">SUM(A11+1)</f>
        <v>2</v>
      </c>
      <c r="B12" s="583"/>
      <c r="C12" s="584"/>
      <c r="D12" s="585"/>
      <c r="E12" s="519"/>
      <c r="F12" s="519"/>
      <c r="G12" s="149">
        <f t="shared" si="0"/>
        <v>0</v>
      </c>
      <c r="H12" s="189"/>
      <c r="I12" s="189"/>
      <c r="J12" s="189"/>
      <c r="K12" s="189"/>
      <c r="L12" s="189"/>
      <c r="M12" s="189"/>
    </row>
    <row r="13" spans="1:13">
      <c r="A13" s="52">
        <f t="shared" si="1"/>
        <v>3</v>
      </c>
      <c r="B13" s="583"/>
      <c r="C13" s="584"/>
      <c r="D13" s="585"/>
      <c r="E13" s="519"/>
      <c r="F13" s="519"/>
      <c r="G13" s="149">
        <f t="shared" si="0"/>
        <v>0</v>
      </c>
      <c r="H13" s="189"/>
      <c r="I13" s="189"/>
      <c r="J13" s="189"/>
      <c r="K13" s="189"/>
      <c r="L13" s="189"/>
      <c r="M13" s="189"/>
    </row>
    <row r="14" spans="1:13">
      <c r="A14" s="52">
        <f t="shared" si="1"/>
        <v>4</v>
      </c>
      <c r="B14" s="583"/>
      <c r="C14" s="584"/>
      <c r="D14" s="585"/>
      <c r="E14" s="519"/>
      <c r="F14" s="519"/>
      <c r="G14" s="149">
        <f t="shared" si="0"/>
        <v>0</v>
      </c>
      <c r="H14" s="189"/>
      <c r="I14" s="189"/>
      <c r="J14" s="189"/>
      <c r="K14" s="189"/>
      <c r="L14" s="189"/>
      <c r="M14" s="189"/>
    </row>
    <row r="15" spans="1:13">
      <c r="A15" s="52">
        <f t="shared" si="1"/>
        <v>5</v>
      </c>
      <c r="B15" s="583"/>
      <c r="C15" s="584"/>
      <c r="D15" s="585"/>
      <c r="E15" s="519"/>
      <c r="F15" s="519"/>
      <c r="G15" s="149">
        <f t="shared" si="0"/>
        <v>0</v>
      </c>
      <c r="H15" s="189"/>
      <c r="I15" s="189"/>
      <c r="J15" s="189"/>
      <c r="K15" s="189"/>
      <c r="L15" s="189"/>
      <c r="M15" s="189"/>
    </row>
    <row r="16" spans="1:13">
      <c r="A16" s="52">
        <f t="shared" si="1"/>
        <v>6</v>
      </c>
      <c r="B16" s="584"/>
      <c r="C16" s="584"/>
      <c r="D16" s="585"/>
      <c r="E16" s="519"/>
      <c r="F16" s="519"/>
      <c r="G16" s="149">
        <f t="shared" si="0"/>
        <v>0</v>
      </c>
      <c r="H16" s="189"/>
      <c r="I16" s="189"/>
      <c r="J16" s="189"/>
      <c r="K16" s="189"/>
      <c r="L16" s="189"/>
      <c r="M16" s="189"/>
    </row>
    <row r="17" spans="1:13">
      <c r="A17" s="52">
        <f t="shared" si="1"/>
        <v>7</v>
      </c>
      <c r="B17" s="584"/>
      <c r="C17" s="584"/>
      <c r="D17" s="585"/>
      <c r="E17" s="519"/>
      <c r="F17" s="519"/>
      <c r="G17" s="149">
        <f t="shared" si="0"/>
        <v>0</v>
      </c>
      <c r="H17" s="189"/>
      <c r="I17" s="189"/>
      <c r="J17" s="189"/>
      <c r="K17" s="189"/>
      <c r="L17" s="189"/>
      <c r="M17" s="189"/>
    </row>
    <row r="18" spans="1:13">
      <c r="A18" s="52">
        <f t="shared" si="1"/>
        <v>8</v>
      </c>
      <c r="B18" s="584"/>
      <c r="C18" s="584"/>
      <c r="D18" s="585"/>
      <c r="E18" s="519"/>
      <c r="F18" s="519"/>
      <c r="G18" s="149">
        <f t="shared" si="0"/>
        <v>0</v>
      </c>
      <c r="H18" s="189"/>
      <c r="I18" s="189"/>
      <c r="J18" s="189"/>
      <c r="K18" s="189"/>
      <c r="L18" s="189"/>
      <c r="M18" s="189"/>
    </row>
    <row r="19" spans="1:13">
      <c r="A19" s="52">
        <f t="shared" si="1"/>
        <v>9</v>
      </c>
      <c r="B19" s="584"/>
      <c r="C19" s="584"/>
      <c r="D19" s="585"/>
      <c r="E19" s="519"/>
      <c r="F19" s="519"/>
      <c r="G19" s="149">
        <f t="shared" si="0"/>
        <v>0</v>
      </c>
      <c r="H19" s="189"/>
      <c r="I19" s="189"/>
      <c r="J19" s="189"/>
      <c r="K19" s="189"/>
      <c r="L19" s="189"/>
      <c r="M19" s="189"/>
    </row>
    <row r="20" spans="1:13">
      <c r="A20" s="52">
        <f t="shared" si="1"/>
        <v>10</v>
      </c>
      <c r="B20" s="584"/>
      <c r="C20" s="584"/>
      <c r="D20" s="585"/>
      <c r="E20" s="519"/>
      <c r="F20" s="519"/>
      <c r="G20" s="149">
        <f t="shared" si="0"/>
        <v>0</v>
      </c>
      <c r="H20" s="189"/>
      <c r="I20" s="189"/>
      <c r="J20" s="189"/>
      <c r="K20" s="189"/>
      <c r="L20" s="189"/>
      <c r="M20" s="189"/>
    </row>
    <row r="21" spans="1:13">
      <c r="A21" s="52">
        <f t="shared" si="1"/>
        <v>11</v>
      </c>
      <c r="B21" s="584"/>
      <c r="C21" s="584"/>
      <c r="D21" s="585"/>
      <c r="E21" s="519"/>
      <c r="F21" s="519"/>
      <c r="G21" s="149">
        <f t="shared" si="0"/>
        <v>0</v>
      </c>
      <c r="H21" s="189"/>
      <c r="I21" s="189"/>
      <c r="J21" s="189"/>
      <c r="K21" s="189"/>
      <c r="L21" s="189"/>
      <c r="M21" s="189"/>
    </row>
    <row r="22" spans="1:13">
      <c r="A22" s="52">
        <f t="shared" si="1"/>
        <v>12</v>
      </c>
      <c r="B22" s="584"/>
      <c r="C22" s="584"/>
      <c r="D22" s="585"/>
      <c r="E22" s="519"/>
      <c r="F22" s="519"/>
      <c r="G22" s="149">
        <f t="shared" si="0"/>
        <v>0</v>
      </c>
      <c r="H22" s="189"/>
      <c r="I22" s="189"/>
      <c r="J22" s="189"/>
      <c r="K22" s="189"/>
      <c r="L22" s="189"/>
      <c r="M22" s="189"/>
    </row>
    <row r="23" spans="1:13">
      <c r="A23" s="52">
        <f t="shared" si="1"/>
        <v>13</v>
      </c>
      <c r="B23" s="584"/>
      <c r="C23" s="584"/>
      <c r="D23" s="585"/>
      <c r="E23" s="519"/>
      <c r="F23" s="519"/>
      <c r="G23" s="149">
        <f t="shared" si="0"/>
        <v>0</v>
      </c>
      <c r="H23" s="189"/>
      <c r="I23" s="189"/>
      <c r="J23" s="189"/>
      <c r="K23" s="189"/>
      <c r="L23" s="189"/>
      <c r="M23" s="189"/>
    </row>
    <row r="24" spans="1:13">
      <c r="A24" s="52">
        <f t="shared" si="1"/>
        <v>14</v>
      </c>
      <c r="B24" s="150"/>
      <c r="C24" s="52"/>
      <c r="D24" s="64" t="s">
        <v>1247</v>
      </c>
      <c r="E24" s="65">
        <f>SUM(E11:E23)</f>
        <v>0</v>
      </c>
      <c r="F24" s="65">
        <f>SUM(F11:F23)</f>
        <v>0</v>
      </c>
      <c r="G24" s="65">
        <f t="shared" si="0"/>
        <v>0</v>
      </c>
      <c r="H24" s="189"/>
      <c r="I24" s="189"/>
      <c r="J24" s="189"/>
      <c r="K24" s="189"/>
      <c r="L24" s="189"/>
      <c r="M24" s="189"/>
    </row>
    <row r="25" spans="1:13">
      <c r="A25" s="52">
        <f t="shared" si="1"/>
        <v>15</v>
      </c>
      <c r="B25" s="192" t="s">
        <v>1306</v>
      </c>
    </row>
    <row r="26" spans="1:13">
      <c r="A26" s="52">
        <f t="shared" si="1"/>
        <v>16</v>
      </c>
      <c r="B26" s="378" t="s">
        <v>1308</v>
      </c>
    </row>
    <row r="27" spans="1:13">
      <c r="A27" s="52">
        <f t="shared" si="1"/>
        <v>17</v>
      </c>
      <c r="B27" s="378" t="s">
        <v>1502</v>
      </c>
    </row>
    <row r="28" spans="1:13">
      <c r="A28" s="52">
        <f t="shared" si="1"/>
        <v>18</v>
      </c>
      <c r="B28" s="378" t="s">
        <v>1503</v>
      </c>
    </row>
    <row r="29" spans="1:13">
      <c r="A29" s="52">
        <f t="shared" si="1"/>
        <v>19</v>
      </c>
      <c r="B29" s="378" t="s">
        <v>1504</v>
      </c>
    </row>
    <row r="30" spans="1:13">
      <c r="A30" s="52">
        <f t="shared" si="1"/>
        <v>20</v>
      </c>
      <c r="B30" s="378" t="s">
        <v>1505</v>
      </c>
    </row>
    <row r="31" spans="1:13">
      <c r="A31" s="52">
        <f t="shared" si="1"/>
        <v>21</v>
      </c>
      <c r="B31" s="378" t="s">
        <v>1506</v>
      </c>
    </row>
    <row r="32" spans="1:13">
      <c r="A32" s="52">
        <f t="shared" si="1"/>
        <v>22</v>
      </c>
      <c r="B32" s="378" t="s">
        <v>1507</v>
      </c>
    </row>
    <row r="33" spans="2:2">
      <c r="B33" s="192"/>
    </row>
    <row r="34" spans="2:2">
      <c r="B34" s="192"/>
    </row>
    <row r="35" spans="2:2">
      <c r="B35" s="192"/>
    </row>
    <row r="36" spans="2:2">
      <c r="B36" s="192"/>
    </row>
    <row r="37" spans="2:2">
      <c r="B37" s="192"/>
    </row>
    <row r="38" spans="2:2">
      <c r="B38" s="192"/>
    </row>
    <row r="39" spans="2:2">
      <c r="B39" s="192"/>
    </row>
    <row r="40" spans="2:2">
      <c r="B40" s="192"/>
    </row>
    <row r="41" spans="2:2">
      <c r="B41" s="192"/>
    </row>
    <row r="42" spans="2:2">
      <c r="B42" s="192"/>
    </row>
    <row r="43" spans="2:2">
      <c r="B43" s="192"/>
    </row>
    <row r="44" spans="2:2">
      <c r="B44" s="192"/>
    </row>
    <row r="45" spans="2:2">
      <c r="B45" s="192"/>
    </row>
    <row r="46" spans="2:2">
      <c r="B46" s="192"/>
    </row>
    <row r="47" spans="2:2">
      <c r="B47" s="192"/>
    </row>
    <row r="48" spans="2:2">
      <c r="B48" s="192"/>
    </row>
    <row r="49" spans="2:3">
      <c r="B49" s="192"/>
    </row>
    <row r="50" spans="2:3">
      <c r="B50" s="192"/>
    </row>
    <row r="51" spans="2:3">
      <c r="B51" s="192"/>
    </row>
    <row r="52" spans="2:3">
      <c r="B52" s="192"/>
    </row>
    <row r="53" spans="2:3">
      <c r="B53" s="192"/>
    </row>
    <row r="55" spans="2:3">
      <c r="C55" s="458" t="s">
        <v>1465</v>
      </c>
    </row>
  </sheetData>
  <printOptions horizontalCentered="1"/>
  <pageMargins left="0.7" right="0.7" top="0.75" bottom="0.75" header="0.3" footer="0.3"/>
  <pageSetup fitToHeight="0" orientation="landscape" horizontalDpi="1200" verticalDpi="1200" r:id="rId1"/>
  <headerFooter>
    <oddHeader>&amp;RPage &amp;P
Worksheet Q</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36"/>
  <sheetViews>
    <sheetView zoomScaleNormal="100" workbookViewId="0">
      <selection activeCell="G12" sqref="G12"/>
    </sheetView>
  </sheetViews>
  <sheetFormatPr defaultColWidth="7.69921875" defaultRowHeight="13.8"/>
  <cols>
    <col min="1" max="1" width="5.5" style="129" customWidth="1"/>
    <col min="2" max="2" width="9.8984375" style="129" bestFit="1" customWidth="1"/>
    <col min="3" max="3" width="40.8984375" style="129" customWidth="1"/>
    <col min="4" max="4" width="15.3984375" style="129" bestFit="1" customWidth="1"/>
    <col min="5" max="5" width="11.09765625" style="129" bestFit="1" customWidth="1"/>
    <col min="6" max="6" width="11.5" style="129" customWidth="1"/>
    <col min="7" max="7" width="10.3984375" style="129" bestFit="1" customWidth="1"/>
    <col min="8" max="8" width="10.19921875" style="129" bestFit="1" customWidth="1"/>
    <col min="9" max="9" width="15.69921875" style="129" customWidth="1"/>
    <col min="10" max="10" width="7.69921875" style="129"/>
    <col min="11" max="11" width="9.3984375" style="129" customWidth="1"/>
    <col min="12" max="12" width="7.69921875" style="129"/>
    <col min="13" max="13" width="11.69921875" style="129" bestFit="1" customWidth="1"/>
    <col min="14" max="16384" width="7.69921875" style="129"/>
  </cols>
  <sheetData>
    <row r="1" spans="1:14">
      <c r="A1" s="128"/>
      <c r="B1" s="128"/>
      <c r="C1" s="128"/>
      <c r="D1" s="128"/>
      <c r="E1" s="128"/>
      <c r="F1" s="128"/>
      <c r="G1" s="128"/>
      <c r="H1" s="128"/>
      <c r="J1" s="128"/>
      <c r="K1" s="69"/>
      <c r="L1" s="128"/>
      <c r="M1" s="128"/>
      <c r="N1" s="128"/>
    </row>
    <row r="2" spans="1:14">
      <c r="A2" s="128"/>
      <c r="B2" s="128"/>
      <c r="C2" s="128"/>
      <c r="D2" s="128"/>
      <c r="E2" s="128"/>
      <c r="F2" s="128"/>
      <c r="G2" s="128"/>
      <c r="H2" s="128"/>
      <c r="J2" s="128"/>
      <c r="K2" s="3" t="s">
        <v>1472</v>
      </c>
      <c r="L2" s="128"/>
      <c r="M2" s="128"/>
      <c r="N2" s="128"/>
    </row>
    <row r="3" spans="1:14">
      <c r="D3" s="128"/>
      <c r="E3" s="128"/>
      <c r="F3" s="128"/>
      <c r="G3" s="128"/>
      <c r="H3" s="128"/>
      <c r="I3" s="69"/>
      <c r="J3" s="128"/>
      <c r="K3" s="128"/>
      <c r="L3" s="128"/>
      <c r="M3" s="128"/>
      <c r="N3" s="128"/>
    </row>
    <row r="4" spans="1:14">
      <c r="A4" s="179" t="str">
        <f>Index!B4</f>
        <v>Western Farmers Electric Cooperative, Inc.</v>
      </c>
      <c r="D4" s="128"/>
      <c r="E4" s="128"/>
      <c r="F4" s="128"/>
      <c r="G4" s="128"/>
      <c r="H4" s="128"/>
      <c r="I4" s="69"/>
      <c r="J4" s="128"/>
      <c r="K4" s="128"/>
      <c r="L4" s="128"/>
      <c r="M4" s="128"/>
      <c r="N4" s="128"/>
    </row>
    <row r="5" spans="1:14">
      <c r="A5" s="2"/>
      <c r="D5" s="128"/>
      <c r="E5" s="128"/>
      <c r="F5" s="128"/>
      <c r="G5" s="128"/>
      <c r="H5" s="128"/>
      <c r="I5" s="69"/>
      <c r="J5" s="128"/>
      <c r="K5" s="128"/>
      <c r="L5" s="128"/>
      <c r="M5" s="128"/>
      <c r="N5" s="128"/>
    </row>
    <row r="6" spans="1:14">
      <c r="A6" s="1" t="s">
        <v>1267</v>
      </c>
      <c r="D6" s="128"/>
      <c r="E6" s="128"/>
      <c r="F6" s="128"/>
      <c r="G6" s="128"/>
      <c r="H6" s="128"/>
      <c r="I6" s="128"/>
      <c r="J6" s="128"/>
      <c r="K6" s="128"/>
      <c r="L6" s="128"/>
      <c r="M6" s="128"/>
      <c r="N6" s="128"/>
    </row>
    <row r="7" spans="1:14">
      <c r="A7" s="179" t="str">
        <f>Index!B6</f>
        <v>Year Ending December 31, 2016</v>
      </c>
      <c r="B7" s="128"/>
      <c r="C7" s="128"/>
      <c r="D7" s="128"/>
      <c r="E7" s="128"/>
      <c r="F7" s="128"/>
      <c r="G7" s="128"/>
      <c r="H7" s="128"/>
      <c r="I7" s="128"/>
      <c r="J7" s="128"/>
      <c r="K7" s="128"/>
      <c r="L7" s="128"/>
      <c r="M7" s="128"/>
      <c r="N7" s="128"/>
    </row>
    <row r="8" spans="1:14">
      <c r="A8" s="128"/>
      <c r="B8" s="70"/>
      <c r="C8" s="70"/>
      <c r="D8" s="71"/>
      <c r="E8" s="71"/>
      <c r="F8" s="71"/>
      <c r="G8" s="71"/>
      <c r="H8" s="71"/>
      <c r="I8" s="71"/>
      <c r="J8" s="128"/>
      <c r="K8" s="128"/>
      <c r="L8" s="128"/>
      <c r="M8" s="128"/>
      <c r="N8" s="128"/>
    </row>
    <row r="9" spans="1:14">
      <c r="A9" s="128"/>
      <c r="B9" s="130"/>
      <c r="C9" s="130"/>
      <c r="D9" s="130"/>
      <c r="E9" s="130"/>
      <c r="F9" s="130"/>
      <c r="G9" s="130"/>
      <c r="H9" s="130"/>
      <c r="I9" s="130"/>
      <c r="J9" s="128"/>
      <c r="K9" s="128"/>
      <c r="L9" s="128"/>
      <c r="M9" s="128"/>
      <c r="N9" s="128"/>
    </row>
    <row r="10" spans="1:14">
      <c r="A10" s="131" t="s">
        <v>3</v>
      </c>
      <c r="B10" s="131" t="s">
        <v>4</v>
      </c>
      <c r="C10" s="131" t="s">
        <v>5</v>
      </c>
      <c r="D10" s="131" t="s">
        <v>9</v>
      </c>
      <c r="E10" s="131" t="s">
        <v>10</v>
      </c>
      <c r="F10" s="131" t="s">
        <v>11</v>
      </c>
      <c r="G10" s="131"/>
      <c r="H10" s="131"/>
      <c r="I10" s="131"/>
      <c r="J10" s="128"/>
      <c r="K10" s="128"/>
      <c r="L10" s="128"/>
      <c r="M10" s="128"/>
      <c r="N10" s="128"/>
    </row>
    <row r="11" spans="1:14" ht="27.6">
      <c r="A11" s="132" t="s">
        <v>16</v>
      </c>
      <c r="B11" s="132" t="s">
        <v>1268</v>
      </c>
      <c r="C11" s="133" t="s">
        <v>7</v>
      </c>
      <c r="D11" s="133" t="s">
        <v>18</v>
      </c>
      <c r="E11" s="132" t="s">
        <v>1269</v>
      </c>
      <c r="F11" s="132" t="s">
        <v>1270</v>
      </c>
      <c r="G11" s="134"/>
      <c r="H11" s="134"/>
      <c r="I11" s="135"/>
      <c r="J11" s="128"/>
      <c r="K11" s="128"/>
      <c r="L11" s="128"/>
      <c r="M11" s="128"/>
      <c r="N11" s="128"/>
    </row>
    <row r="12" spans="1:14">
      <c r="A12" s="136">
        <v>1</v>
      </c>
      <c r="B12" s="591" t="s">
        <v>1731</v>
      </c>
      <c r="C12" s="587" t="s">
        <v>1732</v>
      </c>
      <c r="D12" s="507">
        <v>485825.03</v>
      </c>
      <c r="E12" s="72"/>
      <c r="F12" s="72">
        <v>485825</v>
      </c>
      <c r="G12" s="73"/>
      <c r="H12" s="73"/>
      <c r="I12" s="72"/>
      <c r="J12" s="128"/>
      <c r="K12" s="74"/>
      <c r="L12" s="75"/>
      <c r="M12" s="74"/>
      <c r="N12" s="128"/>
    </row>
    <row r="13" spans="1:14">
      <c r="A13" s="136">
        <f t="shared" ref="A13:A29" si="0">A12+1</f>
        <v>2</v>
      </c>
      <c r="B13" s="586"/>
      <c r="C13" s="587"/>
      <c r="D13" s="507"/>
      <c r="E13" s="73"/>
      <c r="F13" s="73"/>
      <c r="G13" s="72"/>
      <c r="H13" s="72"/>
      <c r="I13" s="72"/>
      <c r="J13" s="128"/>
      <c r="K13" s="139"/>
      <c r="L13" s="137"/>
      <c r="M13" s="140"/>
      <c r="N13" s="74"/>
    </row>
    <row r="14" spans="1:14">
      <c r="A14" s="136">
        <f t="shared" si="0"/>
        <v>3</v>
      </c>
      <c r="B14" s="586"/>
      <c r="C14" s="587"/>
      <c r="D14" s="507"/>
      <c r="E14" s="73"/>
      <c r="F14" s="73"/>
      <c r="G14" s="72"/>
      <c r="H14" s="72"/>
      <c r="I14" s="72"/>
      <c r="J14" s="128"/>
      <c r="K14" s="74"/>
      <c r="L14" s="137"/>
      <c r="M14" s="140"/>
      <c r="N14" s="74"/>
    </row>
    <row r="15" spans="1:14">
      <c r="A15" s="136">
        <f t="shared" si="0"/>
        <v>4</v>
      </c>
      <c r="B15" s="586"/>
      <c r="C15" s="587"/>
      <c r="D15" s="507"/>
      <c r="E15" s="72"/>
      <c r="F15" s="72"/>
      <c r="G15" s="138"/>
      <c r="H15" s="73"/>
      <c r="I15" s="72"/>
      <c r="J15" s="128"/>
      <c r="K15" s="74"/>
      <c r="L15" s="137"/>
      <c r="M15" s="141"/>
      <c r="N15" s="74"/>
    </row>
    <row r="16" spans="1:14">
      <c r="A16" s="136">
        <f t="shared" si="0"/>
        <v>5</v>
      </c>
      <c r="B16" s="586"/>
      <c r="C16" s="587"/>
      <c r="D16" s="507"/>
      <c r="E16" s="72"/>
      <c r="F16" s="72"/>
      <c r="G16" s="73"/>
      <c r="H16" s="73"/>
      <c r="I16" s="72"/>
      <c r="J16" s="128"/>
      <c r="K16" s="139"/>
      <c r="L16" s="137"/>
      <c r="M16" s="141"/>
      <c r="N16" s="74"/>
    </row>
    <row r="17" spans="1:14">
      <c r="A17" s="136">
        <f t="shared" si="0"/>
        <v>6</v>
      </c>
      <c r="B17" s="586"/>
      <c r="C17" s="587"/>
      <c r="D17" s="507"/>
      <c r="E17" s="72"/>
      <c r="F17" s="72"/>
      <c r="G17" s="73"/>
      <c r="H17" s="73"/>
      <c r="I17" s="72"/>
      <c r="J17" s="128"/>
      <c r="K17" s="139"/>
      <c r="L17" s="137"/>
      <c r="M17" s="140"/>
      <c r="N17" s="74"/>
    </row>
    <row r="18" spans="1:14">
      <c r="A18" s="136">
        <f t="shared" si="0"/>
        <v>7</v>
      </c>
      <c r="B18" s="586"/>
      <c r="C18" s="587"/>
      <c r="D18" s="507"/>
      <c r="E18" s="72"/>
      <c r="F18" s="72"/>
      <c r="G18" s="73"/>
      <c r="H18" s="73"/>
      <c r="I18" s="72"/>
      <c r="J18" s="128"/>
      <c r="K18" s="74"/>
      <c r="L18" s="137"/>
      <c r="M18" s="141"/>
      <c r="N18" s="74"/>
    </row>
    <row r="19" spans="1:14">
      <c r="A19" s="136">
        <f t="shared" si="0"/>
        <v>8</v>
      </c>
      <c r="B19" s="586"/>
      <c r="C19" s="587"/>
      <c r="D19" s="507"/>
      <c r="E19" s="72"/>
      <c r="F19" s="72"/>
      <c r="G19" s="73"/>
      <c r="H19" s="73"/>
      <c r="I19" s="72"/>
      <c r="J19" s="128"/>
      <c r="K19" s="139"/>
      <c r="L19" s="137"/>
      <c r="M19" s="140"/>
      <c r="N19" s="74"/>
    </row>
    <row r="20" spans="1:14">
      <c r="A20" s="136">
        <f t="shared" si="0"/>
        <v>9</v>
      </c>
      <c r="B20" s="586"/>
      <c r="C20" s="587"/>
      <c r="D20" s="507"/>
      <c r="E20" s="99"/>
      <c r="F20" s="99"/>
      <c r="G20" s="73"/>
      <c r="H20" s="73"/>
      <c r="I20" s="72"/>
      <c r="J20" s="128"/>
      <c r="K20" s="139"/>
      <c r="L20" s="137"/>
      <c r="M20" s="140"/>
      <c r="N20" s="74"/>
    </row>
    <row r="21" spans="1:14">
      <c r="A21" s="136">
        <f t="shared" si="0"/>
        <v>10</v>
      </c>
      <c r="B21" s="76"/>
      <c r="C21" s="77" t="s">
        <v>54</v>
      </c>
      <c r="D21" s="73">
        <f>SUM(D12:D20)</f>
        <v>485825.03</v>
      </c>
      <c r="E21" s="73">
        <f>SUM(E12:E20)</f>
        <v>0</v>
      </c>
      <c r="F21" s="73">
        <f>SUM(F12:F20)</f>
        <v>485825</v>
      </c>
      <c r="G21" s="73"/>
      <c r="H21" s="73"/>
      <c r="I21" s="73"/>
      <c r="J21" s="128"/>
      <c r="K21" s="74"/>
      <c r="L21" s="137"/>
      <c r="M21" s="140"/>
      <c r="N21" s="74"/>
    </row>
    <row r="22" spans="1:14">
      <c r="A22" s="136">
        <f t="shared" si="0"/>
        <v>11</v>
      </c>
      <c r="B22" s="528" t="s">
        <v>1306</v>
      </c>
      <c r="C22" s="71"/>
      <c r="D22" s="78"/>
      <c r="E22" s="79"/>
      <c r="F22" s="79"/>
      <c r="G22" s="79"/>
      <c r="H22" s="79"/>
      <c r="I22" s="78"/>
      <c r="J22" s="128"/>
      <c r="K22" s="74"/>
      <c r="L22" s="137"/>
      <c r="M22" s="140"/>
      <c r="N22" s="74"/>
    </row>
    <row r="23" spans="1:14">
      <c r="A23" s="136">
        <f t="shared" si="0"/>
        <v>12</v>
      </c>
      <c r="B23" s="378" t="s">
        <v>1308</v>
      </c>
      <c r="C23" s="71"/>
      <c r="D23" s="78"/>
      <c r="E23" s="79"/>
      <c r="F23" s="79"/>
      <c r="G23" s="79"/>
      <c r="H23" s="79"/>
      <c r="I23" s="78"/>
      <c r="J23" s="128"/>
      <c r="K23" s="128"/>
      <c r="L23" s="128"/>
      <c r="M23" s="128"/>
      <c r="N23" s="128"/>
    </row>
    <row r="24" spans="1:14">
      <c r="A24" s="136">
        <f t="shared" si="0"/>
        <v>13</v>
      </c>
      <c r="B24" s="378" t="s">
        <v>1502</v>
      </c>
      <c r="C24" s="71"/>
      <c r="D24" s="78"/>
      <c r="E24" s="79"/>
      <c r="F24" s="79"/>
      <c r="G24" s="79"/>
      <c r="H24" s="79"/>
      <c r="I24" s="78"/>
      <c r="J24" s="128"/>
      <c r="K24" s="128"/>
      <c r="L24" s="128"/>
      <c r="M24" s="128"/>
      <c r="N24" s="128"/>
    </row>
    <row r="25" spans="1:14">
      <c r="A25" s="136">
        <f t="shared" si="0"/>
        <v>14</v>
      </c>
      <c r="B25" s="378" t="s">
        <v>1503</v>
      </c>
      <c r="C25" s="71"/>
      <c r="D25" s="78"/>
      <c r="E25" s="79"/>
      <c r="F25" s="79"/>
      <c r="G25" s="79"/>
      <c r="H25" s="79"/>
      <c r="I25" s="78"/>
      <c r="J25" s="128"/>
      <c r="K25" s="128"/>
      <c r="L25" s="128"/>
      <c r="M25" s="128"/>
      <c r="N25" s="128"/>
    </row>
    <row r="26" spans="1:14">
      <c r="A26" s="136">
        <f t="shared" si="0"/>
        <v>15</v>
      </c>
      <c r="B26" s="378" t="s">
        <v>1504</v>
      </c>
      <c r="C26" s="71"/>
      <c r="D26" s="78"/>
      <c r="E26" s="79"/>
      <c r="F26" s="79"/>
      <c r="G26" s="79"/>
      <c r="H26" s="79"/>
      <c r="I26" s="79"/>
      <c r="J26" s="128"/>
      <c r="K26" s="128"/>
      <c r="L26" s="128"/>
      <c r="M26" s="128"/>
      <c r="N26" s="128"/>
    </row>
    <row r="27" spans="1:14">
      <c r="A27" s="136">
        <f t="shared" si="0"/>
        <v>16</v>
      </c>
      <c r="B27" s="378" t="s">
        <v>1505</v>
      </c>
      <c r="C27" s="71"/>
      <c r="D27" s="78"/>
      <c r="E27" s="79"/>
      <c r="F27" s="79"/>
      <c r="G27" s="79"/>
      <c r="H27" s="79"/>
      <c r="I27" s="79"/>
      <c r="J27" s="128"/>
      <c r="K27" s="128"/>
      <c r="L27" s="128"/>
      <c r="M27" s="128"/>
      <c r="N27" s="128"/>
    </row>
    <row r="28" spans="1:14">
      <c r="A28" s="136">
        <f t="shared" si="0"/>
        <v>17</v>
      </c>
      <c r="B28" s="378" t="s">
        <v>1506</v>
      </c>
      <c r="C28" s="71"/>
      <c r="D28" s="78"/>
      <c r="E28" s="79"/>
      <c r="F28" s="79"/>
      <c r="G28" s="79"/>
      <c r="H28" s="79"/>
      <c r="I28" s="79"/>
      <c r="J28" s="128"/>
      <c r="K28" s="128"/>
      <c r="L28" s="128"/>
      <c r="M28" s="128"/>
      <c r="N28" s="128"/>
    </row>
    <row r="29" spans="1:14">
      <c r="A29" s="136">
        <f t="shared" si="0"/>
        <v>18</v>
      </c>
      <c r="B29" s="378" t="s">
        <v>1507</v>
      </c>
      <c r="C29" s="71"/>
      <c r="D29" s="78"/>
      <c r="E29" s="79"/>
      <c r="F29" s="79"/>
      <c r="G29" s="79"/>
      <c r="H29" s="79"/>
      <c r="I29" s="79"/>
      <c r="J29" s="128"/>
      <c r="K29" s="128"/>
      <c r="L29" s="128"/>
      <c r="M29" s="128"/>
      <c r="N29" s="128"/>
    </row>
    <row r="30" spans="1:14">
      <c r="A30" s="128"/>
      <c r="B30" s="76"/>
      <c r="C30" s="71"/>
      <c r="D30" s="78"/>
      <c r="E30" s="79"/>
      <c r="F30" s="79"/>
      <c r="G30" s="79"/>
      <c r="H30" s="79"/>
      <c r="I30" s="79"/>
      <c r="J30" s="128"/>
      <c r="K30" s="128"/>
      <c r="L30" s="128"/>
      <c r="M30" s="128"/>
      <c r="N30" s="128"/>
    </row>
    <row r="31" spans="1:14">
      <c r="A31" s="128"/>
      <c r="B31" s="76"/>
      <c r="C31" s="71"/>
      <c r="D31" s="78"/>
      <c r="E31" s="79"/>
      <c r="F31" s="79"/>
      <c r="G31" s="79"/>
      <c r="H31" s="79"/>
      <c r="I31" s="79"/>
      <c r="J31" s="128"/>
      <c r="K31" s="128"/>
      <c r="L31" s="128"/>
      <c r="M31" s="128"/>
      <c r="N31" s="128"/>
    </row>
    <row r="32" spans="1:14">
      <c r="A32" s="128"/>
      <c r="B32" s="76"/>
      <c r="C32" s="71"/>
      <c r="D32" s="78"/>
      <c r="E32" s="79"/>
      <c r="F32" s="79"/>
      <c r="G32" s="79"/>
      <c r="H32" s="79"/>
      <c r="I32" s="79"/>
      <c r="J32" s="128"/>
      <c r="K32" s="128"/>
      <c r="L32" s="128"/>
      <c r="M32" s="128"/>
      <c r="N32" s="128"/>
    </row>
    <row r="33" spans="1:14">
      <c r="A33" s="128"/>
      <c r="B33" s="76"/>
      <c r="C33" s="71"/>
      <c r="D33" s="78"/>
      <c r="E33" s="79"/>
      <c r="F33" s="79"/>
      <c r="G33" s="79"/>
      <c r="H33" s="79"/>
      <c r="I33" s="79"/>
      <c r="J33" s="128"/>
      <c r="K33" s="128"/>
      <c r="L33" s="128"/>
      <c r="M33" s="128"/>
      <c r="N33" s="128"/>
    </row>
    <row r="34" spans="1:14">
      <c r="A34" s="128"/>
      <c r="B34" s="76"/>
      <c r="C34" s="71"/>
      <c r="D34" s="78"/>
      <c r="E34" s="79"/>
      <c r="F34" s="79"/>
      <c r="G34" s="79"/>
      <c r="H34" s="79"/>
      <c r="I34" s="79"/>
      <c r="J34" s="128"/>
      <c r="K34" s="128"/>
      <c r="L34" s="128"/>
      <c r="M34" s="128"/>
      <c r="N34" s="128"/>
    </row>
    <row r="35" spans="1:14">
      <c r="A35" s="128"/>
      <c r="B35" s="128"/>
      <c r="C35" s="128"/>
      <c r="D35" s="142"/>
      <c r="E35" s="128"/>
      <c r="F35" s="128"/>
      <c r="G35" s="128"/>
      <c r="H35" s="128"/>
      <c r="I35" s="128"/>
      <c r="J35" s="128"/>
      <c r="K35" s="128"/>
      <c r="L35" s="128"/>
      <c r="M35" s="128"/>
      <c r="N35" s="128"/>
    </row>
    <row r="36" spans="1:14">
      <c r="A36" s="128"/>
      <c r="B36" s="128"/>
      <c r="C36" s="128"/>
      <c r="D36" s="142"/>
      <c r="E36" s="142"/>
      <c r="F36" s="142"/>
      <c r="G36" s="142"/>
      <c r="H36" s="142"/>
      <c r="I36" s="142"/>
      <c r="J36" s="128"/>
      <c r="K36" s="128"/>
      <c r="L36" s="128"/>
      <c r="M36" s="128"/>
      <c r="N36" s="128"/>
    </row>
  </sheetData>
  <printOptions horizontalCentered="1"/>
  <pageMargins left="0.7" right="0.7" top="0.75" bottom="0.75" header="0.3" footer="0.3"/>
  <pageSetup fitToHeight="0" orientation="landscape" horizontalDpi="1200" verticalDpi="1200" r:id="rId1"/>
  <headerFooter>
    <oddHeader>&amp;RPage &amp;P
Worksheet  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2"/>
  <sheetViews>
    <sheetView topLeftCell="A115" zoomScaleNormal="100" workbookViewId="0">
      <selection activeCell="D123" sqref="D123"/>
    </sheetView>
  </sheetViews>
  <sheetFormatPr defaultRowHeight="13.8"/>
  <cols>
    <col min="2" max="2" width="15.3984375" bestFit="1" customWidth="1"/>
    <col min="3" max="3" width="36" bestFit="1" customWidth="1"/>
    <col min="4" max="4" width="10.5" customWidth="1"/>
    <col min="5" max="5" width="73.8984375" customWidth="1"/>
  </cols>
  <sheetData>
    <row r="2" spans="1:9">
      <c r="I2" t="s">
        <v>1473</v>
      </c>
    </row>
    <row r="4" spans="1:9">
      <c r="A4" s="179" t="str">
        <f>Index!B4</f>
        <v>Western Farmers Electric Cooperative, Inc.</v>
      </c>
    </row>
    <row r="5" spans="1:9">
      <c r="A5" s="2"/>
    </row>
    <row r="6" spans="1:9">
      <c r="A6" s="1" t="s">
        <v>1321</v>
      </c>
    </row>
    <row r="7" spans="1:9">
      <c r="A7" s="179" t="str">
        <f>Index!B6</f>
        <v>Year Ending December 31, 2016</v>
      </c>
    </row>
    <row r="9" spans="1:9">
      <c r="A9" s="391" t="s">
        <v>3</v>
      </c>
      <c r="B9" s="391" t="s">
        <v>4</v>
      </c>
      <c r="C9" s="391" t="s">
        <v>5</v>
      </c>
      <c r="D9" s="391" t="s">
        <v>9</v>
      </c>
      <c r="E9" s="391" t="s">
        <v>10</v>
      </c>
    </row>
    <row r="10" spans="1:9" ht="27.6">
      <c r="A10" s="391" t="s">
        <v>16</v>
      </c>
      <c r="B10" s="391" t="s">
        <v>1322</v>
      </c>
      <c r="C10" s="391" t="s">
        <v>1323</v>
      </c>
      <c r="D10" s="392" t="s">
        <v>1263</v>
      </c>
      <c r="E10" s="392" t="s">
        <v>1324</v>
      </c>
    </row>
    <row r="11" spans="1:9" ht="41.4">
      <c r="A11" s="393">
        <v>1</v>
      </c>
      <c r="B11" s="563" t="s">
        <v>1733</v>
      </c>
      <c r="C11" s="563" t="s">
        <v>1734</v>
      </c>
      <c r="D11" s="563">
        <v>69</v>
      </c>
      <c r="E11" s="564" t="s">
        <v>1735</v>
      </c>
    </row>
    <row r="12" spans="1:9" ht="41.4">
      <c r="A12" s="393">
        <v>2</v>
      </c>
      <c r="B12" s="563" t="s">
        <v>1736</v>
      </c>
      <c r="C12" s="563" t="s">
        <v>1737</v>
      </c>
      <c r="D12" s="563">
        <v>69</v>
      </c>
      <c r="E12" s="564" t="s">
        <v>1738</v>
      </c>
    </row>
    <row r="13" spans="1:9" ht="27.6">
      <c r="A13" s="393">
        <v>3</v>
      </c>
      <c r="B13" s="563" t="s">
        <v>1739</v>
      </c>
      <c r="C13" s="563" t="s">
        <v>1740</v>
      </c>
      <c r="D13" s="563">
        <v>69</v>
      </c>
      <c r="E13" s="564" t="s">
        <v>1741</v>
      </c>
    </row>
    <row r="14" spans="1:9" ht="27.6">
      <c r="A14" s="393">
        <v>4</v>
      </c>
      <c r="B14" s="563" t="s">
        <v>1742</v>
      </c>
      <c r="C14" s="563" t="s">
        <v>1740</v>
      </c>
      <c r="D14" s="563">
        <v>138</v>
      </c>
      <c r="E14" s="564" t="s">
        <v>1741</v>
      </c>
    </row>
    <row r="15" spans="1:9" ht="41.4">
      <c r="A15" s="393">
        <v>5</v>
      </c>
      <c r="B15" s="563" t="s">
        <v>1743</v>
      </c>
      <c r="C15" s="563" t="s">
        <v>1744</v>
      </c>
      <c r="D15" s="563">
        <v>69</v>
      </c>
      <c r="E15" s="564" t="s">
        <v>1745</v>
      </c>
    </row>
    <row r="16" spans="1:9">
      <c r="A16" s="393">
        <v>6</v>
      </c>
      <c r="B16" s="563" t="s">
        <v>1746</v>
      </c>
      <c r="C16" s="563" t="s">
        <v>1747</v>
      </c>
      <c r="D16" s="563">
        <v>138</v>
      </c>
      <c r="E16" s="564" t="s">
        <v>1748</v>
      </c>
    </row>
    <row r="17" spans="1:5">
      <c r="A17" s="393">
        <v>7</v>
      </c>
      <c r="B17" s="563" t="s">
        <v>1749</v>
      </c>
      <c r="C17" s="563" t="s">
        <v>1750</v>
      </c>
      <c r="D17" s="563">
        <v>138</v>
      </c>
      <c r="E17" s="564" t="s">
        <v>1748</v>
      </c>
    </row>
    <row r="18" spans="1:5" ht="41.4">
      <c r="A18" s="393">
        <v>8</v>
      </c>
      <c r="B18" s="563" t="s">
        <v>1751</v>
      </c>
      <c r="C18" s="563" t="s">
        <v>1752</v>
      </c>
      <c r="D18" s="563">
        <v>69</v>
      </c>
      <c r="E18" s="564" t="s">
        <v>1753</v>
      </c>
    </row>
    <row r="19" spans="1:5" ht="41.4">
      <c r="A19" s="393">
        <v>9</v>
      </c>
      <c r="B19" s="563" t="s">
        <v>1754</v>
      </c>
      <c r="C19" s="563" t="s">
        <v>1752</v>
      </c>
      <c r="D19" s="563">
        <v>138</v>
      </c>
      <c r="E19" s="564" t="s">
        <v>1753</v>
      </c>
    </row>
    <row r="20" spans="1:5" ht="27.6">
      <c r="A20" s="393">
        <v>10</v>
      </c>
      <c r="B20" s="563" t="s">
        <v>1755</v>
      </c>
      <c r="C20" s="563" t="s">
        <v>1756</v>
      </c>
      <c r="D20" s="563">
        <v>138</v>
      </c>
      <c r="E20" s="564" t="s">
        <v>1757</v>
      </c>
    </row>
    <row r="21" spans="1:5">
      <c r="A21" s="393">
        <v>11</v>
      </c>
      <c r="B21" s="563" t="s">
        <v>1758</v>
      </c>
      <c r="C21" s="563" t="s">
        <v>1759</v>
      </c>
      <c r="D21" s="563">
        <v>138</v>
      </c>
      <c r="E21" s="564" t="s">
        <v>1760</v>
      </c>
    </row>
    <row r="22" spans="1:5" ht="41.4">
      <c r="A22" s="393">
        <v>12</v>
      </c>
      <c r="B22" s="563" t="s">
        <v>1761</v>
      </c>
      <c r="C22" s="563" t="s">
        <v>1762</v>
      </c>
      <c r="D22" s="563">
        <v>138</v>
      </c>
      <c r="E22" s="564" t="s">
        <v>1763</v>
      </c>
    </row>
    <row r="23" spans="1:5" ht="27.6">
      <c r="A23" s="393">
        <v>13</v>
      </c>
      <c r="B23" s="563" t="s">
        <v>1764</v>
      </c>
      <c r="C23" s="563" t="s">
        <v>1765</v>
      </c>
      <c r="D23" s="563">
        <v>69</v>
      </c>
      <c r="E23" s="564" t="s">
        <v>1766</v>
      </c>
    </row>
    <row r="24" spans="1:5" ht="55.2">
      <c r="A24" s="393">
        <v>14</v>
      </c>
      <c r="B24" s="563" t="s">
        <v>1767</v>
      </c>
      <c r="C24" s="563" t="s">
        <v>1768</v>
      </c>
      <c r="D24" s="563">
        <v>138</v>
      </c>
      <c r="E24" s="564" t="s">
        <v>1769</v>
      </c>
    </row>
    <row r="25" spans="1:5" ht="55.2">
      <c r="A25" s="393">
        <v>15</v>
      </c>
      <c r="B25" s="563" t="s">
        <v>1770</v>
      </c>
      <c r="C25" s="563" t="s">
        <v>1771</v>
      </c>
      <c r="D25" s="563">
        <v>69</v>
      </c>
      <c r="E25" s="564" t="s">
        <v>1772</v>
      </c>
    </row>
    <row r="26" spans="1:5" ht="55.2">
      <c r="A26" s="393">
        <v>16</v>
      </c>
      <c r="B26" s="563" t="s">
        <v>1773</v>
      </c>
      <c r="C26" s="563" t="s">
        <v>1774</v>
      </c>
      <c r="D26" s="563">
        <v>138</v>
      </c>
      <c r="E26" s="564" t="s">
        <v>1775</v>
      </c>
    </row>
    <row r="27" spans="1:5" ht="27.6">
      <c r="A27" s="393">
        <v>17</v>
      </c>
      <c r="B27" s="563" t="s">
        <v>1776</v>
      </c>
      <c r="C27" s="563" t="s">
        <v>1777</v>
      </c>
      <c r="D27" s="563">
        <v>69</v>
      </c>
      <c r="E27" s="564" t="s">
        <v>1778</v>
      </c>
    </row>
    <row r="28" spans="1:5" ht="27.6">
      <c r="A28" s="393">
        <v>18</v>
      </c>
      <c r="B28" s="563" t="s">
        <v>1779</v>
      </c>
      <c r="C28" s="563" t="s">
        <v>1777</v>
      </c>
      <c r="D28" s="563">
        <v>138</v>
      </c>
      <c r="E28" s="564" t="s">
        <v>1778</v>
      </c>
    </row>
    <row r="29" spans="1:5">
      <c r="A29" s="393">
        <v>19</v>
      </c>
      <c r="B29" s="563" t="s">
        <v>1780</v>
      </c>
      <c r="C29" s="563" t="s">
        <v>1781</v>
      </c>
      <c r="D29" s="563">
        <v>69</v>
      </c>
      <c r="E29" s="564" t="s">
        <v>1782</v>
      </c>
    </row>
    <row r="30" spans="1:5" ht="55.2">
      <c r="A30" s="393">
        <v>20</v>
      </c>
      <c r="B30" s="563" t="s">
        <v>1783</v>
      </c>
      <c r="C30" s="563" t="s">
        <v>1784</v>
      </c>
      <c r="D30" s="563">
        <v>69</v>
      </c>
      <c r="E30" s="564" t="s">
        <v>1785</v>
      </c>
    </row>
    <row r="31" spans="1:5">
      <c r="A31" s="393">
        <v>21</v>
      </c>
      <c r="B31" s="563" t="s">
        <v>1786</v>
      </c>
      <c r="C31" s="563" t="s">
        <v>1787</v>
      </c>
      <c r="D31" s="563">
        <v>69</v>
      </c>
      <c r="E31" s="564" t="s">
        <v>1788</v>
      </c>
    </row>
    <row r="32" spans="1:5" ht="41.4">
      <c r="A32" s="393">
        <v>22</v>
      </c>
      <c r="B32" s="563" t="s">
        <v>1789</v>
      </c>
      <c r="C32" s="563" t="s">
        <v>1789</v>
      </c>
      <c r="D32" s="563">
        <v>69</v>
      </c>
      <c r="E32" s="564" t="s">
        <v>1790</v>
      </c>
    </row>
    <row r="33" spans="1:5" ht="41.4">
      <c r="A33" s="393">
        <v>23</v>
      </c>
      <c r="B33" s="563" t="s">
        <v>1791</v>
      </c>
      <c r="C33" s="563" t="s">
        <v>1792</v>
      </c>
      <c r="D33" s="563">
        <v>138</v>
      </c>
      <c r="E33" s="564" t="s">
        <v>1793</v>
      </c>
    </row>
    <row r="34" spans="1:5">
      <c r="A34" s="393">
        <v>24</v>
      </c>
      <c r="B34" s="563" t="s">
        <v>1794</v>
      </c>
      <c r="C34" s="563" t="s">
        <v>1795</v>
      </c>
      <c r="D34" s="563">
        <v>138</v>
      </c>
      <c r="E34" s="564" t="s">
        <v>1796</v>
      </c>
    </row>
    <row r="35" spans="1:5" ht="41.4">
      <c r="A35" s="393">
        <v>25</v>
      </c>
      <c r="B35" s="563" t="s">
        <v>1797</v>
      </c>
      <c r="C35" s="563" t="s">
        <v>1798</v>
      </c>
      <c r="D35" s="563">
        <v>138</v>
      </c>
      <c r="E35" s="564" t="s">
        <v>1799</v>
      </c>
    </row>
    <row r="36" spans="1:5" ht="41.4">
      <c r="A36" s="393">
        <v>26</v>
      </c>
      <c r="B36" s="563" t="s">
        <v>1800</v>
      </c>
      <c r="C36" s="563" t="s">
        <v>1801</v>
      </c>
      <c r="D36" s="563">
        <v>69</v>
      </c>
      <c r="E36" s="564" t="s">
        <v>1802</v>
      </c>
    </row>
    <row r="37" spans="1:5">
      <c r="A37" s="393">
        <v>27</v>
      </c>
      <c r="B37" s="563" t="s">
        <v>1803</v>
      </c>
      <c r="C37" s="563" t="s">
        <v>1804</v>
      </c>
      <c r="D37" s="563">
        <v>69</v>
      </c>
      <c r="E37" s="564" t="s">
        <v>1805</v>
      </c>
    </row>
    <row r="38" spans="1:5">
      <c r="A38" s="393">
        <v>28</v>
      </c>
      <c r="B38" s="563" t="s">
        <v>1806</v>
      </c>
      <c r="C38" s="563" t="s">
        <v>1807</v>
      </c>
      <c r="D38" s="563">
        <v>138</v>
      </c>
      <c r="E38" s="564" t="s">
        <v>1808</v>
      </c>
    </row>
    <row r="39" spans="1:5">
      <c r="A39" s="393">
        <v>29</v>
      </c>
      <c r="B39" s="563" t="s">
        <v>1809</v>
      </c>
      <c r="C39" s="563" t="s">
        <v>1810</v>
      </c>
      <c r="D39" s="563">
        <v>69</v>
      </c>
      <c r="E39" s="564" t="s">
        <v>1811</v>
      </c>
    </row>
    <row r="40" spans="1:5">
      <c r="A40" s="393">
        <v>30</v>
      </c>
      <c r="B40" s="563" t="s">
        <v>1812</v>
      </c>
      <c r="C40" s="563" t="s">
        <v>1810</v>
      </c>
      <c r="D40" s="563">
        <v>138</v>
      </c>
      <c r="E40" s="564" t="s">
        <v>1813</v>
      </c>
    </row>
    <row r="41" spans="1:5" ht="41.4">
      <c r="A41" s="393">
        <v>31</v>
      </c>
      <c r="B41" s="563" t="s">
        <v>1814</v>
      </c>
      <c r="C41" s="563" t="s">
        <v>1815</v>
      </c>
      <c r="D41" s="563">
        <v>69</v>
      </c>
      <c r="E41" s="564" t="s">
        <v>1816</v>
      </c>
    </row>
    <row r="42" spans="1:5" ht="41.4">
      <c r="A42" s="393">
        <v>32</v>
      </c>
      <c r="B42" s="563" t="s">
        <v>1817</v>
      </c>
      <c r="C42" s="563" t="s">
        <v>1818</v>
      </c>
      <c r="D42" s="563">
        <v>69</v>
      </c>
      <c r="E42" s="564" t="s">
        <v>1819</v>
      </c>
    </row>
    <row r="43" spans="1:5" ht="41.4">
      <c r="A43" s="393">
        <v>33</v>
      </c>
      <c r="B43" s="563" t="s">
        <v>1820</v>
      </c>
      <c r="C43" s="563" t="s">
        <v>1818</v>
      </c>
      <c r="D43" s="563">
        <v>138</v>
      </c>
      <c r="E43" s="564" t="s">
        <v>1819</v>
      </c>
    </row>
    <row r="44" spans="1:5" ht="41.4">
      <c r="A44" s="393">
        <v>34</v>
      </c>
      <c r="B44" s="563" t="s">
        <v>1821</v>
      </c>
      <c r="C44" s="563" t="s">
        <v>1818</v>
      </c>
      <c r="D44" s="563">
        <v>69</v>
      </c>
      <c r="E44" s="564" t="s">
        <v>1819</v>
      </c>
    </row>
    <row r="45" spans="1:5">
      <c r="A45" s="393">
        <v>35</v>
      </c>
      <c r="B45" s="563" t="s">
        <v>1822</v>
      </c>
      <c r="C45" s="563" t="s">
        <v>1823</v>
      </c>
      <c r="D45" s="563">
        <v>69</v>
      </c>
      <c r="E45" s="564" t="s">
        <v>1824</v>
      </c>
    </row>
    <row r="46" spans="1:5" ht="41.4">
      <c r="A46" s="393">
        <v>36</v>
      </c>
      <c r="B46" s="563" t="s">
        <v>1825</v>
      </c>
      <c r="C46" s="563" t="s">
        <v>1826</v>
      </c>
      <c r="D46" s="563">
        <v>69</v>
      </c>
      <c r="E46" s="564" t="s">
        <v>1827</v>
      </c>
    </row>
    <row r="47" spans="1:5" ht="55.2">
      <c r="A47" s="393">
        <v>37</v>
      </c>
      <c r="B47" s="563" t="s">
        <v>1828</v>
      </c>
      <c r="C47" s="563" t="s">
        <v>1829</v>
      </c>
      <c r="D47" s="563">
        <v>69</v>
      </c>
      <c r="E47" s="564" t="s">
        <v>1830</v>
      </c>
    </row>
    <row r="48" spans="1:5" ht="41.4">
      <c r="A48" s="393">
        <v>38</v>
      </c>
      <c r="B48" s="563" t="s">
        <v>1831</v>
      </c>
      <c r="C48" s="563" t="s">
        <v>1832</v>
      </c>
      <c r="D48" s="563">
        <v>138</v>
      </c>
      <c r="E48" s="564" t="s">
        <v>1833</v>
      </c>
    </row>
    <row r="49" spans="1:5" ht="55.2">
      <c r="A49" s="393">
        <v>39</v>
      </c>
      <c r="B49" s="563" t="s">
        <v>1834</v>
      </c>
      <c r="C49" s="563" t="s">
        <v>1835</v>
      </c>
      <c r="D49" s="563">
        <v>69</v>
      </c>
      <c r="E49" s="564" t="s">
        <v>1836</v>
      </c>
    </row>
    <row r="50" spans="1:5">
      <c r="A50" s="393">
        <v>40</v>
      </c>
      <c r="B50" s="563" t="s">
        <v>1837</v>
      </c>
      <c r="C50" s="563" t="s">
        <v>1838</v>
      </c>
      <c r="D50" s="563">
        <v>69</v>
      </c>
      <c r="E50" s="564" t="s">
        <v>1839</v>
      </c>
    </row>
    <row r="51" spans="1:5">
      <c r="A51" s="393">
        <v>41</v>
      </c>
      <c r="B51" s="563" t="s">
        <v>1840</v>
      </c>
      <c r="C51" s="563" t="s">
        <v>1841</v>
      </c>
      <c r="D51" s="563">
        <v>138</v>
      </c>
      <c r="E51" s="564" t="s">
        <v>1842</v>
      </c>
    </row>
    <row r="52" spans="1:5">
      <c r="A52" s="393">
        <v>42</v>
      </c>
      <c r="B52" s="563" t="s">
        <v>1843</v>
      </c>
      <c r="C52" s="563" t="s">
        <v>1841</v>
      </c>
      <c r="D52" s="563">
        <v>69</v>
      </c>
      <c r="E52" s="564" t="s">
        <v>1842</v>
      </c>
    </row>
    <row r="53" spans="1:5" ht="41.4">
      <c r="A53" s="393">
        <v>43</v>
      </c>
      <c r="B53" s="563" t="s">
        <v>1844</v>
      </c>
      <c r="C53" s="563" t="s">
        <v>1845</v>
      </c>
      <c r="D53" s="563">
        <v>138</v>
      </c>
      <c r="E53" s="564" t="s">
        <v>1846</v>
      </c>
    </row>
    <row r="54" spans="1:5" ht="41.4">
      <c r="A54" s="393">
        <v>44</v>
      </c>
      <c r="B54" s="563" t="s">
        <v>1847</v>
      </c>
      <c r="C54" s="563" t="s">
        <v>1845</v>
      </c>
      <c r="D54" s="563">
        <v>138</v>
      </c>
      <c r="E54" s="564" t="s">
        <v>1846</v>
      </c>
    </row>
    <row r="55" spans="1:5" ht="41.4">
      <c r="A55" s="393">
        <v>45</v>
      </c>
      <c r="B55" s="563" t="s">
        <v>1848</v>
      </c>
      <c r="C55" s="563" t="s">
        <v>1849</v>
      </c>
      <c r="D55" s="563">
        <v>69</v>
      </c>
      <c r="E55" s="564" t="s">
        <v>1850</v>
      </c>
    </row>
    <row r="56" spans="1:5" ht="55.2">
      <c r="A56" s="393">
        <v>46</v>
      </c>
      <c r="B56" s="563" t="s">
        <v>1851</v>
      </c>
      <c r="C56" s="563" t="s">
        <v>1852</v>
      </c>
      <c r="D56" s="563">
        <v>69</v>
      </c>
      <c r="E56" s="564" t="s">
        <v>1853</v>
      </c>
    </row>
    <row r="57" spans="1:5" ht="55.2">
      <c r="A57" s="393">
        <v>47</v>
      </c>
      <c r="B57" s="563" t="s">
        <v>1854</v>
      </c>
      <c r="C57" s="563" t="s">
        <v>1852</v>
      </c>
      <c r="D57" s="563">
        <v>138</v>
      </c>
      <c r="E57" s="564" t="s">
        <v>1853</v>
      </c>
    </row>
    <row r="58" spans="1:5" ht="41.4">
      <c r="A58" s="393">
        <v>48</v>
      </c>
      <c r="B58" s="563" t="s">
        <v>1855</v>
      </c>
      <c r="C58" s="563" t="s">
        <v>1856</v>
      </c>
      <c r="D58" s="563">
        <v>138</v>
      </c>
      <c r="E58" s="564" t="s">
        <v>1857</v>
      </c>
    </row>
    <row r="59" spans="1:5" ht="41.4">
      <c r="A59" s="393">
        <v>49</v>
      </c>
      <c r="B59" s="563" t="s">
        <v>1858</v>
      </c>
      <c r="C59" s="563" t="s">
        <v>1859</v>
      </c>
      <c r="D59" s="563">
        <v>69</v>
      </c>
      <c r="E59" s="564" t="s">
        <v>1860</v>
      </c>
    </row>
    <row r="60" spans="1:5" ht="27.6">
      <c r="A60" s="393">
        <v>50</v>
      </c>
      <c r="B60" s="563" t="s">
        <v>1861</v>
      </c>
      <c r="C60" s="563" t="s">
        <v>1862</v>
      </c>
      <c r="D60" s="563">
        <v>69</v>
      </c>
      <c r="E60" s="564" t="s">
        <v>1863</v>
      </c>
    </row>
    <row r="61" spans="1:5">
      <c r="A61" s="393">
        <v>51</v>
      </c>
      <c r="B61" s="563" t="s">
        <v>1864</v>
      </c>
      <c r="C61" s="563" t="s">
        <v>1865</v>
      </c>
      <c r="D61" s="563">
        <v>138</v>
      </c>
      <c r="E61" s="564" t="s">
        <v>1866</v>
      </c>
    </row>
    <row r="62" spans="1:5" ht="55.2">
      <c r="A62" s="393">
        <v>52</v>
      </c>
      <c r="B62" s="563" t="s">
        <v>1867</v>
      </c>
      <c r="C62" s="563" t="s">
        <v>1868</v>
      </c>
      <c r="D62" s="563">
        <v>69</v>
      </c>
      <c r="E62" s="564" t="s">
        <v>1869</v>
      </c>
    </row>
    <row r="63" spans="1:5" ht="27.6">
      <c r="A63" s="393">
        <v>53</v>
      </c>
      <c r="B63" s="563" t="s">
        <v>1870</v>
      </c>
      <c r="C63" s="563" t="s">
        <v>1871</v>
      </c>
      <c r="D63" s="563">
        <v>138</v>
      </c>
      <c r="E63" s="564" t="s">
        <v>1872</v>
      </c>
    </row>
    <row r="64" spans="1:5" ht="55.2">
      <c r="A64" s="393">
        <v>54</v>
      </c>
      <c r="B64" s="563" t="s">
        <v>1873</v>
      </c>
      <c r="C64" s="563" t="s">
        <v>1874</v>
      </c>
      <c r="D64" s="563">
        <v>69</v>
      </c>
      <c r="E64" s="564" t="s">
        <v>1875</v>
      </c>
    </row>
    <row r="65" spans="1:5">
      <c r="A65" s="393">
        <v>55</v>
      </c>
      <c r="B65" s="563" t="s">
        <v>1876</v>
      </c>
      <c r="C65" s="563" t="s">
        <v>1877</v>
      </c>
      <c r="D65" s="563">
        <v>69</v>
      </c>
      <c r="E65" s="564" t="s">
        <v>1878</v>
      </c>
    </row>
    <row r="66" spans="1:5" ht="41.4">
      <c r="A66" s="393">
        <v>56</v>
      </c>
      <c r="B66" s="563" t="s">
        <v>1879</v>
      </c>
      <c r="C66" s="563" t="s">
        <v>1880</v>
      </c>
      <c r="D66" s="563">
        <v>138</v>
      </c>
      <c r="E66" s="564" t="s">
        <v>1881</v>
      </c>
    </row>
    <row r="67" spans="1:5" ht="41.4">
      <c r="A67" s="393">
        <v>57</v>
      </c>
      <c r="B67" s="563" t="s">
        <v>1882</v>
      </c>
      <c r="C67" s="563" t="s">
        <v>1883</v>
      </c>
      <c r="D67" s="563">
        <v>69</v>
      </c>
      <c r="E67" s="564" t="s">
        <v>1884</v>
      </c>
    </row>
    <row r="68" spans="1:5" ht="41.4">
      <c r="A68" s="393">
        <v>58</v>
      </c>
      <c r="B68" s="563" t="s">
        <v>1885</v>
      </c>
      <c r="C68" s="563" t="s">
        <v>1886</v>
      </c>
      <c r="D68" s="563">
        <v>138</v>
      </c>
      <c r="E68" s="564" t="s">
        <v>1887</v>
      </c>
    </row>
    <row r="69" spans="1:5" ht="41.4">
      <c r="A69" s="393">
        <v>59</v>
      </c>
      <c r="B69" s="563" t="s">
        <v>1888</v>
      </c>
      <c r="C69" s="563" t="s">
        <v>1889</v>
      </c>
      <c r="D69" s="563">
        <v>138</v>
      </c>
      <c r="E69" s="564" t="s">
        <v>1890</v>
      </c>
    </row>
    <row r="70" spans="1:5" ht="27.6">
      <c r="A70" s="393">
        <v>60</v>
      </c>
      <c r="B70" s="563" t="s">
        <v>1891</v>
      </c>
      <c r="C70" s="563" t="s">
        <v>1892</v>
      </c>
      <c r="D70" s="563">
        <v>138</v>
      </c>
      <c r="E70" s="564" t="s">
        <v>1893</v>
      </c>
    </row>
    <row r="71" spans="1:5" ht="27.6">
      <c r="A71" s="393">
        <v>61</v>
      </c>
      <c r="B71" s="563" t="s">
        <v>1894</v>
      </c>
      <c r="C71" s="563" t="s">
        <v>1895</v>
      </c>
      <c r="D71" s="563">
        <v>138</v>
      </c>
      <c r="E71" s="564" t="s">
        <v>1896</v>
      </c>
    </row>
    <row r="72" spans="1:5" ht="27.6">
      <c r="A72" s="393">
        <v>62</v>
      </c>
      <c r="B72" s="563" t="s">
        <v>1897</v>
      </c>
      <c r="C72" s="563" t="s">
        <v>1898</v>
      </c>
      <c r="D72" s="563">
        <v>138</v>
      </c>
      <c r="E72" s="564" t="s">
        <v>1896</v>
      </c>
    </row>
    <row r="73" spans="1:5">
      <c r="A73" s="393">
        <v>63</v>
      </c>
      <c r="B73" s="563" t="s">
        <v>1899</v>
      </c>
      <c r="C73" s="563" t="s">
        <v>1900</v>
      </c>
      <c r="D73" s="563">
        <v>138</v>
      </c>
      <c r="E73" s="564" t="s">
        <v>1901</v>
      </c>
    </row>
    <row r="74" spans="1:5">
      <c r="A74" s="393">
        <v>64</v>
      </c>
      <c r="B74" s="563" t="s">
        <v>1902</v>
      </c>
      <c r="C74" s="563" t="s">
        <v>1903</v>
      </c>
      <c r="D74" s="563">
        <v>69</v>
      </c>
      <c r="E74" s="564" t="s">
        <v>1904</v>
      </c>
    </row>
    <row r="75" spans="1:5" ht="41.4">
      <c r="A75" s="393">
        <v>65</v>
      </c>
      <c r="B75" s="563" t="s">
        <v>1905</v>
      </c>
      <c r="C75" s="563" t="s">
        <v>1906</v>
      </c>
      <c r="D75" s="563">
        <v>69</v>
      </c>
      <c r="E75" s="564" t="s">
        <v>1907</v>
      </c>
    </row>
    <row r="76" spans="1:5" ht="41.4">
      <c r="A76" s="393">
        <v>66</v>
      </c>
      <c r="B76" s="563" t="s">
        <v>1908</v>
      </c>
      <c r="C76" s="563" t="s">
        <v>1909</v>
      </c>
      <c r="D76" s="563">
        <v>138</v>
      </c>
      <c r="E76" s="564" t="s">
        <v>1910</v>
      </c>
    </row>
    <row r="77" spans="1:5" ht="55.2">
      <c r="A77" s="393">
        <v>67</v>
      </c>
      <c r="B77" s="563" t="s">
        <v>1911</v>
      </c>
      <c r="C77" s="563" t="s">
        <v>1912</v>
      </c>
      <c r="D77" s="563">
        <v>69</v>
      </c>
      <c r="E77" s="564" t="s">
        <v>1913</v>
      </c>
    </row>
    <row r="78" spans="1:5" ht="55.2">
      <c r="A78" s="393">
        <v>68</v>
      </c>
      <c r="B78" s="563" t="s">
        <v>1914</v>
      </c>
      <c r="C78" s="563" t="s">
        <v>1912</v>
      </c>
      <c r="D78" s="563">
        <v>138</v>
      </c>
      <c r="E78" s="564" t="s">
        <v>1913</v>
      </c>
    </row>
    <row r="79" spans="1:5" ht="27.6">
      <c r="A79" s="393">
        <v>69</v>
      </c>
      <c r="B79" s="563" t="s">
        <v>1915</v>
      </c>
      <c r="C79" s="563" t="s">
        <v>1916</v>
      </c>
      <c r="D79" s="563">
        <v>69</v>
      </c>
      <c r="E79" s="564" t="s">
        <v>1917</v>
      </c>
    </row>
    <row r="80" spans="1:5" ht="41.4">
      <c r="A80" s="393">
        <v>70</v>
      </c>
      <c r="B80" s="563" t="s">
        <v>1918</v>
      </c>
      <c r="C80" s="563" t="s">
        <v>1919</v>
      </c>
      <c r="D80" s="563">
        <v>69</v>
      </c>
      <c r="E80" s="564" t="s">
        <v>1920</v>
      </c>
    </row>
    <row r="81" spans="1:5" ht="27.6">
      <c r="A81" s="393">
        <v>71</v>
      </c>
      <c r="B81" s="563" t="s">
        <v>1921</v>
      </c>
      <c r="C81" s="563" t="s">
        <v>1922</v>
      </c>
      <c r="D81" s="563">
        <v>69</v>
      </c>
      <c r="E81" s="564" t="s">
        <v>1923</v>
      </c>
    </row>
    <row r="82" spans="1:5" ht="27.6">
      <c r="A82" s="393">
        <v>72</v>
      </c>
      <c r="B82" s="563" t="s">
        <v>1924</v>
      </c>
      <c r="C82" s="563" t="s">
        <v>1922</v>
      </c>
      <c r="D82" s="563">
        <v>138</v>
      </c>
      <c r="E82" s="564" t="s">
        <v>1925</v>
      </c>
    </row>
    <row r="83" spans="1:5" ht="27.6">
      <c r="A83" s="393">
        <v>73</v>
      </c>
      <c r="B83" s="563" t="s">
        <v>1926</v>
      </c>
      <c r="C83" s="563" t="s">
        <v>1927</v>
      </c>
      <c r="D83" s="563">
        <v>138</v>
      </c>
      <c r="E83" s="564" t="s">
        <v>1928</v>
      </c>
    </row>
    <row r="84" spans="1:5" ht="27.6">
      <c r="A84" s="393">
        <v>74</v>
      </c>
      <c r="B84" s="563" t="s">
        <v>1929</v>
      </c>
      <c r="C84" s="563" t="s">
        <v>1930</v>
      </c>
      <c r="D84" s="563">
        <v>138</v>
      </c>
      <c r="E84" s="564" t="s">
        <v>1931</v>
      </c>
    </row>
    <row r="85" spans="1:5" ht="55.2">
      <c r="A85" s="393">
        <v>75</v>
      </c>
      <c r="B85" s="563" t="s">
        <v>1932</v>
      </c>
      <c r="C85" s="563" t="s">
        <v>1933</v>
      </c>
      <c r="D85" s="563">
        <v>138</v>
      </c>
      <c r="E85" s="564" t="s">
        <v>1934</v>
      </c>
    </row>
    <row r="86" spans="1:5" ht="41.4">
      <c r="A86" s="393">
        <v>76</v>
      </c>
      <c r="B86" s="563" t="s">
        <v>1935</v>
      </c>
      <c r="C86" s="563" t="s">
        <v>1936</v>
      </c>
      <c r="D86" s="563">
        <v>69</v>
      </c>
      <c r="E86" s="564" t="s">
        <v>1937</v>
      </c>
    </row>
    <row r="87" spans="1:5" ht="41.4">
      <c r="A87" s="393">
        <v>77</v>
      </c>
      <c r="B87" s="563" t="s">
        <v>1938</v>
      </c>
      <c r="C87" s="563" t="s">
        <v>1936</v>
      </c>
      <c r="D87" s="563">
        <v>138</v>
      </c>
      <c r="E87" s="564" t="s">
        <v>1937</v>
      </c>
    </row>
    <row r="88" spans="1:5" ht="55.2">
      <c r="A88" s="393">
        <v>78</v>
      </c>
      <c r="B88" s="563" t="s">
        <v>1939</v>
      </c>
      <c r="C88" s="563" t="s">
        <v>1940</v>
      </c>
      <c r="D88" s="563">
        <v>138</v>
      </c>
      <c r="E88" s="564" t="s">
        <v>1941</v>
      </c>
    </row>
    <row r="89" spans="1:5" ht="41.4">
      <c r="A89" s="393">
        <v>79</v>
      </c>
      <c r="B89" s="563" t="s">
        <v>1942</v>
      </c>
      <c r="C89" s="563" t="s">
        <v>1943</v>
      </c>
      <c r="D89" s="563">
        <v>69</v>
      </c>
      <c r="E89" s="564" t="s">
        <v>1944</v>
      </c>
    </row>
    <row r="90" spans="1:5" ht="41.4">
      <c r="A90" s="393">
        <v>80</v>
      </c>
      <c r="B90" s="563" t="s">
        <v>1945</v>
      </c>
      <c r="C90" s="563" t="s">
        <v>1943</v>
      </c>
      <c r="D90" s="563">
        <v>138</v>
      </c>
      <c r="E90" s="564" t="s">
        <v>1944</v>
      </c>
    </row>
    <row r="91" spans="1:5" ht="27.6">
      <c r="A91" s="393">
        <v>81</v>
      </c>
      <c r="B91" s="563" t="s">
        <v>1946</v>
      </c>
      <c r="C91" s="563" t="s">
        <v>1947</v>
      </c>
      <c r="D91" s="563">
        <v>138</v>
      </c>
      <c r="E91" s="564" t="s">
        <v>1948</v>
      </c>
    </row>
    <row r="92" spans="1:5" ht="27.6">
      <c r="A92" s="393">
        <v>82</v>
      </c>
      <c r="B92" s="563" t="s">
        <v>1949</v>
      </c>
      <c r="C92" s="563" t="s">
        <v>1950</v>
      </c>
      <c r="D92" s="563">
        <v>138</v>
      </c>
      <c r="E92" s="564" t="s">
        <v>1951</v>
      </c>
    </row>
    <row r="93" spans="1:5" ht="27.6">
      <c r="A93" s="393">
        <v>83</v>
      </c>
      <c r="B93" s="563" t="s">
        <v>1952</v>
      </c>
      <c r="C93" s="563" t="s">
        <v>1953</v>
      </c>
      <c r="D93" s="563">
        <v>138</v>
      </c>
      <c r="E93" s="564" t="s">
        <v>1954</v>
      </c>
    </row>
    <row r="94" spans="1:5" ht="41.4">
      <c r="A94" s="393">
        <v>84</v>
      </c>
      <c r="B94" s="563" t="s">
        <v>1955</v>
      </c>
      <c r="C94" s="563" t="s">
        <v>1956</v>
      </c>
      <c r="D94" s="563">
        <v>138</v>
      </c>
      <c r="E94" s="564" t="s">
        <v>1957</v>
      </c>
    </row>
    <row r="95" spans="1:5" ht="55.2">
      <c r="A95" s="393">
        <v>85</v>
      </c>
      <c r="B95" s="563" t="s">
        <v>1958</v>
      </c>
      <c r="C95" s="563" t="s">
        <v>1959</v>
      </c>
      <c r="D95" s="563">
        <v>69</v>
      </c>
      <c r="E95" s="564" t="s">
        <v>1960</v>
      </c>
    </row>
    <row r="96" spans="1:5" ht="41.4">
      <c r="A96" s="393">
        <v>86</v>
      </c>
      <c r="B96" s="563" t="s">
        <v>1961</v>
      </c>
      <c r="C96" s="563" t="s">
        <v>1962</v>
      </c>
      <c r="D96" s="563">
        <v>69</v>
      </c>
      <c r="E96" s="564" t="s">
        <v>1963</v>
      </c>
    </row>
    <row r="97" spans="1:5" ht="27.6">
      <c r="A97" s="393">
        <v>87</v>
      </c>
      <c r="B97" s="563" t="s">
        <v>1964</v>
      </c>
      <c r="C97" s="563" t="s">
        <v>1965</v>
      </c>
      <c r="D97" s="563">
        <v>69</v>
      </c>
      <c r="E97" s="564" t="s">
        <v>1966</v>
      </c>
    </row>
    <row r="98" spans="1:5" ht="27.6">
      <c r="A98" s="393">
        <v>88</v>
      </c>
      <c r="B98" s="563" t="s">
        <v>1967</v>
      </c>
      <c r="C98" s="563" t="s">
        <v>1965</v>
      </c>
      <c r="D98" s="563">
        <v>138</v>
      </c>
      <c r="E98" s="564" t="s">
        <v>1966</v>
      </c>
    </row>
    <row r="99" spans="1:5" ht="27.6">
      <c r="A99" s="393">
        <v>89</v>
      </c>
      <c r="B99" s="563" t="s">
        <v>1968</v>
      </c>
      <c r="C99" s="563" t="s">
        <v>1969</v>
      </c>
      <c r="D99" s="563">
        <v>138</v>
      </c>
      <c r="E99" s="564" t="s">
        <v>1970</v>
      </c>
    </row>
    <row r="100" spans="1:5">
      <c r="A100" s="393">
        <v>90</v>
      </c>
      <c r="B100" s="563" t="s">
        <v>1971</v>
      </c>
      <c r="C100" s="563" t="s">
        <v>1972</v>
      </c>
      <c r="D100" s="563">
        <v>69</v>
      </c>
      <c r="E100" s="564" t="s">
        <v>1973</v>
      </c>
    </row>
    <row r="101" spans="1:5">
      <c r="A101" s="393">
        <v>91</v>
      </c>
      <c r="B101" s="563" t="s">
        <v>1974</v>
      </c>
      <c r="C101" s="563" t="s">
        <v>1975</v>
      </c>
      <c r="D101" s="563">
        <v>138</v>
      </c>
      <c r="E101" s="564" t="s">
        <v>1973</v>
      </c>
    </row>
    <row r="102" spans="1:5">
      <c r="A102" s="393">
        <v>92</v>
      </c>
      <c r="B102" s="563" t="s">
        <v>1976</v>
      </c>
      <c r="C102" s="563" t="s">
        <v>1977</v>
      </c>
      <c r="D102" s="563">
        <v>138</v>
      </c>
      <c r="E102" s="564" t="s">
        <v>1978</v>
      </c>
    </row>
    <row r="103" spans="1:5" ht="27.6">
      <c r="A103" s="393">
        <v>93</v>
      </c>
      <c r="B103" s="563" t="s">
        <v>1979</v>
      </c>
      <c r="C103" s="563" t="s">
        <v>1980</v>
      </c>
      <c r="D103" s="563">
        <v>69</v>
      </c>
      <c r="E103" s="564" t="s">
        <v>1981</v>
      </c>
    </row>
    <row r="104" spans="1:5" ht="27.6">
      <c r="A104" s="393">
        <v>94</v>
      </c>
      <c r="B104" s="563" t="s">
        <v>1982</v>
      </c>
      <c r="C104" s="563" t="s">
        <v>1980</v>
      </c>
      <c r="D104" s="563">
        <v>138</v>
      </c>
      <c r="E104" s="564" t="s">
        <v>1981</v>
      </c>
    </row>
    <row r="105" spans="1:5" ht="55.2">
      <c r="A105" s="393">
        <v>95</v>
      </c>
      <c r="B105" s="563" t="s">
        <v>1983</v>
      </c>
      <c r="C105" s="563" t="s">
        <v>1984</v>
      </c>
      <c r="D105" s="563">
        <v>69</v>
      </c>
      <c r="E105" s="564" t="s">
        <v>1985</v>
      </c>
    </row>
    <row r="106" spans="1:5" ht="55.2">
      <c r="A106" s="393">
        <v>96</v>
      </c>
      <c r="B106" s="563" t="s">
        <v>1986</v>
      </c>
      <c r="C106" s="563" t="s">
        <v>1984</v>
      </c>
      <c r="D106" s="563">
        <v>138</v>
      </c>
      <c r="E106" s="564" t="s">
        <v>1985</v>
      </c>
    </row>
    <row r="107" spans="1:5" ht="27.6">
      <c r="A107" s="393">
        <v>97</v>
      </c>
      <c r="B107" s="563" t="s">
        <v>1987</v>
      </c>
      <c r="C107" s="563" t="s">
        <v>1988</v>
      </c>
      <c r="D107" s="563">
        <v>138</v>
      </c>
      <c r="E107" s="564" t="s">
        <v>1989</v>
      </c>
    </row>
    <row r="108" spans="1:5" ht="41.4">
      <c r="A108" s="393">
        <v>98</v>
      </c>
      <c r="B108" s="563" t="s">
        <v>1990</v>
      </c>
      <c r="C108" s="563" t="s">
        <v>1991</v>
      </c>
      <c r="D108" s="563">
        <v>69</v>
      </c>
      <c r="E108" s="564" t="s">
        <v>1992</v>
      </c>
    </row>
    <row r="109" spans="1:5">
      <c r="A109" s="393">
        <v>99</v>
      </c>
      <c r="B109" s="563" t="s">
        <v>1993</v>
      </c>
      <c r="C109" s="563" t="s">
        <v>1994</v>
      </c>
      <c r="D109" s="563">
        <v>138</v>
      </c>
      <c r="E109" s="564" t="s">
        <v>1995</v>
      </c>
    </row>
    <row r="110" spans="1:5">
      <c r="A110" s="393">
        <v>100</v>
      </c>
      <c r="B110" s="563" t="s">
        <v>1996</v>
      </c>
      <c r="C110" s="563" t="s">
        <v>1997</v>
      </c>
      <c r="D110" s="563">
        <v>138</v>
      </c>
      <c r="E110" s="564" t="s">
        <v>1995</v>
      </c>
    </row>
    <row r="111" spans="1:5" ht="27.6">
      <c r="A111" s="393">
        <v>101</v>
      </c>
      <c r="B111" s="563" t="s">
        <v>1998</v>
      </c>
      <c r="C111" s="563" t="s">
        <v>1999</v>
      </c>
      <c r="D111" s="563">
        <v>138</v>
      </c>
      <c r="E111" s="564" t="s">
        <v>2000</v>
      </c>
    </row>
    <row r="112" spans="1:5">
      <c r="A112" s="393">
        <v>102</v>
      </c>
      <c r="B112" s="563" t="s">
        <v>2001</v>
      </c>
      <c r="C112" s="563" t="s">
        <v>2002</v>
      </c>
      <c r="D112" s="563">
        <v>69</v>
      </c>
      <c r="E112" s="564" t="s">
        <v>2003</v>
      </c>
    </row>
    <row r="113" spans="1:5" ht="27.6">
      <c r="A113" s="393">
        <v>103</v>
      </c>
      <c r="B113" s="563" t="s">
        <v>2004</v>
      </c>
      <c r="C113" s="563" t="s">
        <v>2005</v>
      </c>
      <c r="D113" s="563">
        <v>69</v>
      </c>
      <c r="E113" s="564" t="s">
        <v>2006</v>
      </c>
    </row>
    <row r="114" spans="1:5" ht="27.6">
      <c r="A114" s="393">
        <v>104</v>
      </c>
      <c r="B114" s="563" t="s">
        <v>2007</v>
      </c>
      <c r="C114" s="563" t="s">
        <v>2005</v>
      </c>
      <c r="D114" s="563">
        <v>138</v>
      </c>
      <c r="E114" s="564" t="s">
        <v>2006</v>
      </c>
    </row>
    <row r="115" spans="1:5" ht="41.4">
      <c r="A115" s="393">
        <v>105</v>
      </c>
      <c r="B115" s="563" t="s">
        <v>2008</v>
      </c>
      <c r="C115" s="563" t="s">
        <v>2009</v>
      </c>
      <c r="D115" s="563">
        <v>69</v>
      </c>
      <c r="E115" s="564" t="s">
        <v>2010</v>
      </c>
    </row>
    <row r="116" spans="1:5" ht="41.4">
      <c r="A116" s="393">
        <v>106</v>
      </c>
      <c r="B116" s="563" t="s">
        <v>2011</v>
      </c>
      <c r="C116" s="563" t="s">
        <v>2009</v>
      </c>
      <c r="D116" s="563">
        <v>138</v>
      </c>
      <c r="E116" s="564" t="s">
        <v>2010</v>
      </c>
    </row>
    <row r="117" spans="1:5">
      <c r="A117" s="393">
        <v>107</v>
      </c>
      <c r="B117" s="563" t="s">
        <v>2012</v>
      </c>
      <c r="C117" s="563" t="s">
        <v>2013</v>
      </c>
      <c r="D117" s="563">
        <v>69</v>
      </c>
      <c r="E117" s="564" t="s">
        <v>2014</v>
      </c>
    </row>
    <row r="118" spans="1:5" ht="41.4">
      <c r="A118" s="393">
        <v>108</v>
      </c>
      <c r="B118" s="563" t="s">
        <v>2015</v>
      </c>
      <c r="C118" s="563" t="s">
        <v>2016</v>
      </c>
      <c r="D118" s="563">
        <v>138</v>
      </c>
      <c r="E118" s="564" t="s">
        <v>2017</v>
      </c>
    </row>
    <row r="119" spans="1:5" ht="27.6">
      <c r="A119" s="393">
        <v>109</v>
      </c>
      <c r="B119" s="563" t="s">
        <v>2018</v>
      </c>
      <c r="C119" s="563" t="s">
        <v>2019</v>
      </c>
      <c r="D119" s="563">
        <v>69</v>
      </c>
      <c r="E119" s="564" t="s">
        <v>2020</v>
      </c>
    </row>
    <row r="120" spans="1:5" ht="55.2">
      <c r="A120" s="393">
        <v>110</v>
      </c>
      <c r="B120" s="563" t="s">
        <v>2021</v>
      </c>
      <c r="C120" s="563" t="s">
        <v>2022</v>
      </c>
      <c r="D120" s="563">
        <v>69</v>
      </c>
      <c r="E120" s="564" t="s">
        <v>2023</v>
      </c>
    </row>
    <row r="122" spans="1:5">
      <c r="A122" s="381">
        <f>A120+1</f>
        <v>111</v>
      </c>
      <c r="B122" s="28" t="s">
        <v>209</v>
      </c>
      <c r="D122" s="565">
        <v>1</v>
      </c>
    </row>
    <row r="124" spans="1:5">
      <c r="A124" s="381">
        <f>A122+1</f>
        <v>112</v>
      </c>
      <c r="B124" t="s">
        <v>1306</v>
      </c>
    </row>
    <row r="125" spans="1:5">
      <c r="A125" s="529">
        <f>A124+1</f>
        <v>113</v>
      </c>
      <c r="B125" s="83" t="s">
        <v>1325</v>
      </c>
    </row>
    <row r="126" spans="1:5">
      <c r="A126" s="529">
        <f t="shared" ref="A126:A132" si="0">A125+1</f>
        <v>114</v>
      </c>
      <c r="B126" s="83" t="s">
        <v>1508</v>
      </c>
    </row>
    <row r="127" spans="1:5">
      <c r="A127" s="529">
        <f t="shared" si="0"/>
        <v>115</v>
      </c>
      <c r="B127" s="83" t="s">
        <v>1509</v>
      </c>
    </row>
    <row r="128" spans="1:5">
      <c r="A128" s="529">
        <f t="shared" si="0"/>
        <v>116</v>
      </c>
      <c r="B128" s="83" t="s">
        <v>1510</v>
      </c>
    </row>
    <row r="129" spans="1:2">
      <c r="A129" s="529">
        <f t="shared" si="0"/>
        <v>117</v>
      </c>
      <c r="B129" s="83" t="s">
        <v>1511</v>
      </c>
    </row>
    <row r="130" spans="1:2">
      <c r="A130" s="529">
        <f t="shared" si="0"/>
        <v>118</v>
      </c>
      <c r="B130" t="s">
        <v>1512</v>
      </c>
    </row>
    <row r="131" spans="1:2">
      <c r="A131" s="529">
        <f t="shared" si="0"/>
        <v>119</v>
      </c>
      <c r="B131" t="s">
        <v>1513</v>
      </c>
    </row>
    <row r="132" spans="1:2">
      <c r="A132" s="529">
        <f t="shared" si="0"/>
        <v>120</v>
      </c>
      <c r="B132" t="s">
        <v>1514</v>
      </c>
    </row>
  </sheetData>
  <pageMargins left="0.7" right="0.7" top="0.75" bottom="0.75" header="0.3" footer="0.3"/>
  <pageSetup scale="57" fitToHeight="0" orientation="portrait" horizontalDpi="1200" verticalDpi="1200" r:id="rId1"/>
  <headerFooter>
    <oddHeader xml:space="preserve">&amp;RPage &amp;P
Worksheet  S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4"/>
  <sheetViews>
    <sheetView topLeftCell="A280" zoomScaleNormal="100" workbookViewId="0">
      <selection activeCell="C305" sqref="C305"/>
    </sheetView>
  </sheetViews>
  <sheetFormatPr defaultRowHeight="13.8"/>
  <cols>
    <col min="2" max="2" width="24.3984375" bestFit="1" customWidth="1"/>
    <col min="3" max="3" width="14.69921875" bestFit="1" customWidth="1"/>
    <col min="4" max="4" width="12.19921875" customWidth="1"/>
    <col min="6" max="6" width="37.5" customWidth="1"/>
  </cols>
  <sheetData>
    <row r="1" spans="1:9">
      <c r="A1" s="179" t="str">
        <f>Index!B4</f>
        <v>Western Farmers Electric Cooperative, Inc.</v>
      </c>
      <c r="I1" t="s">
        <v>1474</v>
      </c>
    </row>
    <row r="2" spans="1:9">
      <c r="A2" s="2"/>
    </row>
    <row r="3" spans="1:9">
      <c r="A3" s="1" t="s">
        <v>1326</v>
      </c>
    </row>
    <row r="4" spans="1:9">
      <c r="A4" s="179" t="str">
        <f>Index!B6</f>
        <v>Year Ending December 31, 2016</v>
      </c>
    </row>
    <row r="5" spans="1:9">
      <c r="A5" s="179"/>
    </row>
    <row r="6" spans="1:9">
      <c r="A6" s="379" t="s">
        <v>3</v>
      </c>
      <c r="B6" s="379" t="s">
        <v>4</v>
      </c>
      <c r="C6" s="379" t="s">
        <v>5</v>
      </c>
      <c r="D6" s="379" t="s">
        <v>9</v>
      </c>
      <c r="E6" s="379" t="s">
        <v>10</v>
      </c>
      <c r="F6" s="379" t="s">
        <v>11</v>
      </c>
    </row>
    <row r="7" spans="1:9" ht="27.6">
      <c r="A7" s="395" t="s">
        <v>16</v>
      </c>
      <c r="B7" s="395" t="s">
        <v>1327</v>
      </c>
      <c r="C7" s="395" t="s">
        <v>1328</v>
      </c>
      <c r="D7" s="380" t="s">
        <v>1263</v>
      </c>
      <c r="E7" s="380" t="s">
        <v>1329</v>
      </c>
      <c r="F7" s="380" t="s">
        <v>1324</v>
      </c>
    </row>
    <row r="8" spans="1:9">
      <c r="A8" s="394">
        <v>1</v>
      </c>
      <c r="B8" s="563" t="s">
        <v>2024</v>
      </c>
      <c r="C8" s="563" t="s">
        <v>2025</v>
      </c>
      <c r="D8" s="563">
        <v>69</v>
      </c>
      <c r="E8" s="566">
        <v>2.1</v>
      </c>
      <c r="F8" s="563" t="s">
        <v>2026</v>
      </c>
    </row>
    <row r="9" spans="1:9">
      <c r="A9" s="394">
        <f>A8+1</f>
        <v>2</v>
      </c>
      <c r="B9" s="563" t="s">
        <v>2025</v>
      </c>
      <c r="C9" s="563" t="s">
        <v>2027</v>
      </c>
      <c r="D9" s="563">
        <v>69</v>
      </c>
      <c r="E9" s="566">
        <v>8</v>
      </c>
      <c r="F9" s="563" t="s">
        <v>2026</v>
      </c>
    </row>
    <row r="10" spans="1:9">
      <c r="A10" s="394">
        <f t="shared" ref="A10:A73" si="0">A9+1</f>
        <v>3</v>
      </c>
      <c r="B10" s="563" t="s">
        <v>2027</v>
      </c>
      <c r="C10" s="563" t="s">
        <v>1851</v>
      </c>
      <c r="D10" s="563">
        <v>69</v>
      </c>
      <c r="E10" s="566">
        <v>16.2</v>
      </c>
      <c r="F10" s="563" t="s">
        <v>2028</v>
      </c>
    </row>
    <row r="11" spans="1:9">
      <c r="A11" s="394">
        <f t="shared" si="0"/>
        <v>4</v>
      </c>
      <c r="B11" s="563" t="s">
        <v>2029</v>
      </c>
      <c r="C11" s="563" t="s">
        <v>1851</v>
      </c>
      <c r="D11" s="563">
        <v>69</v>
      </c>
      <c r="E11" s="566">
        <v>14.5</v>
      </c>
      <c r="F11" s="563" t="s">
        <v>2030</v>
      </c>
    </row>
    <row r="12" spans="1:9">
      <c r="A12" s="394">
        <f t="shared" si="0"/>
        <v>5</v>
      </c>
      <c r="B12" s="563" t="s">
        <v>2029</v>
      </c>
      <c r="C12" s="563" t="s">
        <v>2031</v>
      </c>
      <c r="D12" s="563">
        <v>69</v>
      </c>
      <c r="E12" s="566">
        <v>0</v>
      </c>
      <c r="F12" s="563" t="s">
        <v>2026</v>
      </c>
    </row>
    <row r="13" spans="1:9">
      <c r="A13" s="394">
        <f t="shared" si="0"/>
        <v>6</v>
      </c>
      <c r="B13" s="563" t="s">
        <v>1770</v>
      </c>
      <c r="C13" s="563" t="s">
        <v>2031</v>
      </c>
      <c r="D13" s="563">
        <v>69</v>
      </c>
      <c r="E13" s="566">
        <v>3.2</v>
      </c>
      <c r="F13" s="563" t="s">
        <v>2026</v>
      </c>
    </row>
    <row r="14" spans="1:9">
      <c r="A14" s="394">
        <f t="shared" si="0"/>
        <v>7</v>
      </c>
      <c r="B14" s="563" t="s">
        <v>1770</v>
      </c>
      <c r="C14" s="563" t="s">
        <v>2032</v>
      </c>
      <c r="D14" s="563">
        <v>69</v>
      </c>
      <c r="E14" s="566">
        <v>21.6</v>
      </c>
      <c r="F14" s="563" t="s">
        <v>2033</v>
      </c>
    </row>
    <row r="15" spans="1:9">
      <c r="A15" s="394">
        <f t="shared" si="0"/>
        <v>8</v>
      </c>
      <c r="B15" s="563" t="s">
        <v>2034</v>
      </c>
      <c r="C15" s="563" t="s">
        <v>2032</v>
      </c>
      <c r="D15" s="563">
        <v>69</v>
      </c>
      <c r="E15" s="566">
        <v>15.9</v>
      </c>
      <c r="F15" s="563" t="s">
        <v>2035</v>
      </c>
    </row>
    <row r="16" spans="1:9">
      <c r="A16" s="394">
        <f t="shared" si="0"/>
        <v>9</v>
      </c>
      <c r="B16" s="563" t="s">
        <v>2018</v>
      </c>
      <c r="C16" s="563" t="s">
        <v>2034</v>
      </c>
      <c r="D16" s="563">
        <v>69</v>
      </c>
      <c r="E16" s="566">
        <v>11.6</v>
      </c>
      <c r="F16" s="563" t="s">
        <v>2035</v>
      </c>
    </row>
    <row r="17" spans="1:6">
      <c r="A17" s="394">
        <f t="shared" si="0"/>
        <v>10</v>
      </c>
      <c r="B17" s="563" t="s">
        <v>2018</v>
      </c>
      <c r="C17" s="563" t="s">
        <v>1736</v>
      </c>
      <c r="D17" s="563">
        <v>69</v>
      </c>
      <c r="E17" s="566">
        <v>6.9</v>
      </c>
      <c r="F17" s="563" t="s">
        <v>2035</v>
      </c>
    </row>
    <row r="18" spans="1:6">
      <c r="A18" s="394">
        <f t="shared" si="0"/>
        <v>11</v>
      </c>
      <c r="B18" s="563" t="s">
        <v>1736</v>
      </c>
      <c r="C18" s="563" t="s">
        <v>1783</v>
      </c>
      <c r="D18" s="563">
        <v>69</v>
      </c>
      <c r="E18" s="566">
        <v>11</v>
      </c>
      <c r="F18" s="563" t="s">
        <v>2036</v>
      </c>
    </row>
    <row r="19" spans="1:6">
      <c r="A19" s="394">
        <f t="shared" si="0"/>
        <v>12</v>
      </c>
      <c r="B19" s="563" t="s">
        <v>2037</v>
      </c>
      <c r="C19" s="563" t="s">
        <v>1783</v>
      </c>
      <c r="D19" s="563">
        <v>69</v>
      </c>
      <c r="E19" s="566">
        <v>3.5</v>
      </c>
      <c r="F19" s="563" t="s">
        <v>2038</v>
      </c>
    </row>
    <row r="20" spans="1:6">
      <c r="A20" s="394">
        <f t="shared" si="0"/>
        <v>13</v>
      </c>
      <c r="B20" s="563" t="s">
        <v>2037</v>
      </c>
      <c r="C20" s="563" t="s">
        <v>1873</v>
      </c>
      <c r="D20" s="563">
        <v>69</v>
      </c>
      <c r="E20" s="566">
        <v>4</v>
      </c>
      <c r="F20" s="563" t="s">
        <v>2038</v>
      </c>
    </row>
    <row r="21" spans="1:6">
      <c r="A21" s="394">
        <f t="shared" si="0"/>
        <v>14</v>
      </c>
      <c r="B21" s="563" t="s">
        <v>1851</v>
      </c>
      <c r="C21" s="563" t="s">
        <v>1837</v>
      </c>
      <c r="D21" s="563">
        <v>69</v>
      </c>
      <c r="E21" s="566">
        <v>15</v>
      </c>
      <c r="F21" s="563" t="s">
        <v>2039</v>
      </c>
    </row>
    <row r="22" spans="1:6">
      <c r="A22" s="394">
        <f t="shared" si="0"/>
        <v>15</v>
      </c>
      <c r="B22" s="563" t="s">
        <v>2021</v>
      </c>
      <c r="C22" s="563" t="s">
        <v>1837</v>
      </c>
      <c r="D22" s="563">
        <v>69</v>
      </c>
      <c r="E22" s="566">
        <v>2.1</v>
      </c>
      <c r="F22" s="563" t="s">
        <v>2039</v>
      </c>
    </row>
    <row r="23" spans="1:6">
      <c r="A23" s="394">
        <f t="shared" si="0"/>
        <v>16</v>
      </c>
      <c r="B23" s="563" t="s">
        <v>2021</v>
      </c>
      <c r="C23" s="563" t="s">
        <v>2040</v>
      </c>
      <c r="D23" s="563">
        <v>69</v>
      </c>
      <c r="E23" s="566">
        <v>9.4</v>
      </c>
      <c r="F23" s="563" t="s">
        <v>2039</v>
      </c>
    </row>
    <row r="24" spans="1:6">
      <c r="A24" s="394">
        <f t="shared" si="0"/>
        <v>17</v>
      </c>
      <c r="B24" s="563" t="s">
        <v>1921</v>
      </c>
      <c r="C24" s="563" t="s">
        <v>2040</v>
      </c>
      <c r="D24" s="563">
        <v>69</v>
      </c>
      <c r="E24" s="566">
        <v>1</v>
      </c>
      <c r="F24" s="563" t="s">
        <v>2039</v>
      </c>
    </row>
    <row r="25" spans="1:6">
      <c r="A25" s="394">
        <f t="shared" si="0"/>
        <v>18</v>
      </c>
      <c r="B25" s="563" t="s">
        <v>2041</v>
      </c>
      <c r="C25" s="563" t="s">
        <v>2021</v>
      </c>
      <c r="D25" s="563">
        <v>69</v>
      </c>
      <c r="E25" s="566">
        <v>3.5</v>
      </c>
      <c r="F25" s="563" t="s">
        <v>2039</v>
      </c>
    </row>
    <row r="26" spans="1:6">
      <c r="A26" s="394">
        <f t="shared" si="0"/>
        <v>19</v>
      </c>
      <c r="B26" s="563" t="s">
        <v>2042</v>
      </c>
      <c r="C26" s="563" t="s">
        <v>2021</v>
      </c>
      <c r="D26" s="563">
        <v>69</v>
      </c>
      <c r="E26" s="566">
        <v>2</v>
      </c>
      <c r="F26" s="563" t="s">
        <v>2039</v>
      </c>
    </row>
    <row r="27" spans="1:6">
      <c r="A27" s="394">
        <f t="shared" si="0"/>
        <v>20</v>
      </c>
      <c r="B27" s="563" t="s">
        <v>2043</v>
      </c>
      <c r="C27" s="563" t="s">
        <v>2021</v>
      </c>
      <c r="D27" s="563">
        <v>69</v>
      </c>
      <c r="E27" s="566">
        <v>22.3</v>
      </c>
      <c r="F27" s="563" t="s">
        <v>2044</v>
      </c>
    </row>
    <row r="28" spans="1:6">
      <c r="A28" s="394">
        <f t="shared" si="0"/>
        <v>21</v>
      </c>
      <c r="B28" s="563" t="s">
        <v>1983</v>
      </c>
      <c r="C28" s="563" t="s">
        <v>2043</v>
      </c>
      <c r="D28" s="563">
        <v>69</v>
      </c>
      <c r="E28" s="566">
        <v>15.8</v>
      </c>
      <c r="F28" s="563" t="s">
        <v>2045</v>
      </c>
    </row>
    <row r="29" spans="1:6">
      <c r="A29" s="394">
        <f t="shared" si="0"/>
        <v>22</v>
      </c>
      <c r="B29" s="563" t="s">
        <v>2046</v>
      </c>
      <c r="C29" s="563" t="s">
        <v>1983</v>
      </c>
      <c r="D29" s="563">
        <v>69</v>
      </c>
      <c r="E29" s="566">
        <v>9.6999999999999993</v>
      </c>
      <c r="F29" s="563" t="s">
        <v>2045</v>
      </c>
    </row>
    <row r="30" spans="1:6">
      <c r="A30" s="394">
        <f t="shared" si="0"/>
        <v>23</v>
      </c>
      <c r="B30" s="563" t="s">
        <v>2046</v>
      </c>
      <c r="C30" s="563" t="s">
        <v>1935</v>
      </c>
      <c r="D30" s="563">
        <v>69</v>
      </c>
      <c r="E30" s="566">
        <v>19.100000000000001</v>
      </c>
      <c r="F30" s="563" t="s">
        <v>2047</v>
      </c>
    </row>
    <row r="31" spans="1:6">
      <c r="A31" s="394">
        <f t="shared" si="0"/>
        <v>24</v>
      </c>
      <c r="B31" s="563" t="s">
        <v>2048</v>
      </c>
      <c r="C31" s="563" t="s">
        <v>1983</v>
      </c>
      <c r="D31" s="563">
        <v>69</v>
      </c>
      <c r="E31" s="566">
        <v>19.3</v>
      </c>
      <c r="F31" s="563" t="s">
        <v>2045</v>
      </c>
    </row>
    <row r="32" spans="1:6">
      <c r="A32" s="394">
        <f t="shared" si="0"/>
        <v>25</v>
      </c>
      <c r="B32" s="563" t="s">
        <v>1876</v>
      </c>
      <c r="C32" s="563" t="s">
        <v>2048</v>
      </c>
      <c r="D32" s="563">
        <v>69</v>
      </c>
      <c r="E32" s="566">
        <v>7</v>
      </c>
      <c r="F32" s="563" t="s">
        <v>2049</v>
      </c>
    </row>
    <row r="33" spans="1:6">
      <c r="A33" s="394">
        <f t="shared" si="0"/>
        <v>26</v>
      </c>
      <c r="B33" s="563" t="s">
        <v>1743</v>
      </c>
      <c r="C33" s="563" t="s">
        <v>1876</v>
      </c>
      <c r="D33" s="563">
        <v>69</v>
      </c>
      <c r="E33" s="566">
        <v>12.5</v>
      </c>
      <c r="F33" s="563" t="s">
        <v>2050</v>
      </c>
    </row>
    <row r="34" spans="1:6">
      <c r="A34" s="394">
        <f t="shared" si="0"/>
        <v>27</v>
      </c>
      <c r="B34" s="563" t="s">
        <v>1743</v>
      </c>
      <c r="C34" s="563" t="s">
        <v>2051</v>
      </c>
      <c r="D34" s="563">
        <v>69</v>
      </c>
      <c r="E34" s="566">
        <v>8</v>
      </c>
      <c r="F34" s="563" t="s">
        <v>2052</v>
      </c>
    </row>
    <row r="35" spans="1:6">
      <c r="A35" s="394">
        <f t="shared" si="0"/>
        <v>28</v>
      </c>
      <c r="B35" s="563" t="s">
        <v>2053</v>
      </c>
      <c r="C35" s="563" t="s">
        <v>2051</v>
      </c>
      <c r="D35" s="563">
        <v>69</v>
      </c>
      <c r="E35" s="566">
        <v>11.7</v>
      </c>
      <c r="F35" s="563" t="s">
        <v>2054</v>
      </c>
    </row>
    <row r="36" spans="1:6">
      <c r="A36" s="394">
        <f t="shared" si="0"/>
        <v>29</v>
      </c>
      <c r="B36" s="563" t="s">
        <v>2053</v>
      </c>
      <c r="C36" s="563" t="s">
        <v>2055</v>
      </c>
      <c r="D36" s="563">
        <v>69</v>
      </c>
      <c r="E36" s="566">
        <v>1.2</v>
      </c>
      <c r="F36" s="563" t="s">
        <v>2054</v>
      </c>
    </row>
    <row r="37" spans="1:6">
      <c r="A37" s="394">
        <f t="shared" si="0"/>
        <v>30</v>
      </c>
      <c r="B37" s="563" t="s">
        <v>2055</v>
      </c>
      <c r="C37" s="563" t="s">
        <v>1858</v>
      </c>
      <c r="D37" s="563">
        <v>69</v>
      </c>
      <c r="E37" s="566">
        <v>13.6</v>
      </c>
      <c r="F37" s="563" t="s">
        <v>2056</v>
      </c>
    </row>
    <row r="38" spans="1:6">
      <c r="A38" s="394">
        <f t="shared" si="0"/>
        <v>31</v>
      </c>
      <c r="B38" s="563" t="s">
        <v>1858</v>
      </c>
      <c r="C38" s="563" t="s">
        <v>2057</v>
      </c>
      <c r="D38" s="563">
        <v>69</v>
      </c>
      <c r="E38" s="566">
        <v>16</v>
      </c>
      <c r="F38" s="563" t="s">
        <v>2058</v>
      </c>
    </row>
    <row r="39" spans="1:6">
      <c r="A39" s="394">
        <f t="shared" si="0"/>
        <v>32</v>
      </c>
      <c r="B39" s="563" t="s">
        <v>1902</v>
      </c>
      <c r="C39" s="563" t="s">
        <v>2057</v>
      </c>
      <c r="D39" s="563">
        <v>69</v>
      </c>
      <c r="E39" s="566">
        <v>11</v>
      </c>
      <c r="F39" s="563" t="s">
        <v>2059</v>
      </c>
    </row>
    <row r="40" spans="1:6">
      <c r="A40" s="394">
        <f t="shared" si="0"/>
        <v>33</v>
      </c>
      <c r="B40" s="563" t="s">
        <v>2060</v>
      </c>
      <c r="C40" s="563" t="s">
        <v>1964</v>
      </c>
      <c r="D40" s="563">
        <v>69</v>
      </c>
      <c r="E40" s="566">
        <v>4</v>
      </c>
      <c r="F40" s="563" t="s">
        <v>2061</v>
      </c>
    </row>
    <row r="41" spans="1:6">
      <c r="A41" s="394">
        <f t="shared" si="0"/>
        <v>34</v>
      </c>
      <c r="B41" s="563" t="s">
        <v>1780</v>
      </c>
      <c r="C41" s="563" t="s">
        <v>1902</v>
      </c>
      <c r="D41" s="563">
        <v>69</v>
      </c>
      <c r="E41" s="566">
        <v>15.6</v>
      </c>
      <c r="F41" s="563" t="s">
        <v>2062</v>
      </c>
    </row>
    <row r="42" spans="1:6">
      <c r="A42" s="394">
        <f t="shared" si="0"/>
        <v>35</v>
      </c>
      <c r="B42" s="563" t="s">
        <v>1780</v>
      </c>
      <c r="C42" s="563" t="s">
        <v>1800</v>
      </c>
      <c r="D42" s="563">
        <v>69</v>
      </c>
      <c r="E42" s="566">
        <v>5</v>
      </c>
      <c r="F42" s="563" t="s">
        <v>2063</v>
      </c>
    </row>
    <row r="43" spans="1:6">
      <c r="A43" s="394">
        <f t="shared" si="0"/>
        <v>36</v>
      </c>
      <c r="B43" s="563" t="s">
        <v>1800</v>
      </c>
      <c r="C43" s="563" t="s">
        <v>2064</v>
      </c>
      <c r="D43" s="563">
        <v>69</v>
      </c>
      <c r="E43" s="566">
        <v>4.7</v>
      </c>
      <c r="F43" s="563" t="s">
        <v>2063</v>
      </c>
    </row>
    <row r="44" spans="1:6">
      <c r="A44" s="394">
        <f t="shared" si="0"/>
        <v>37</v>
      </c>
      <c r="B44" s="563" t="s">
        <v>2065</v>
      </c>
      <c r="C44" s="563" t="s">
        <v>2064</v>
      </c>
      <c r="D44" s="563">
        <v>69</v>
      </c>
      <c r="E44" s="566">
        <v>1.9</v>
      </c>
      <c r="F44" s="563" t="s">
        <v>2063</v>
      </c>
    </row>
    <row r="45" spans="1:6">
      <c r="A45" s="394">
        <f t="shared" si="0"/>
        <v>38</v>
      </c>
      <c r="B45" s="563" t="s">
        <v>2066</v>
      </c>
      <c r="C45" s="563" t="s">
        <v>1800</v>
      </c>
      <c r="D45" s="563">
        <v>69</v>
      </c>
      <c r="E45" s="566">
        <v>5.5</v>
      </c>
      <c r="F45" s="563" t="s">
        <v>2067</v>
      </c>
    </row>
    <row r="46" spans="1:6">
      <c r="A46" s="394">
        <f t="shared" si="0"/>
        <v>39</v>
      </c>
      <c r="B46" s="563" t="s">
        <v>2068</v>
      </c>
      <c r="C46" s="563" t="s">
        <v>1902</v>
      </c>
      <c r="D46" s="563">
        <v>69</v>
      </c>
      <c r="E46" s="566">
        <v>7</v>
      </c>
      <c r="F46" s="563" t="s">
        <v>2069</v>
      </c>
    </row>
    <row r="47" spans="1:6">
      <c r="A47" s="394">
        <f t="shared" si="0"/>
        <v>40</v>
      </c>
      <c r="B47" s="563" t="s">
        <v>2068</v>
      </c>
      <c r="C47" s="563" t="s">
        <v>2070</v>
      </c>
      <c r="D47" s="563">
        <v>69</v>
      </c>
      <c r="E47" s="566">
        <v>5</v>
      </c>
      <c r="F47" s="563" t="s">
        <v>2069</v>
      </c>
    </row>
    <row r="48" spans="1:6">
      <c r="A48" s="394">
        <f t="shared" si="0"/>
        <v>41</v>
      </c>
      <c r="B48" s="563" t="s">
        <v>1964</v>
      </c>
      <c r="C48" s="563" t="s">
        <v>2070</v>
      </c>
      <c r="D48" s="563">
        <v>69</v>
      </c>
      <c r="E48" s="566">
        <v>19</v>
      </c>
      <c r="F48" s="563" t="s">
        <v>2071</v>
      </c>
    </row>
    <row r="49" spans="1:6">
      <c r="A49" s="394">
        <f t="shared" si="0"/>
        <v>42</v>
      </c>
      <c r="B49" s="563" t="s">
        <v>1825</v>
      </c>
      <c r="C49" s="563" t="s">
        <v>2060</v>
      </c>
      <c r="D49" s="563">
        <v>69</v>
      </c>
      <c r="E49" s="566">
        <v>7.1</v>
      </c>
      <c r="F49" s="563" t="s">
        <v>2072</v>
      </c>
    </row>
    <row r="50" spans="1:6">
      <c r="A50" s="394">
        <f t="shared" si="0"/>
        <v>43</v>
      </c>
      <c r="B50" s="563" t="s">
        <v>1825</v>
      </c>
      <c r="C50" s="563" t="s">
        <v>2073</v>
      </c>
      <c r="D50" s="563">
        <v>69</v>
      </c>
      <c r="E50" s="566">
        <v>11.5</v>
      </c>
      <c r="F50" s="563" t="s">
        <v>2072</v>
      </c>
    </row>
    <row r="51" spans="1:6">
      <c r="A51" s="394">
        <f t="shared" si="0"/>
        <v>44</v>
      </c>
      <c r="B51" s="563" t="s">
        <v>2074</v>
      </c>
      <c r="C51" s="563" t="s">
        <v>2073</v>
      </c>
      <c r="D51" s="563">
        <v>69</v>
      </c>
      <c r="E51" s="566">
        <v>15</v>
      </c>
      <c r="F51" s="563" t="s">
        <v>2075</v>
      </c>
    </row>
    <row r="52" spans="1:6">
      <c r="A52" s="394">
        <f t="shared" si="0"/>
        <v>45</v>
      </c>
      <c r="B52" s="563" t="s">
        <v>1858</v>
      </c>
      <c r="C52" s="563" t="s">
        <v>2076</v>
      </c>
      <c r="D52" s="563">
        <v>69</v>
      </c>
      <c r="E52" s="566">
        <v>15.5</v>
      </c>
      <c r="F52" s="563" t="s">
        <v>2058</v>
      </c>
    </row>
    <row r="53" spans="1:6">
      <c r="A53" s="394">
        <f t="shared" si="0"/>
        <v>46</v>
      </c>
      <c r="B53" s="563" t="s">
        <v>2076</v>
      </c>
      <c r="C53" s="563" t="s">
        <v>2077</v>
      </c>
      <c r="D53" s="563">
        <v>69</v>
      </c>
      <c r="E53" s="566">
        <v>13.7</v>
      </c>
      <c r="F53" s="563" t="s">
        <v>2078</v>
      </c>
    </row>
    <row r="54" spans="1:6">
      <c r="A54" s="394">
        <f t="shared" si="0"/>
        <v>47</v>
      </c>
      <c r="B54" s="563" t="s">
        <v>2077</v>
      </c>
      <c r="C54" s="563" t="s">
        <v>2008</v>
      </c>
      <c r="D54" s="563">
        <v>69</v>
      </c>
      <c r="E54" s="566">
        <v>7.2</v>
      </c>
      <c r="F54" s="563" t="s">
        <v>2079</v>
      </c>
    </row>
    <row r="55" spans="1:6">
      <c r="A55" s="394">
        <f t="shared" si="0"/>
        <v>48</v>
      </c>
      <c r="B55" s="563" t="s">
        <v>2080</v>
      </c>
      <c r="C55" s="563" t="s">
        <v>2008</v>
      </c>
      <c r="D55" s="563">
        <v>69</v>
      </c>
      <c r="E55" s="566">
        <v>6.6</v>
      </c>
      <c r="F55" s="563" t="s">
        <v>2079</v>
      </c>
    </row>
    <row r="56" spans="1:6">
      <c r="A56" s="394">
        <f t="shared" si="0"/>
        <v>49</v>
      </c>
      <c r="B56" s="563" t="s">
        <v>1739</v>
      </c>
      <c r="C56" s="563" t="s">
        <v>2080</v>
      </c>
      <c r="D56" s="563">
        <v>69</v>
      </c>
      <c r="E56" s="566">
        <v>1.7</v>
      </c>
      <c r="F56" s="563" t="s">
        <v>2079</v>
      </c>
    </row>
    <row r="57" spans="1:6">
      <c r="A57" s="394">
        <f t="shared" si="0"/>
        <v>50</v>
      </c>
      <c r="B57" s="563" t="s">
        <v>1739</v>
      </c>
      <c r="C57" s="563" t="s">
        <v>2081</v>
      </c>
      <c r="D57" s="563">
        <v>69</v>
      </c>
      <c r="E57" s="566">
        <v>21.2</v>
      </c>
      <c r="F57" s="563" t="s">
        <v>2079</v>
      </c>
    </row>
    <row r="58" spans="1:6">
      <c r="A58" s="394">
        <f t="shared" si="0"/>
        <v>51</v>
      </c>
      <c r="B58" s="563" t="s">
        <v>2081</v>
      </c>
      <c r="C58" s="563" t="s">
        <v>2082</v>
      </c>
      <c r="D58" s="563">
        <v>69</v>
      </c>
      <c r="E58" s="566">
        <v>10.6</v>
      </c>
      <c r="F58" s="563" t="s">
        <v>2083</v>
      </c>
    </row>
    <row r="59" spans="1:6">
      <c r="A59" s="394">
        <f t="shared" si="0"/>
        <v>52</v>
      </c>
      <c r="B59" s="563" t="s">
        <v>2084</v>
      </c>
      <c r="C59" s="563" t="s">
        <v>2082</v>
      </c>
      <c r="D59" s="563">
        <v>69</v>
      </c>
      <c r="E59" s="566">
        <v>3.3</v>
      </c>
      <c r="F59" s="563" t="s">
        <v>2085</v>
      </c>
    </row>
    <row r="60" spans="1:6">
      <c r="A60" s="394">
        <f t="shared" si="0"/>
        <v>53</v>
      </c>
      <c r="B60" s="563" t="s">
        <v>2084</v>
      </c>
      <c r="C60" s="563" t="s">
        <v>2086</v>
      </c>
      <c r="D60" s="563">
        <v>69</v>
      </c>
      <c r="E60" s="566">
        <v>9.1</v>
      </c>
      <c r="F60" s="563" t="s">
        <v>2085</v>
      </c>
    </row>
    <row r="61" spans="1:6">
      <c r="A61" s="394">
        <f t="shared" si="0"/>
        <v>54</v>
      </c>
      <c r="B61" s="563" t="s">
        <v>2086</v>
      </c>
      <c r="C61" s="563" t="s">
        <v>2012</v>
      </c>
      <c r="D61" s="563">
        <v>69</v>
      </c>
      <c r="E61" s="566">
        <v>16.8</v>
      </c>
      <c r="F61" s="563" t="s">
        <v>2087</v>
      </c>
    </row>
    <row r="62" spans="1:6">
      <c r="A62" s="394">
        <f t="shared" si="0"/>
        <v>55</v>
      </c>
      <c r="B62" s="563" t="s">
        <v>1935</v>
      </c>
      <c r="C62" s="563" t="s">
        <v>2012</v>
      </c>
      <c r="D62" s="563">
        <v>69</v>
      </c>
      <c r="E62" s="566">
        <v>13.5</v>
      </c>
      <c r="F62" s="563" t="s">
        <v>2088</v>
      </c>
    </row>
    <row r="63" spans="1:6">
      <c r="A63" s="394">
        <f t="shared" si="0"/>
        <v>56</v>
      </c>
      <c r="B63" s="563" t="s">
        <v>2089</v>
      </c>
      <c r="C63" s="563" t="s">
        <v>1935</v>
      </c>
      <c r="D63" s="563">
        <v>69</v>
      </c>
      <c r="E63" s="566">
        <v>15.1</v>
      </c>
      <c r="F63" s="563" t="s">
        <v>2090</v>
      </c>
    </row>
    <row r="64" spans="1:6">
      <c r="A64" s="394">
        <f t="shared" si="0"/>
        <v>57</v>
      </c>
      <c r="B64" s="563" t="s">
        <v>2089</v>
      </c>
      <c r="C64" s="563" t="s">
        <v>2091</v>
      </c>
      <c r="D64" s="563">
        <v>69</v>
      </c>
      <c r="E64" s="566">
        <v>2</v>
      </c>
      <c r="F64" s="563" t="s">
        <v>2092</v>
      </c>
    </row>
    <row r="65" spans="1:6">
      <c r="A65" s="394">
        <f t="shared" si="0"/>
        <v>58</v>
      </c>
      <c r="B65" s="563" t="s">
        <v>2089</v>
      </c>
      <c r="C65" s="563" t="s">
        <v>1958</v>
      </c>
      <c r="D65" s="563">
        <v>69</v>
      </c>
      <c r="E65" s="566">
        <v>10.1</v>
      </c>
      <c r="F65" s="563" t="s">
        <v>2092</v>
      </c>
    </row>
    <row r="66" spans="1:6">
      <c r="A66" s="394">
        <f t="shared" si="0"/>
        <v>59</v>
      </c>
      <c r="B66" s="563" t="s">
        <v>1814</v>
      </c>
      <c r="C66" s="563" t="s">
        <v>1958</v>
      </c>
      <c r="D66" s="563">
        <v>69</v>
      </c>
      <c r="E66" s="566">
        <v>6</v>
      </c>
      <c r="F66" s="563" t="s">
        <v>2092</v>
      </c>
    </row>
    <row r="67" spans="1:6">
      <c r="A67" s="394">
        <f t="shared" si="0"/>
        <v>60</v>
      </c>
      <c r="B67" s="563" t="s">
        <v>2093</v>
      </c>
      <c r="C67" s="563" t="s">
        <v>1814</v>
      </c>
      <c r="D67" s="563">
        <v>69</v>
      </c>
      <c r="E67" s="566">
        <v>9</v>
      </c>
      <c r="F67" s="563" t="s">
        <v>2094</v>
      </c>
    </row>
    <row r="68" spans="1:6">
      <c r="A68" s="394">
        <f t="shared" si="0"/>
        <v>61</v>
      </c>
      <c r="B68" s="563" t="s">
        <v>2093</v>
      </c>
      <c r="C68" s="563" t="s">
        <v>1783</v>
      </c>
      <c r="D68" s="563">
        <v>69</v>
      </c>
      <c r="E68" s="566">
        <v>17</v>
      </c>
      <c r="F68" s="563" t="s">
        <v>2038</v>
      </c>
    </row>
    <row r="69" spans="1:6">
      <c r="A69" s="394">
        <f t="shared" si="0"/>
        <v>62</v>
      </c>
      <c r="B69" s="563" t="s">
        <v>1786</v>
      </c>
      <c r="C69" s="563" t="s">
        <v>1958</v>
      </c>
      <c r="D69" s="563">
        <v>69</v>
      </c>
      <c r="E69" s="566">
        <v>12</v>
      </c>
      <c r="F69" s="563" t="s">
        <v>2092</v>
      </c>
    </row>
    <row r="70" spans="1:6">
      <c r="A70" s="394">
        <f t="shared" si="0"/>
        <v>63</v>
      </c>
      <c r="B70" s="563" t="s">
        <v>2095</v>
      </c>
      <c r="C70" s="563" t="s">
        <v>1786</v>
      </c>
      <c r="D70" s="563">
        <v>69</v>
      </c>
      <c r="E70" s="566">
        <v>1.6</v>
      </c>
      <c r="F70" s="563" t="s">
        <v>2092</v>
      </c>
    </row>
    <row r="71" spans="1:6">
      <c r="A71" s="394">
        <f t="shared" si="0"/>
        <v>64</v>
      </c>
      <c r="B71" s="563" t="s">
        <v>1786</v>
      </c>
      <c r="C71" s="563" t="s">
        <v>2096</v>
      </c>
      <c r="D71" s="563">
        <v>69</v>
      </c>
      <c r="E71" s="566">
        <v>9.8000000000000007</v>
      </c>
      <c r="F71" s="563" t="s">
        <v>2092</v>
      </c>
    </row>
    <row r="72" spans="1:6">
      <c r="A72" s="394">
        <f t="shared" si="0"/>
        <v>65</v>
      </c>
      <c r="B72" s="563" t="s">
        <v>2097</v>
      </c>
      <c r="C72" s="563" t="s">
        <v>2096</v>
      </c>
      <c r="D72" s="563">
        <v>69</v>
      </c>
      <c r="E72" s="566">
        <v>23.5</v>
      </c>
      <c r="F72" s="563" t="s">
        <v>2098</v>
      </c>
    </row>
    <row r="73" spans="1:6">
      <c r="A73" s="394">
        <f t="shared" si="0"/>
        <v>66</v>
      </c>
      <c r="B73" s="563" t="s">
        <v>2097</v>
      </c>
      <c r="C73" s="563" t="s">
        <v>2004</v>
      </c>
      <c r="D73" s="563">
        <v>69</v>
      </c>
      <c r="E73" s="566">
        <v>14.9</v>
      </c>
      <c r="F73" s="563" t="s">
        <v>2099</v>
      </c>
    </row>
    <row r="74" spans="1:6">
      <c r="A74" s="394">
        <f t="shared" ref="A74:A137" si="1">A73+1</f>
        <v>67</v>
      </c>
      <c r="B74" s="563" t="s">
        <v>2100</v>
      </c>
      <c r="C74" s="563" t="s">
        <v>1964</v>
      </c>
      <c r="D74" s="563">
        <v>69</v>
      </c>
      <c r="E74" s="566">
        <v>12</v>
      </c>
      <c r="F74" s="563" t="s">
        <v>2061</v>
      </c>
    </row>
    <row r="75" spans="1:6">
      <c r="A75" s="394">
        <f t="shared" si="1"/>
        <v>68</v>
      </c>
      <c r="B75" s="563" t="s">
        <v>2100</v>
      </c>
      <c r="C75" s="563" t="s">
        <v>1733</v>
      </c>
      <c r="D75" s="563">
        <v>69</v>
      </c>
      <c r="E75" s="566">
        <v>0.5</v>
      </c>
      <c r="F75" s="563" t="s">
        <v>2061</v>
      </c>
    </row>
    <row r="76" spans="1:6">
      <c r="A76" s="394">
        <f t="shared" si="1"/>
        <v>69</v>
      </c>
      <c r="B76" s="563" t="s">
        <v>1733</v>
      </c>
      <c r="C76" s="563" t="s">
        <v>2101</v>
      </c>
      <c r="D76" s="563">
        <v>69</v>
      </c>
      <c r="E76" s="566">
        <v>2.5</v>
      </c>
      <c r="F76" s="563" t="s">
        <v>2061</v>
      </c>
    </row>
    <row r="77" spans="1:6">
      <c r="A77" s="394">
        <f t="shared" si="1"/>
        <v>70</v>
      </c>
      <c r="B77" s="563" t="s">
        <v>2101</v>
      </c>
      <c r="C77" s="563" t="s">
        <v>1971</v>
      </c>
      <c r="D77" s="563">
        <v>69</v>
      </c>
      <c r="E77" s="566">
        <v>15</v>
      </c>
      <c r="F77" s="563" t="s">
        <v>2102</v>
      </c>
    </row>
    <row r="78" spans="1:6">
      <c r="A78" s="394">
        <f t="shared" si="1"/>
        <v>71</v>
      </c>
      <c r="B78" s="563" t="s">
        <v>1971</v>
      </c>
      <c r="C78" s="563" t="s">
        <v>1990</v>
      </c>
      <c r="D78" s="563">
        <v>69</v>
      </c>
      <c r="E78" s="566">
        <v>9.6</v>
      </c>
      <c r="F78" s="563" t="s">
        <v>2103</v>
      </c>
    </row>
    <row r="79" spans="1:6">
      <c r="A79" s="394">
        <f t="shared" si="1"/>
        <v>72</v>
      </c>
      <c r="B79" s="563" t="s">
        <v>1848</v>
      </c>
      <c r="C79" s="563" t="s">
        <v>1990</v>
      </c>
      <c r="D79" s="563">
        <v>69</v>
      </c>
      <c r="E79" s="566">
        <v>7.6</v>
      </c>
      <c r="F79" s="563" t="s">
        <v>2104</v>
      </c>
    </row>
    <row r="80" spans="1:6">
      <c r="A80" s="394">
        <f t="shared" si="1"/>
        <v>73</v>
      </c>
      <c r="B80" s="563" t="s">
        <v>1848</v>
      </c>
      <c r="C80" s="563" t="s">
        <v>1882</v>
      </c>
      <c r="D80" s="563">
        <v>69</v>
      </c>
      <c r="E80" s="566">
        <v>5.0999999999999996</v>
      </c>
      <c r="F80" s="563" t="s">
        <v>2104</v>
      </c>
    </row>
    <row r="81" spans="1:6">
      <c r="A81" s="394">
        <f t="shared" si="1"/>
        <v>74</v>
      </c>
      <c r="B81" s="563" t="s">
        <v>2105</v>
      </c>
      <c r="C81" s="563" t="s">
        <v>1882</v>
      </c>
      <c r="D81" s="563">
        <v>69</v>
      </c>
      <c r="E81" s="566">
        <v>18.3</v>
      </c>
      <c r="F81" s="563" t="s">
        <v>2106</v>
      </c>
    </row>
    <row r="82" spans="1:6">
      <c r="A82" s="394">
        <f t="shared" si="1"/>
        <v>75</v>
      </c>
      <c r="B82" s="563" t="s">
        <v>1822</v>
      </c>
      <c r="C82" s="563" t="s">
        <v>2105</v>
      </c>
      <c r="D82" s="563">
        <v>69</v>
      </c>
      <c r="E82" s="566">
        <v>8.3000000000000007</v>
      </c>
      <c r="F82" s="563" t="s">
        <v>2107</v>
      </c>
    </row>
    <row r="83" spans="1:6">
      <c r="A83" s="394">
        <f t="shared" si="1"/>
        <v>76</v>
      </c>
      <c r="B83" s="563" t="s">
        <v>1803</v>
      </c>
      <c r="C83" s="563" t="s">
        <v>1822</v>
      </c>
      <c r="D83" s="563">
        <v>69</v>
      </c>
      <c r="E83" s="566">
        <v>4.5</v>
      </c>
      <c r="F83" s="563" t="s">
        <v>2108</v>
      </c>
    </row>
    <row r="84" spans="1:6">
      <c r="A84" s="394">
        <f t="shared" si="1"/>
        <v>77</v>
      </c>
      <c r="B84" s="563" t="s">
        <v>1803</v>
      </c>
      <c r="C84" s="563" t="s">
        <v>2109</v>
      </c>
      <c r="D84" s="563">
        <v>69</v>
      </c>
      <c r="E84" s="566">
        <v>23.3</v>
      </c>
      <c r="F84" s="563" t="s">
        <v>2110</v>
      </c>
    </row>
    <row r="85" spans="1:6">
      <c r="A85" s="394">
        <f t="shared" si="1"/>
        <v>78</v>
      </c>
      <c r="B85" s="563" t="s">
        <v>2109</v>
      </c>
      <c r="C85" s="563" t="s">
        <v>2001</v>
      </c>
      <c r="D85" s="563">
        <v>69</v>
      </c>
      <c r="E85" s="566">
        <v>12.2</v>
      </c>
      <c r="F85" s="563" t="s">
        <v>2110</v>
      </c>
    </row>
    <row r="86" spans="1:6">
      <c r="A86" s="394">
        <f t="shared" si="1"/>
        <v>79</v>
      </c>
      <c r="B86" s="563" t="s">
        <v>1964</v>
      </c>
      <c r="C86" s="563" t="s">
        <v>2001</v>
      </c>
      <c r="D86" s="563">
        <v>69</v>
      </c>
      <c r="E86" s="566">
        <v>34.1</v>
      </c>
      <c r="F86" s="563" t="s">
        <v>2111</v>
      </c>
    </row>
    <row r="87" spans="1:6">
      <c r="A87" s="394">
        <f t="shared" si="1"/>
        <v>80</v>
      </c>
      <c r="B87" s="563" t="s">
        <v>1861</v>
      </c>
      <c r="C87" s="563" t="s">
        <v>1882</v>
      </c>
      <c r="D87" s="563">
        <v>69</v>
      </c>
      <c r="E87" s="566">
        <v>18</v>
      </c>
      <c r="F87" s="563" t="s">
        <v>2112</v>
      </c>
    </row>
    <row r="88" spans="1:6">
      <c r="A88" s="394">
        <f t="shared" si="1"/>
        <v>81</v>
      </c>
      <c r="B88" s="563" t="s">
        <v>2113</v>
      </c>
      <c r="C88" s="563" t="s">
        <v>1861</v>
      </c>
      <c r="D88" s="563">
        <v>69</v>
      </c>
      <c r="E88" s="566">
        <v>14.9</v>
      </c>
      <c r="F88" s="563" t="s">
        <v>2114</v>
      </c>
    </row>
    <row r="89" spans="1:6">
      <c r="A89" s="394">
        <f t="shared" si="1"/>
        <v>82</v>
      </c>
      <c r="B89" s="563" t="s">
        <v>2113</v>
      </c>
      <c r="C89" s="563" t="s">
        <v>1834</v>
      </c>
      <c r="D89" s="563">
        <v>69</v>
      </c>
      <c r="E89" s="566">
        <v>3.8</v>
      </c>
      <c r="F89" s="563" t="s">
        <v>2114</v>
      </c>
    </row>
    <row r="90" spans="1:6">
      <c r="A90" s="394">
        <f t="shared" si="1"/>
        <v>83</v>
      </c>
      <c r="B90" s="563" t="s">
        <v>2115</v>
      </c>
      <c r="C90" s="563" t="s">
        <v>1834</v>
      </c>
      <c r="D90" s="563">
        <v>69</v>
      </c>
      <c r="E90" s="566">
        <v>1.1000000000000001</v>
      </c>
      <c r="F90" s="563" t="s">
        <v>2114</v>
      </c>
    </row>
    <row r="91" spans="1:6">
      <c r="A91" s="394">
        <f t="shared" si="1"/>
        <v>84</v>
      </c>
      <c r="B91" s="563" t="s">
        <v>2115</v>
      </c>
      <c r="C91" s="563" t="s">
        <v>2116</v>
      </c>
      <c r="D91" s="563">
        <v>69</v>
      </c>
      <c r="E91" s="566">
        <v>4.9000000000000004</v>
      </c>
      <c r="F91" s="563" t="s">
        <v>2114</v>
      </c>
    </row>
    <row r="92" spans="1:6">
      <c r="A92" s="394">
        <f t="shared" si="1"/>
        <v>85</v>
      </c>
      <c r="B92" s="563" t="s">
        <v>2117</v>
      </c>
      <c r="C92" s="563" t="s">
        <v>2116</v>
      </c>
      <c r="D92" s="563">
        <v>69</v>
      </c>
      <c r="E92" s="566">
        <v>13.5</v>
      </c>
      <c r="F92" s="563" t="s">
        <v>2118</v>
      </c>
    </row>
    <row r="93" spans="1:6">
      <c r="A93" s="394">
        <f t="shared" si="1"/>
        <v>86</v>
      </c>
      <c r="B93" s="563" t="s">
        <v>2117</v>
      </c>
      <c r="C93" s="563" t="s">
        <v>2119</v>
      </c>
      <c r="D93" s="563">
        <v>69</v>
      </c>
      <c r="E93" s="566">
        <v>18.3</v>
      </c>
      <c r="F93" s="563" t="s">
        <v>2120</v>
      </c>
    </row>
    <row r="94" spans="1:6">
      <c r="A94" s="394">
        <f t="shared" si="1"/>
        <v>87</v>
      </c>
      <c r="B94" s="563" t="s">
        <v>2117</v>
      </c>
      <c r="C94" s="563" t="s">
        <v>2121</v>
      </c>
      <c r="D94" s="563">
        <v>69</v>
      </c>
      <c r="E94" s="566">
        <v>7.8</v>
      </c>
      <c r="F94" s="563" t="s">
        <v>2122</v>
      </c>
    </row>
    <row r="95" spans="1:6">
      <c r="A95" s="394">
        <f t="shared" si="1"/>
        <v>88</v>
      </c>
      <c r="B95" s="563" t="s">
        <v>1961</v>
      </c>
      <c r="C95" s="563" t="s">
        <v>2123</v>
      </c>
      <c r="D95" s="563">
        <v>69</v>
      </c>
      <c r="E95" s="566">
        <v>15.2</v>
      </c>
      <c r="F95" s="563" t="s">
        <v>2124</v>
      </c>
    </row>
    <row r="96" spans="1:6">
      <c r="A96" s="394">
        <f t="shared" si="1"/>
        <v>89</v>
      </c>
      <c r="B96" s="563" t="s">
        <v>1915</v>
      </c>
      <c r="C96" s="563" t="s">
        <v>1961</v>
      </c>
      <c r="D96" s="563">
        <v>69</v>
      </c>
      <c r="E96" s="566">
        <v>9.1999999999999993</v>
      </c>
      <c r="F96" s="563" t="s">
        <v>2125</v>
      </c>
    </row>
    <row r="97" spans="1:6">
      <c r="A97" s="394">
        <f t="shared" si="1"/>
        <v>90</v>
      </c>
      <c r="B97" s="563" t="s">
        <v>1843</v>
      </c>
      <c r="C97" s="563" t="s">
        <v>1915</v>
      </c>
      <c r="D97" s="563">
        <v>69</v>
      </c>
      <c r="E97" s="566">
        <v>7</v>
      </c>
      <c r="F97" s="563" t="s">
        <v>2126</v>
      </c>
    </row>
    <row r="98" spans="1:6">
      <c r="A98" s="394">
        <f t="shared" si="1"/>
        <v>91</v>
      </c>
      <c r="B98" s="563" t="s">
        <v>1843</v>
      </c>
      <c r="C98" s="563" t="s">
        <v>1918</v>
      </c>
      <c r="D98" s="563">
        <v>69</v>
      </c>
      <c r="E98" s="566">
        <v>3.8</v>
      </c>
      <c r="F98" s="563" t="s">
        <v>2127</v>
      </c>
    </row>
    <row r="99" spans="1:6">
      <c r="A99" s="394">
        <f t="shared" si="1"/>
        <v>92</v>
      </c>
      <c r="B99" s="563" t="s">
        <v>2128</v>
      </c>
      <c r="C99" s="563" t="s">
        <v>1918</v>
      </c>
      <c r="D99" s="563">
        <v>69</v>
      </c>
      <c r="E99" s="566">
        <v>3.3</v>
      </c>
      <c r="F99" s="563" t="s">
        <v>2129</v>
      </c>
    </row>
    <row r="100" spans="1:6">
      <c r="A100" s="394">
        <f t="shared" si="1"/>
        <v>93</v>
      </c>
      <c r="B100" s="563" t="s">
        <v>1739</v>
      </c>
      <c r="C100" s="563" t="s">
        <v>2128</v>
      </c>
      <c r="D100" s="563">
        <v>69</v>
      </c>
      <c r="E100" s="566">
        <v>12.8</v>
      </c>
      <c r="F100" s="563" t="s">
        <v>2079</v>
      </c>
    </row>
    <row r="101" spans="1:6">
      <c r="A101" s="394">
        <f t="shared" si="1"/>
        <v>94</v>
      </c>
      <c r="B101" s="563" t="s">
        <v>1817</v>
      </c>
      <c r="C101" s="563" t="s">
        <v>2082</v>
      </c>
      <c r="D101" s="563">
        <v>69</v>
      </c>
      <c r="E101" s="566">
        <v>6.5</v>
      </c>
      <c r="F101" s="563" t="s">
        <v>2085</v>
      </c>
    </row>
    <row r="102" spans="1:6">
      <c r="A102" s="394">
        <f t="shared" si="1"/>
        <v>95</v>
      </c>
      <c r="B102" s="563" t="s">
        <v>2130</v>
      </c>
      <c r="C102" s="563" t="s">
        <v>1817</v>
      </c>
      <c r="D102" s="563">
        <v>69</v>
      </c>
      <c r="E102" s="566">
        <v>21.3</v>
      </c>
      <c r="F102" s="563" t="s">
        <v>2085</v>
      </c>
    </row>
    <row r="103" spans="1:6">
      <c r="A103" s="394">
        <f t="shared" si="1"/>
        <v>96</v>
      </c>
      <c r="B103" s="563" t="s">
        <v>2130</v>
      </c>
      <c r="C103" s="563" t="s">
        <v>2131</v>
      </c>
      <c r="D103" s="563">
        <v>69</v>
      </c>
      <c r="E103" s="566">
        <v>2.1</v>
      </c>
      <c r="F103" s="563" t="s">
        <v>2085</v>
      </c>
    </row>
    <row r="104" spans="1:6">
      <c r="A104" s="394">
        <f t="shared" si="1"/>
        <v>97</v>
      </c>
      <c r="B104" s="563" t="s">
        <v>2131</v>
      </c>
      <c r="C104" s="563" t="s">
        <v>1979</v>
      </c>
      <c r="D104" s="563">
        <v>69</v>
      </c>
      <c r="E104" s="566">
        <v>10</v>
      </c>
      <c r="F104" s="563" t="s">
        <v>2132</v>
      </c>
    </row>
    <row r="105" spans="1:6">
      <c r="A105" s="394">
        <f t="shared" si="1"/>
        <v>98</v>
      </c>
      <c r="B105" s="563" t="s">
        <v>2133</v>
      </c>
      <c r="C105" s="563" t="s">
        <v>2121</v>
      </c>
      <c r="D105" s="563">
        <v>69</v>
      </c>
      <c r="E105" s="566">
        <v>6.7</v>
      </c>
      <c r="F105" s="563" t="s">
        <v>2122</v>
      </c>
    </row>
    <row r="106" spans="1:6">
      <c r="A106" s="394">
        <f t="shared" si="1"/>
        <v>99</v>
      </c>
      <c r="B106" s="563" t="s">
        <v>2133</v>
      </c>
      <c r="C106" s="563" t="s">
        <v>2123</v>
      </c>
      <c r="D106" s="563">
        <v>69</v>
      </c>
      <c r="E106" s="566">
        <v>1.1000000000000001</v>
      </c>
      <c r="F106" s="563" t="s">
        <v>2122</v>
      </c>
    </row>
    <row r="107" spans="1:6">
      <c r="A107" s="394">
        <f t="shared" si="1"/>
        <v>100</v>
      </c>
      <c r="B107" s="563" t="s">
        <v>2134</v>
      </c>
      <c r="C107" s="563" t="s">
        <v>2123</v>
      </c>
      <c r="D107" s="563">
        <v>69</v>
      </c>
      <c r="E107" s="566">
        <v>5.2</v>
      </c>
      <c r="F107" s="563" t="s">
        <v>2122</v>
      </c>
    </row>
    <row r="108" spans="1:6">
      <c r="A108" s="394">
        <f t="shared" si="1"/>
        <v>101</v>
      </c>
      <c r="B108" s="563" t="s">
        <v>2134</v>
      </c>
      <c r="C108" s="563" t="s">
        <v>1961</v>
      </c>
      <c r="D108" s="563">
        <v>69</v>
      </c>
      <c r="E108" s="566">
        <v>10.1</v>
      </c>
      <c r="F108" s="563" t="s">
        <v>2135</v>
      </c>
    </row>
    <row r="109" spans="1:6">
      <c r="A109" s="394">
        <f t="shared" si="1"/>
        <v>102</v>
      </c>
      <c r="B109" s="563" t="s">
        <v>2136</v>
      </c>
      <c r="C109" s="563" t="s">
        <v>1961</v>
      </c>
      <c r="D109" s="563">
        <v>69</v>
      </c>
      <c r="E109" s="566">
        <v>6.9</v>
      </c>
      <c r="F109" s="563" t="s">
        <v>2125</v>
      </c>
    </row>
    <row r="110" spans="1:6">
      <c r="A110" s="394">
        <f t="shared" si="1"/>
        <v>103</v>
      </c>
      <c r="B110" s="563" t="s">
        <v>2136</v>
      </c>
      <c r="C110" s="563" t="s">
        <v>1905</v>
      </c>
      <c r="D110" s="563">
        <v>69</v>
      </c>
      <c r="E110" s="566">
        <v>11</v>
      </c>
      <c r="F110" s="563" t="s">
        <v>2137</v>
      </c>
    </row>
    <row r="111" spans="1:6">
      <c r="A111" s="394">
        <f t="shared" si="1"/>
        <v>104</v>
      </c>
      <c r="B111" s="563" t="s">
        <v>1905</v>
      </c>
      <c r="C111" s="563" t="s">
        <v>2138</v>
      </c>
      <c r="D111" s="563">
        <v>69</v>
      </c>
      <c r="E111" s="566">
        <v>4.9000000000000004</v>
      </c>
      <c r="F111" s="563" t="s">
        <v>2139</v>
      </c>
    </row>
    <row r="112" spans="1:6">
      <c r="A112" s="394">
        <f t="shared" si="1"/>
        <v>105</v>
      </c>
      <c r="B112" s="563" t="s">
        <v>1828</v>
      </c>
      <c r="C112" s="563" t="s">
        <v>2138</v>
      </c>
      <c r="D112" s="563">
        <v>69</v>
      </c>
      <c r="E112" s="566">
        <v>6.2</v>
      </c>
      <c r="F112" s="563" t="s">
        <v>2139</v>
      </c>
    </row>
    <row r="113" spans="1:6">
      <c r="A113" s="394">
        <f t="shared" si="1"/>
        <v>106</v>
      </c>
      <c r="B113" s="563" t="s">
        <v>1764</v>
      </c>
      <c r="C113" s="563" t="s">
        <v>1828</v>
      </c>
      <c r="D113" s="563">
        <v>69</v>
      </c>
      <c r="E113" s="566">
        <v>6</v>
      </c>
      <c r="F113" s="563" t="s">
        <v>2139</v>
      </c>
    </row>
    <row r="114" spans="1:6">
      <c r="A114" s="394">
        <f t="shared" si="1"/>
        <v>107</v>
      </c>
      <c r="B114" s="563" t="s">
        <v>2140</v>
      </c>
      <c r="C114" s="563" t="s">
        <v>1764</v>
      </c>
      <c r="D114" s="563">
        <v>69</v>
      </c>
      <c r="E114" s="566">
        <v>11</v>
      </c>
      <c r="F114" s="563" t="s">
        <v>2139</v>
      </c>
    </row>
    <row r="115" spans="1:6">
      <c r="A115" s="394">
        <f t="shared" si="1"/>
        <v>108</v>
      </c>
      <c r="B115" s="563" t="s">
        <v>1764</v>
      </c>
      <c r="C115" s="563" t="s">
        <v>2141</v>
      </c>
      <c r="D115" s="563">
        <v>69</v>
      </c>
      <c r="E115" s="566">
        <v>4.3</v>
      </c>
      <c r="F115" s="563" t="s">
        <v>2139</v>
      </c>
    </row>
    <row r="116" spans="1:6">
      <c r="A116" s="394">
        <f t="shared" si="1"/>
        <v>109</v>
      </c>
      <c r="B116" s="563" t="s">
        <v>1828</v>
      </c>
      <c r="C116" s="563" t="s">
        <v>1942</v>
      </c>
      <c r="D116" s="563">
        <v>69</v>
      </c>
      <c r="E116" s="566">
        <v>10.8</v>
      </c>
      <c r="F116" s="563" t="s">
        <v>2139</v>
      </c>
    </row>
    <row r="117" spans="1:6">
      <c r="A117" s="394">
        <f t="shared" si="1"/>
        <v>110</v>
      </c>
      <c r="B117" s="563" t="s">
        <v>1751</v>
      </c>
      <c r="C117" s="563" t="s">
        <v>2141</v>
      </c>
      <c r="D117" s="563">
        <v>69</v>
      </c>
      <c r="E117" s="566">
        <v>10.8</v>
      </c>
      <c r="F117" s="563" t="s">
        <v>2142</v>
      </c>
    </row>
    <row r="118" spans="1:6">
      <c r="A118" s="394">
        <f t="shared" si="1"/>
        <v>111</v>
      </c>
      <c r="B118" s="563" t="s">
        <v>2143</v>
      </c>
      <c r="C118" s="563" t="s">
        <v>1942</v>
      </c>
      <c r="D118" s="563">
        <v>69</v>
      </c>
      <c r="E118" s="566">
        <v>14.3</v>
      </c>
      <c r="F118" s="563" t="s">
        <v>2144</v>
      </c>
    </row>
    <row r="119" spans="1:6">
      <c r="A119" s="394">
        <f t="shared" si="1"/>
        <v>112</v>
      </c>
      <c r="B119" s="563" t="s">
        <v>1751</v>
      </c>
      <c r="C119" s="563" t="s">
        <v>2145</v>
      </c>
      <c r="D119" s="563">
        <v>69</v>
      </c>
      <c r="E119" s="566">
        <v>5.3</v>
      </c>
      <c r="F119" s="563" t="s">
        <v>2122</v>
      </c>
    </row>
    <row r="120" spans="1:6">
      <c r="A120" s="394">
        <f t="shared" si="1"/>
        <v>113</v>
      </c>
      <c r="B120" s="563" t="s">
        <v>1867</v>
      </c>
      <c r="C120" s="563" t="s">
        <v>2145</v>
      </c>
      <c r="D120" s="563">
        <v>69</v>
      </c>
      <c r="E120" s="566">
        <v>3</v>
      </c>
      <c r="F120" s="563" t="s">
        <v>2122</v>
      </c>
    </row>
    <row r="121" spans="1:6">
      <c r="A121" s="394">
        <f t="shared" si="1"/>
        <v>114</v>
      </c>
      <c r="B121" s="563" t="s">
        <v>2121</v>
      </c>
      <c r="C121" s="563" t="s">
        <v>1867</v>
      </c>
      <c r="D121" s="563">
        <v>69</v>
      </c>
      <c r="E121" s="566">
        <v>11</v>
      </c>
      <c r="F121" s="563" t="s">
        <v>2122</v>
      </c>
    </row>
    <row r="122" spans="1:6">
      <c r="A122" s="394">
        <f t="shared" si="1"/>
        <v>115</v>
      </c>
      <c r="B122" s="563" t="s">
        <v>1854</v>
      </c>
      <c r="C122" s="563" t="s">
        <v>2146</v>
      </c>
      <c r="D122" s="563">
        <v>138</v>
      </c>
      <c r="E122" s="566">
        <v>13</v>
      </c>
      <c r="F122" s="563" t="s">
        <v>2039</v>
      </c>
    </row>
    <row r="123" spans="1:6">
      <c r="A123" s="394">
        <f t="shared" si="1"/>
        <v>116</v>
      </c>
      <c r="B123" s="563" t="s">
        <v>2146</v>
      </c>
      <c r="C123" s="563" t="s">
        <v>1924</v>
      </c>
      <c r="D123" s="563">
        <v>138</v>
      </c>
      <c r="E123" s="566">
        <v>12.7</v>
      </c>
      <c r="F123" s="563" t="s">
        <v>2039</v>
      </c>
    </row>
    <row r="124" spans="1:6">
      <c r="A124" s="394">
        <f t="shared" si="1"/>
        <v>117</v>
      </c>
      <c r="B124" s="563" t="s">
        <v>2147</v>
      </c>
      <c r="C124" s="563" t="s">
        <v>1932</v>
      </c>
      <c r="D124" s="563">
        <v>138</v>
      </c>
      <c r="E124" s="566">
        <v>3.5</v>
      </c>
      <c r="F124" s="563" t="s">
        <v>2035</v>
      </c>
    </row>
    <row r="125" spans="1:6">
      <c r="A125" s="394">
        <f t="shared" si="1"/>
        <v>118</v>
      </c>
      <c r="B125" s="563" t="s">
        <v>1932</v>
      </c>
      <c r="C125" s="563" t="s">
        <v>2148</v>
      </c>
      <c r="D125" s="563">
        <v>138</v>
      </c>
      <c r="E125" s="566">
        <v>7.4</v>
      </c>
      <c r="F125" s="563" t="s">
        <v>2035</v>
      </c>
    </row>
    <row r="126" spans="1:6">
      <c r="A126" s="394">
        <f t="shared" si="1"/>
        <v>119</v>
      </c>
      <c r="B126" s="563" t="s">
        <v>2148</v>
      </c>
      <c r="C126" s="563" t="s">
        <v>1924</v>
      </c>
      <c r="D126" s="563">
        <v>138</v>
      </c>
      <c r="E126" s="566">
        <v>33.799999999999997</v>
      </c>
      <c r="F126" s="563" t="s">
        <v>2149</v>
      </c>
    </row>
    <row r="127" spans="1:6">
      <c r="A127" s="394">
        <f t="shared" si="1"/>
        <v>120</v>
      </c>
      <c r="B127" s="563" t="s">
        <v>1932</v>
      </c>
      <c r="C127" s="563" t="s">
        <v>2150</v>
      </c>
      <c r="D127" s="563">
        <v>138</v>
      </c>
      <c r="E127" s="566">
        <v>13.9</v>
      </c>
      <c r="F127" s="563" t="s">
        <v>2036</v>
      </c>
    </row>
    <row r="128" spans="1:6">
      <c r="A128" s="394">
        <f t="shared" si="1"/>
        <v>121</v>
      </c>
      <c r="B128" s="563" t="s">
        <v>2151</v>
      </c>
      <c r="C128" s="563" t="s">
        <v>2150</v>
      </c>
      <c r="D128" s="563">
        <v>138</v>
      </c>
      <c r="E128" s="566">
        <v>2.1</v>
      </c>
      <c r="F128" s="563" t="s">
        <v>2038</v>
      </c>
    </row>
    <row r="129" spans="1:6">
      <c r="A129" s="394">
        <f t="shared" si="1"/>
        <v>122</v>
      </c>
      <c r="B129" s="563" t="s">
        <v>2151</v>
      </c>
      <c r="C129" s="563" t="s">
        <v>2152</v>
      </c>
      <c r="D129" s="563">
        <v>138</v>
      </c>
      <c r="E129" s="566">
        <v>11</v>
      </c>
      <c r="F129" s="563" t="s">
        <v>2038</v>
      </c>
    </row>
    <row r="130" spans="1:6">
      <c r="A130" s="394">
        <f t="shared" si="1"/>
        <v>123</v>
      </c>
      <c r="B130" s="563" t="s">
        <v>2152</v>
      </c>
      <c r="C130" s="563" t="s">
        <v>2153</v>
      </c>
      <c r="D130" s="563">
        <v>138</v>
      </c>
      <c r="E130" s="566">
        <v>13</v>
      </c>
      <c r="F130" s="563" t="s">
        <v>2154</v>
      </c>
    </row>
    <row r="131" spans="1:6">
      <c r="A131" s="394">
        <f t="shared" si="1"/>
        <v>124</v>
      </c>
      <c r="B131" s="563" t="s">
        <v>2153</v>
      </c>
      <c r="C131" s="563" t="s">
        <v>2007</v>
      </c>
      <c r="D131" s="563">
        <v>138</v>
      </c>
      <c r="E131" s="566">
        <v>1.3</v>
      </c>
      <c r="F131" s="563" t="s">
        <v>2099</v>
      </c>
    </row>
    <row r="132" spans="1:6">
      <c r="A132" s="394">
        <f t="shared" si="1"/>
        <v>125</v>
      </c>
      <c r="B132" s="563" t="s">
        <v>2007</v>
      </c>
      <c r="C132" s="563" t="s">
        <v>2155</v>
      </c>
      <c r="D132" s="563">
        <v>138</v>
      </c>
      <c r="E132" s="566">
        <v>16.5</v>
      </c>
      <c r="F132" s="563" t="s">
        <v>2099</v>
      </c>
    </row>
    <row r="133" spans="1:6">
      <c r="A133" s="394">
        <f t="shared" si="1"/>
        <v>126</v>
      </c>
      <c r="B133" s="563" t="s">
        <v>2155</v>
      </c>
      <c r="C133" s="563" t="s">
        <v>2155</v>
      </c>
      <c r="D133" s="563">
        <v>138</v>
      </c>
      <c r="E133" s="566">
        <v>2.1</v>
      </c>
      <c r="F133" s="563" t="s">
        <v>2099</v>
      </c>
    </row>
    <row r="134" spans="1:6">
      <c r="A134" s="394">
        <f t="shared" si="1"/>
        <v>127</v>
      </c>
      <c r="B134" s="563" t="s">
        <v>2156</v>
      </c>
      <c r="C134" s="563" t="s">
        <v>1924</v>
      </c>
      <c r="D134" s="563">
        <v>138</v>
      </c>
      <c r="E134" s="566">
        <v>1.5</v>
      </c>
      <c r="F134" s="563" t="s">
        <v>2039</v>
      </c>
    </row>
    <row r="135" spans="1:6">
      <c r="A135" s="394">
        <f t="shared" si="1"/>
        <v>128</v>
      </c>
      <c r="B135" s="563" t="s">
        <v>2156</v>
      </c>
      <c r="C135" s="563" t="s">
        <v>2157</v>
      </c>
      <c r="D135" s="563">
        <v>138</v>
      </c>
      <c r="E135" s="566">
        <v>34.5</v>
      </c>
      <c r="F135" s="563" t="s">
        <v>2158</v>
      </c>
    </row>
    <row r="136" spans="1:6">
      <c r="A136" s="394">
        <f t="shared" si="1"/>
        <v>129</v>
      </c>
      <c r="B136" s="563" t="s">
        <v>1926</v>
      </c>
      <c r="C136" s="563" t="s">
        <v>2157</v>
      </c>
      <c r="D136" s="563">
        <v>138</v>
      </c>
      <c r="E136" s="566">
        <v>12</v>
      </c>
      <c r="F136" s="563" t="s">
        <v>2049</v>
      </c>
    </row>
    <row r="137" spans="1:6">
      <c r="A137" s="394">
        <f t="shared" si="1"/>
        <v>130</v>
      </c>
      <c r="B137" s="563" t="s">
        <v>1926</v>
      </c>
      <c r="C137" s="563" t="s">
        <v>2159</v>
      </c>
      <c r="D137" s="563">
        <v>138</v>
      </c>
      <c r="E137" s="566">
        <v>4.5999999999999996</v>
      </c>
      <c r="F137" s="563" t="s">
        <v>2050</v>
      </c>
    </row>
    <row r="138" spans="1:6">
      <c r="A138" s="394">
        <f t="shared" ref="A138:A201" si="2">A137+1</f>
        <v>131</v>
      </c>
      <c r="B138" s="563" t="s">
        <v>2160</v>
      </c>
      <c r="C138" s="563" t="s">
        <v>2159</v>
      </c>
      <c r="D138" s="563">
        <v>138</v>
      </c>
      <c r="E138" s="566">
        <v>10.9</v>
      </c>
      <c r="F138" s="563" t="s">
        <v>2161</v>
      </c>
    </row>
    <row r="139" spans="1:6">
      <c r="A139" s="394">
        <f t="shared" si="2"/>
        <v>132</v>
      </c>
      <c r="B139" s="563" t="s">
        <v>2160</v>
      </c>
      <c r="C139" s="563" t="s">
        <v>2162</v>
      </c>
      <c r="D139" s="563">
        <v>138</v>
      </c>
      <c r="E139" s="566">
        <v>22.5</v>
      </c>
      <c r="F139" s="563" t="s">
        <v>2163</v>
      </c>
    </row>
    <row r="140" spans="1:6">
      <c r="A140" s="394">
        <f t="shared" si="2"/>
        <v>133</v>
      </c>
      <c r="B140" s="563" t="s">
        <v>2162</v>
      </c>
      <c r="C140" s="563" t="s">
        <v>2164</v>
      </c>
      <c r="D140" s="563">
        <v>138</v>
      </c>
      <c r="E140" s="566">
        <v>32.5</v>
      </c>
      <c r="F140" s="563" t="s">
        <v>2163</v>
      </c>
    </row>
    <row r="141" spans="1:6">
      <c r="A141" s="394">
        <f t="shared" si="2"/>
        <v>134</v>
      </c>
      <c r="B141" s="563" t="s">
        <v>2165</v>
      </c>
      <c r="C141" s="563" t="s">
        <v>2164</v>
      </c>
      <c r="D141" s="563">
        <v>138</v>
      </c>
      <c r="E141" s="566">
        <v>0</v>
      </c>
      <c r="F141" s="563" t="s">
        <v>2063</v>
      </c>
    </row>
    <row r="142" spans="1:6">
      <c r="A142" s="394">
        <f t="shared" si="2"/>
        <v>135</v>
      </c>
      <c r="B142" s="563" t="s">
        <v>2165</v>
      </c>
      <c r="C142" s="563" t="s">
        <v>1831</v>
      </c>
      <c r="D142" s="563">
        <v>138</v>
      </c>
      <c r="E142" s="566">
        <v>10.7</v>
      </c>
      <c r="F142" s="563" t="s">
        <v>2063</v>
      </c>
    </row>
    <row r="143" spans="1:6">
      <c r="A143" s="394">
        <f t="shared" si="2"/>
        <v>136</v>
      </c>
      <c r="B143" s="563" t="s">
        <v>2166</v>
      </c>
      <c r="C143" s="563" t="s">
        <v>1926</v>
      </c>
      <c r="D143" s="563">
        <v>138</v>
      </c>
      <c r="E143" s="566">
        <v>6.1</v>
      </c>
      <c r="F143" s="563" t="s">
        <v>2050</v>
      </c>
    </row>
    <row r="144" spans="1:6">
      <c r="A144" s="394">
        <f t="shared" si="2"/>
        <v>137</v>
      </c>
      <c r="B144" s="563" t="s">
        <v>2167</v>
      </c>
      <c r="C144" s="563" t="s">
        <v>2011</v>
      </c>
      <c r="D144" s="563">
        <v>138</v>
      </c>
      <c r="E144" s="566">
        <v>6</v>
      </c>
      <c r="F144" s="563" t="s">
        <v>2079</v>
      </c>
    </row>
    <row r="145" spans="1:6">
      <c r="A145" s="394">
        <f t="shared" si="2"/>
        <v>138</v>
      </c>
      <c r="B145" s="563" t="s">
        <v>2166</v>
      </c>
      <c r="C145" s="563" t="s">
        <v>1955</v>
      </c>
      <c r="D145" s="563">
        <v>138</v>
      </c>
      <c r="E145" s="566">
        <v>12</v>
      </c>
      <c r="F145" s="563" t="s">
        <v>2050</v>
      </c>
    </row>
    <row r="146" spans="1:6">
      <c r="A146" s="394">
        <f t="shared" si="2"/>
        <v>139</v>
      </c>
      <c r="B146" s="563" t="s">
        <v>2167</v>
      </c>
      <c r="C146" s="563" t="s">
        <v>2011</v>
      </c>
      <c r="D146" s="563">
        <v>138</v>
      </c>
      <c r="E146" s="566">
        <v>7.2</v>
      </c>
      <c r="F146" s="563" t="s">
        <v>2079</v>
      </c>
    </row>
    <row r="147" spans="1:6">
      <c r="A147" s="394">
        <f t="shared" si="2"/>
        <v>140</v>
      </c>
      <c r="B147" s="563" t="s">
        <v>2168</v>
      </c>
      <c r="C147" s="563" t="s">
        <v>1955</v>
      </c>
      <c r="D147" s="563">
        <v>138</v>
      </c>
      <c r="E147" s="566">
        <v>11</v>
      </c>
      <c r="F147" s="563" t="s">
        <v>2169</v>
      </c>
    </row>
    <row r="148" spans="1:6">
      <c r="A148" s="394">
        <f t="shared" si="2"/>
        <v>141</v>
      </c>
      <c r="B148" s="563" t="s">
        <v>2167</v>
      </c>
      <c r="C148" s="563" t="s">
        <v>1742</v>
      </c>
      <c r="D148" s="563">
        <v>138</v>
      </c>
      <c r="E148" s="566">
        <v>5.3</v>
      </c>
      <c r="F148" s="563" t="s">
        <v>2079</v>
      </c>
    </row>
    <row r="149" spans="1:6">
      <c r="A149" s="394">
        <f t="shared" si="2"/>
        <v>142</v>
      </c>
      <c r="B149" s="563" t="s">
        <v>2170</v>
      </c>
      <c r="C149" s="563" t="s">
        <v>2171</v>
      </c>
      <c r="D149" s="563">
        <v>138</v>
      </c>
      <c r="E149" s="566">
        <v>8.5</v>
      </c>
      <c r="F149" s="563" t="s">
        <v>2050</v>
      </c>
    </row>
    <row r="150" spans="1:6">
      <c r="A150" s="394">
        <f t="shared" si="2"/>
        <v>143</v>
      </c>
      <c r="B150" s="563" t="s">
        <v>2171</v>
      </c>
      <c r="C150" s="563" t="s">
        <v>2172</v>
      </c>
      <c r="D150" s="563">
        <v>138</v>
      </c>
      <c r="E150" s="566">
        <v>13.3</v>
      </c>
      <c r="F150" s="563" t="s">
        <v>2050</v>
      </c>
    </row>
    <row r="151" spans="1:6">
      <c r="A151" s="394">
        <f t="shared" si="2"/>
        <v>144</v>
      </c>
      <c r="B151" s="563" t="s">
        <v>2173</v>
      </c>
      <c r="C151" s="563" t="s">
        <v>2172</v>
      </c>
      <c r="D151" s="563">
        <v>138</v>
      </c>
      <c r="E151" s="566">
        <v>6</v>
      </c>
      <c r="F151" s="563" t="s">
        <v>2050</v>
      </c>
    </row>
    <row r="152" spans="1:6">
      <c r="A152" s="394">
        <f t="shared" si="2"/>
        <v>145</v>
      </c>
      <c r="B152" s="563" t="s">
        <v>2173</v>
      </c>
      <c r="C152" s="563" t="s">
        <v>2174</v>
      </c>
      <c r="D152" s="563">
        <v>138</v>
      </c>
      <c r="E152" s="566">
        <v>13.1</v>
      </c>
      <c r="F152" s="563" t="s">
        <v>2175</v>
      </c>
    </row>
    <row r="153" spans="1:6">
      <c r="A153" s="394">
        <f t="shared" si="2"/>
        <v>146</v>
      </c>
      <c r="B153" s="563" t="s">
        <v>2174</v>
      </c>
      <c r="C153" s="563" t="s">
        <v>2176</v>
      </c>
      <c r="D153" s="563">
        <v>138</v>
      </c>
      <c r="E153" s="566">
        <v>11</v>
      </c>
      <c r="F153" s="563" t="s">
        <v>2079</v>
      </c>
    </row>
    <row r="154" spans="1:6">
      <c r="A154" s="394">
        <f t="shared" si="2"/>
        <v>147</v>
      </c>
      <c r="B154" s="563" t="s">
        <v>1758</v>
      </c>
      <c r="C154" s="563" t="s">
        <v>2176</v>
      </c>
      <c r="D154" s="563">
        <v>138</v>
      </c>
      <c r="E154" s="566">
        <v>6.3</v>
      </c>
      <c r="F154" s="563" t="s">
        <v>2079</v>
      </c>
    </row>
    <row r="155" spans="1:6">
      <c r="A155" s="394">
        <f t="shared" si="2"/>
        <v>148</v>
      </c>
      <c r="B155" s="563" t="s">
        <v>1758</v>
      </c>
      <c r="C155" s="563" t="s">
        <v>2177</v>
      </c>
      <c r="D155" s="563">
        <v>138</v>
      </c>
      <c r="E155" s="566">
        <v>5</v>
      </c>
      <c r="F155" s="563" t="s">
        <v>2079</v>
      </c>
    </row>
    <row r="156" spans="1:6">
      <c r="A156" s="394">
        <f t="shared" si="2"/>
        <v>149</v>
      </c>
      <c r="B156" s="563" t="s">
        <v>2177</v>
      </c>
      <c r="C156" s="563" t="s">
        <v>2011</v>
      </c>
      <c r="D156" s="563">
        <v>138</v>
      </c>
      <c r="E156" s="566">
        <v>7.6</v>
      </c>
      <c r="F156" s="563" t="s">
        <v>2079</v>
      </c>
    </row>
    <row r="157" spans="1:6">
      <c r="A157" s="394">
        <f t="shared" si="2"/>
        <v>150</v>
      </c>
      <c r="B157" s="563" t="s">
        <v>1742</v>
      </c>
      <c r="C157" s="563" t="s">
        <v>1761</v>
      </c>
      <c r="D157" s="563">
        <v>138</v>
      </c>
      <c r="E157" s="566">
        <v>23.9</v>
      </c>
      <c r="F157" s="563" t="s">
        <v>2178</v>
      </c>
    </row>
    <row r="158" spans="1:6">
      <c r="A158" s="394">
        <f t="shared" si="2"/>
        <v>151</v>
      </c>
      <c r="B158" s="563" t="s">
        <v>2179</v>
      </c>
      <c r="C158" s="563" t="s">
        <v>1761</v>
      </c>
      <c r="D158" s="563">
        <v>138</v>
      </c>
      <c r="E158" s="566">
        <v>2.2000000000000002</v>
      </c>
      <c r="F158" s="563" t="s">
        <v>2127</v>
      </c>
    </row>
    <row r="159" spans="1:6">
      <c r="A159" s="394">
        <f t="shared" si="2"/>
        <v>152</v>
      </c>
      <c r="B159" s="563" t="s">
        <v>2180</v>
      </c>
      <c r="C159" s="563" t="s">
        <v>2179</v>
      </c>
      <c r="D159" s="563">
        <v>138</v>
      </c>
      <c r="E159" s="566">
        <v>3.3</v>
      </c>
      <c r="F159" s="563" t="s">
        <v>2127</v>
      </c>
    </row>
    <row r="160" spans="1:6">
      <c r="A160" s="394">
        <f t="shared" si="2"/>
        <v>153</v>
      </c>
      <c r="B160" s="563" t="s">
        <v>2180</v>
      </c>
      <c r="C160" s="563" t="s">
        <v>1773</v>
      </c>
      <c r="D160" s="563">
        <v>138</v>
      </c>
      <c r="E160" s="566">
        <v>16.899999999999999</v>
      </c>
      <c r="F160" s="563" t="s">
        <v>2127</v>
      </c>
    </row>
    <row r="161" spans="1:6">
      <c r="A161" s="394">
        <f t="shared" si="2"/>
        <v>154</v>
      </c>
      <c r="B161" s="563" t="s">
        <v>2181</v>
      </c>
      <c r="C161" s="563" t="s">
        <v>1773</v>
      </c>
      <c r="D161" s="563">
        <v>138</v>
      </c>
      <c r="E161" s="566">
        <v>2.1</v>
      </c>
      <c r="F161" s="563" t="s">
        <v>2127</v>
      </c>
    </row>
    <row r="162" spans="1:6">
      <c r="A162" s="394">
        <f t="shared" si="2"/>
        <v>155</v>
      </c>
      <c r="B162" s="563" t="s">
        <v>1974</v>
      </c>
      <c r="C162" s="563" t="s">
        <v>1773</v>
      </c>
      <c r="D162" s="563">
        <v>138</v>
      </c>
      <c r="E162" s="566">
        <v>18.5</v>
      </c>
      <c r="F162" s="563" t="s">
        <v>2182</v>
      </c>
    </row>
    <row r="163" spans="1:6">
      <c r="A163" s="394">
        <f t="shared" si="2"/>
        <v>156</v>
      </c>
      <c r="B163" s="563" t="s">
        <v>2181</v>
      </c>
      <c r="C163" s="563" t="s">
        <v>2183</v>
      </c>
      <c r="D163" s="563">
        <v>138</v>
      </c>
      <c r="E163" s="566">
        <v>4.5</v>
      </c>
      <c r="F163" s="563" t="s">
        <v>2127</v>
      </c>
    </row>
    <row r="164" spans="1:6">
      <c r="A164" s="394">
        <f t="shared" si="2"/>
        <v>157</v>
      </c>
      <c r="B164" s="563" t="s">
        <v>2183</v>
      </c>
      <c r="C164" s="563" t="s">
        <v>2184</v>
      </c>
      <c r="D164" s="563">
        <v>138</v>
      </c>
      <c r="E164" s="566">
        <v>13.7</v>
      </c>
      <c r="F164" s="563" t="s">
        <v>2185</v>
      </c>
    </row>
    <row r="165" spans="1:6">
      <c r="A165" s="394">
        <f t="shared" si="2"/>
        <v>158</v>
      </c>
      <c r="B165" s="563" t="s">
        <v>1742</v>
      </c>
      <c r="C165" s="563" t="s">
        <v>2186</v>
      </c>
      <c r="D165" s="563">
        <v>138</v>
      </c>
      <c r="E165" s="566">
        <v>16.100000000000001</v>
      </c>
      <c r="F165" s="563" t="s">
        <v>2187</v>
      </c>
    </row>
    <row r="166" spans="1:6">
      <c r="A166" s="394">
        <f t="shared" si="2"/>
        <v>159</v>
      </c>
      <c r="B166" s="563" t="s">
        <v>2186</v>
      </c>
      <c r="C166" s="563" t="s">
        <v>2188</v>
      </c>
      <c r="D166" s="563">
        <v>138</v>
      </c>
      <c r="E166" s="566">
        <v>12</v>
      </c>
      <c r="F166" s="563" t="s">
        <v>2125</v>
      </c>
    </row>
    <row r="167" spans="1:6">
      <c r="A167" s="394">
        <f t="shared" si="2"/>
        <v>160</v>
      </c>
      <c r="B167" s="563" t="s">
        <v>2189</v>
      </c>
      <c r="C167" s="563" t="s">
        <v>2188</v>
      </c>
      <c r="D167" s="563">
        <v>138</v>
      </c>
      <c r="E167" s="566">
        <v>6.9</v>
      </c>
      <c r="F167" s="563" t="s">
        <v>2125</v>
      </c>
    </row>
    <row r="168" spans="1:6">
      <c r="A168" s="394">
        <f t="shared" si="2"/>
        <v>161</v>
      </c>
      <c r="B168" s="563" t="s">
        <v>2189</v>
      </c>
      <c r="C168" s="563" t="s">
        <v>1982</v>
      </c>
      <c r="D168" s="563">
        <v>138</v>
      </c>
      <c r="E168" s="566">
        <v>3.7</v>
      </c>
      <c r="F168" s="563" t="s">
        <v>2190</v>
      </c>
    </row>
    <row r="169" spans="1:6">
      <c r="A169" s="394">
        <f t="shared" si="2"/>
        <v>162</v>
      </c>
      <c r="B169" s="563" t="s">
        <v>2191</v>
      </c>
      <c r="C169" s="563" t="s">
        <v>1982</v>
      </c>
      <c r="D169" s="563">
        <v>138</v>
      </c>
      <c r="E169" s="566">
        <v>9.3000000000000007</v>
      </c>
      <c r="F169" s="563" t="s">
        <v>2192</v>
      </c>
    </row>
    <row r="170" spans="1:6">
      <c r="A170" s="394">
        <f t="shared" si="2"/>
        <v>163</v>
      </c>
      <c r="B170" s="563" t="s">
        <v>2193</v>
      </c>
      <c r="C170" s="563" t="s">
        <v>1742</v>
      </c>
      <c r="D170" s="563">
        <v>138</v>
      </c>
      <c r="E170" s="566">
        <v>1.3</v>
      </c>
      <c r="F170" s="563" t="s">
        <v>2079</v>
      </c>
    </row>
    <row r="171" spans="1:6">
      <c r="A171" s="394">
        <f t="shared" si="2"/>
        <v>164</v>
      </c>
      <c r="B171" s="563" t="s">
        <v>2193</v>
      </c>
      <c r="C171" s="563" t="s">
        <v>1794</v>
      </c>
      <c r="D171" s="563">
        <v>138</v>
      </c>
      <c r="E171" s="566">
        <v>20</v>
      </c>
      <c r="F171" s="563" t="s">
        <v>2187</v>
      </c>
    </row>
    <row r="172" spans="1:6">
      <c r="A172" s="394">
        <f t="shared" si="2"/>
        <v>165</v>
      </c>
      <c r="B172" s="563" t="s">
        <v>1929</v>
      </c>
      <c r="C172" s="563" t="s">
        <v>1794</v>
      </c>
      <c r="D172" s="563">
        <v>138</v>
      </c>
      <c r="E172" s="566">
        <v>10.9</v>
      </c>
      <c r="F172" s="563" t="s">
        <v>2125</v>
      </c>
    </row>
    <row r="173" spans="1:6">
      <c r="A173" s="394">
        <f t="shared" si="2"/>
        <v>166</v>
      </c>
      <c r="B173" s="563" t="s">
        <v>1929</v>
      </c>
      <c r="C173" s="563" t="s">
        <v>1946</v>
      </c>
      <c r="D173" s="563">
        <v>138</v>
      </c>
      <c r="E173" s="566">
        <v>8.1999999999999993</v>
      </c>
      <c r="F173" s="563" t="s">
        <v>2190</v>
      </c>
    </row>
    <row r="174" spans="1:6">
      <c r="A174" s="394">
        <f t="shared" si="2"/>
        <v>167</v>
      </c>
      <c r="B174" s="563" t="s">
        <v>2194</v>
      </c>
      <c r="C174" s="563" t="s">
        <v>1794</v>
      </c>
      <c r="D174" s="563">
        <v>138</v>
      </c>
      <c r="E174" s="566">
        <v>3.8</v>
      </c>
      <c r="F174" s="563" t="s">
        <v>2125</v>
      </c>
    </row>
    <row r="175" spans="1:6">
      <c r="A175" s="394">
        <f t="shared" si="2"/>
        <v>168</v>
      </c>
      <c r="B175" s="563" t="s">
        <v>1946</v>
      </c>
      <c r="C175" s="563" t="s">
        <v>1945</v>
      </c>
      <c r="D175" s="563">
        <v>138</v>
      </c>
      <c r="E175" s="566">
        <v>12.8</v>
      </c>
      <c r="F175" s="563" t="s">
        <v>2195</v>
      </c>
    </row>
    <row r="176" spans="1:6">
      <c r="A176" s="394">
        <f t="shared" si="2"/>
        <v>169</v>
      </c>
      <c r="B176" s="563" t="s">
        <v>1924</v>
      </c>
      <c r="C176" s="563" t="s">
        <v>1986</v>
      </c>
      <c r="D176" s="563">
        <v>138</v>
      </c>
      <c r="E176" s="566">
        <v>31.7</v>
      </c>
      <c r="F176" s="563" t="s">
        <v>2158</v>
      </c>
    </row>
    <row r="177" spans="1:6">
      <c r="A177" s="394">
        <f t="shared" si="2"/>
        <v>170</v>
      </c>
      <c r="B177" s="563" t="s">
        <v>2196</v>
      </c>
      <c r="C177" s="563" t="s">
        <v>1924</v>
      </c>
      <c r="D177" s="563">
        <v>138</v>
      </c>
      <c r="E177" s="566">
        <v>10.1</v>
      </c>
      <c r="F177" s="563" t="s">
        <v>2039</v>
      </c>
    </row>
    <row r="178" spans="1:6">
      <c r="A178" s="394">
        <f t="shared" si="2"/>
        <v>171</v>
      </c>
      <c r="B178" s="563" t="s">
        <v>2196</v>
      </c>
      <c r="C178" s="563" t="s">
        <v>2197</v>
      </c>
      <c r="D178" s="563">
        <v>138</v>
      </c>
      <c r="E178" s="566">
        <v>10.3</v>
      </c>
      <c r="F178" s="563" t="s">
        <v>2198</v>
      </c>
    </row>
    <row r="179" spans="1:6">
      <c r="A179" s="394">
        <f t="shared" si="2"/>
        <v>172</v>
      </c>
      <c r="B179" s="563" t="s">
        <v>2197</v>
      </c>
      <c r="C179" s="563" t="s">
        <v>1938</v>
      </c>
      <c r="D179" s="563">
        <v>138</v>
      </c>
      <c r="E179" s="566">
        <v>33.9</v>
      </c>
      <c r="F179" s="563" t="s">
        <v>2090</v>
      </c>
    </row>
    <row r="180" spans="1:6">
      <c r="A180" s="394">
        <f t="shared" si="2"/>
        <v>173</v>
      </c>
      <c r="B180" s="563" t="s">
        <v>1812</v>
      </c>
      <c r="C180" s="563" t="s">
        <v>1938</v>
      </c>
      <c r="D180" s="563">
        <v>138</v>
      </c>
      <c r="E180" s="566">
        <v>27.1</v>
      </c>
      <c r="F180" s="563" t="s">
        <v>2199</v>
      </c>
    </row>
    <row r="181" spans="1:6">
      <c r="A181" s="394">
        <f t="shared" si="2"/>
        <v>174</v>
      </c>
      <c r="B181" s="563" t="s">
        <v>2200</v>
      </c>
      <c r="C181" s="563" t="s">
        <v>1812</v>
      </c>
      <c r="D181" s="563">
        <v>138</v>
      </c>
      <c r="E181" s="566">
        <v>5.9</v>
      </c>
      <c r="F181" s="563" t="s">
        <v>2201</v>
      </c>
    </row>
    <row r="182" spans="1:6">
      <c r="A182" s="394">
        <f t="shared" si="2"/>
        <v>175</v>
      </c>
      <c r="B182" s="563" t="s">
        <v>2202</v>
      </c>
      <c r="C182" s="563" t="s">
        <v>1812</v>
      </c>
      <c r="D182" s="563">
        <v>138</v>
      </c>
      <c r="E182" s="566">
        <v>11</v>
      </c>
      <c r="F182" s="563" t="s">
        <v>2201</v>
      </c>
    </row>
    <row r="183" spans="1:6">
      <c r="A183" s="394">
        <f t="shared" si="2"/>
        <v>176</v>
      </c>
      <c r="B183" s="563" t="s">
        <v>2202</v>
      </c>
      <c r="C183" s="563" t="s">
        <v>1998</v>
      </c>
      <c r="D183" s="563">
        <v>138</v>
      </c>
      <c r="E183" s="566">
        <v>12.6</v>
      </c>
      <c r="F183" s="563" t="s">
        <v>2203</v>
      </c>
    </row>
    <row r="184" spans="1:6">
      <c r="A184" s="394">
        <f t="shared" si="2"/>
        <v>177</v>
      </c>
      <c r="B184" s="563" t="s">
        <v>2204</v>
      </c>
      <c r="C184" s="563" t="s">
        <v>1998</v>
      </c>
      <c r="D184" s="563">
        <v>138</v>
      </c>
      <c r="E184" s="566">
        <v>7</v>
      </c>
      <c r="F184" s="563" t="s">
        <v>2205</v>
      </c>
    </row>
    <row r="185" spans="1:6">
      <c r="A185" s="394">
        <f t="shared" si="2"/>
        <v>178</v>
      </c>
      <c r="B185" s="563" t="s">
        <v>2206</v>
      </c>
      <c r="C185" s="563" t="s">
        <v>1998</v>
      </c>
      <c r="D185" s="563">
        <v>138</v>
      </c>
      <c r="E185" s="566">
        <v>7.5</v>
      </c>
      <c r="F185" s="563" t="s">
        <v>2205</v>
      </c>
    </row>
    <row r="186" spans="1:6">
      <c r="A186" s="394">
        <f t="shared" si="2"/>
        <v>179</v>
      </c>
      <c r="B186" s="563" t="s">
        <v>2206</v>
      </c>
      <c r="C186" s="563" t="s">
        <v>2207</v>
      </c>
      <c r="D186" s="563">
        <v>138</v>
      </c>
      <c r="E186" s="566">
        <v>11</v>
      </c>
      <c r="F186" s="563" t="s">
        <v>2208</v>
      </c>
    </row>
    <row r="187" spans="1:6">
      <c r="A187" s="394">
        <f t="shared" si="2"/>
        <v>180</v>
      </c>
      <c r="B187" s="563" t="s">
        <v>2209</v>
      </c>
      <c r="C187" s="563" t="s">
        <v>2207</v>
      </c>
      <c r="D187" s="563">
        <v>138</v>
      </c>
      <c r="E187" s="566">
        <v>13.4</v>
      </c>
      <c r="F187" s="563" t="s">
        <v>2201</v>
      </c>
    </row>
    <row r="188" spans="1:6">
      <c r="A188" s="394">
        <f t="shared" si="2"/>
        <v>181</v>
      </c>
      <c r="B188" s="563" t="s">
        <v>2209</v>
      </c>
      <c r="C188" s="563" t="s">
        <v>2210</v>
      </c>
      <c r="D188" s="563">
        <v>138</v>
      </c>
      <c r="E188" s="566">
        <v>6.4</v>
      </c>
      <c r="F188" s="563" t="s">
        <v>2201</v>
      </c>
    </row>
    <row r="189" spans="1:6">
      <c r="A189" s="394">
        <f t="shared" si="2"/>
        <v>182</v>
      </c>
      <c r="B189" s="563" t="s">
        <v>2210</v>
      </c>
      <c r="C189" s="563" t="s">
        <v>1812</v>
      </c>
      <c r="D189" s="563">
        <v>138</v>
      </c>
      <c r="E189" s="566">
        <v>9</v>
      </c>
      <c r="F189" s="563" t="s">
        <v>2201</v>
      </c>
    </row>
    <row r="190" spans="1:6">
      <c r="A190" s="394">
        <f t="shared" si="2"/>
        <v>183</v>
      </c>
      <c r="B190" s="563" t="s">
        <v>1791</v>
      </c>
      <c r="C190" s="563" t="s">
        <v>1908</v>
      </c>
      <c r="D190" s="563">
        <v>138</v>
      </c>
      <c r="E190" s="566">
        <v>13.4</v>
      </c>
      <c r="F190" s="563" t="s">
        <v>2122</v>
      </c>
    </row>
    <row r="191" spans="1:6">
      <c r="A191" s="394">
        <f t="shared" si="2"/>
        <v>184</v>
      </c>
      <c r="B191" s="563" t="s">
        <v>1791</v>
      </c>
      <c r="C191" s="563" t="s">
        <v>2211</v>
      </c>
      <c r="D191" s="563">
        <v>138</v>
      </c>
      <c r="E191" s="566">
        <v>10</v>
      </c>
      <c r="F191" s="563" t="s">
        <v>2122</v>
      </c>
    </row>
    <row r="192" spans="1:6">
      <c r="A192" s="394">
        <f t="shared" si="2"/>
        <v>185</v>
      </c>
      <c r="B192" s="563" t="s">
        <v>2211</v>
      </c>
      <c r="C192" s="563" t="s">
        <v>1840</v>
      </c>
      <c r="D192" s="563">
        <v>138</v>
      </c>
      <c r="E192" s="566">
        <v>25</v>
      </c>
      <c r="F192" s="563" t="s">
        <v>2212</v>
      </c>
    </row>
    <row r="193" spans="1:6">
      <c r="A193" s="394">
        <f t="shared" si="2"/>
        <v>186</v>
      </c>
      <c r="B193" s="563" t="s">
        <v>1840</v>
      </c>
      <c r="C193" s="563" t="s">
        <v>2213</v>
      </c>
      <c r="D193" s="563">
        <v>138</v>
      </c>
      <c r="E193" s="566">
        <v>14.9</v>
      </c>
      <c r="F193" s="563" t="s">
        <v>2129</v>
      </c>
    </row>
    <row r="194" spans="1:6">
      <c r="A194" s="394">
        <f t="shared" si="2"/>
        <v>187</v>
      </c>
      <c r="B194" s="563" t="s">
        <v>1742</v>
      </c>
      <c r="C194" s="563" t="s">
        <v>2213</v>
      </c>
      <c r="D194" s="563">
        <v>138</v>
      </c>
      <c r="E194" s="566">
        <v>3</v>
      </c>
      <c r="F194" s="563" t="s">
        <v>2079</v>
      </c>
    </row>
    <row r="195" spans="1:6">
      <c r="A195" s="394">
        <f t="shared" si="2"/>
        <v>188</v>
      </c>
      <c r="B195" s="563" t="s">
        <v>2214</v>
      </c>
      <c r="C195" s="563" t="s">
        <v>2215</v>
      </c>
      <c r="D195" s="563">
        <v>138</v>
      </c>
      <c r="E195" s="566">
        <v>10.199999999999999</v>
      </c>
      <c r="F195" s="563" t="s">
        <v>2216</v>
      </c>
    </row>
    <row r="196" spans="1:6">
      <c r="A196" s="394">
        <f t="shared" si="2"/>
        <v>189</v>
      </c>
      <c r="B196" s="563" t="s">
        <v>2214</v>
      </c>
      <c r="C196" s="563" t="s">
        <v>1939</v>
      </c>
      <c r="D196" s="563">
        <v>138</v>
      </c>
      <c r="E196" s="566">
        <v>4</v>
      </c>
      <c r="F196" s="563" t="s">
        <v>2216</v>
      </c>
    </row>
    <row r="197" spans="1:6">
      <c r="A197" s="394">
        <f t="shared" si="2"/>
        <v>190</v>
      </c>
      <c r="B197" s="563" t="s">
        <v>2217</v>
      </c>
      <c r="C197" s="563" t="s">
        <v>1939</v>
      </c>
      <c r="D197" s="563">
        <v>138</v>
      </c>
      <c r="E197" s="566">
        <v>2</v>
      </c>
      <c r="F197" s="563" t="s">
        <v>2216</v>
      </c>
    </row>
    <row r="198" spans="1:6">
      <c r="A198" s="394">
        <f t="shared" si="2"/>
        <v>191</v>
      </c>
      <c r="B198" s="563" t="s">
        <v>2218</v>
      </c>
      <c r="C198" s="563" t="s">
        <v>1939</v>
      </c>
      <c r="D198" s="563">
        <v>138</v>
      </c>
      <c r="E198" s="566">
        <v>4.9000000000000004</v>
      </c>
      <c r="F198" s="563" t="s">
        <v>2216</v>
      </c>
    </row>
    <row r="199" spans="1:6">
      <c r="A199" s="394">
        <f t="shared" si="2"/>
        <v>192</v>
      </c>
      <c r="B199" s="563" t="s">
        <v>1779</v>
      </c>
      <c r="C199" s="563" t="s">
        <v>2218</v>
      </c>
      <c r="D199" s="563">
        <v>138</v>
      </c>
      <c r="E199" s="566">
        <v>6</v>
      </c>
      <c r="F199" s="563" t="s">
        <v>2192</v>
      </c>
    </row>
    <row r="200" spans="1:6">
      <c r="A200" s="394">
        <f t="shared" si="2"/>
        <v>193</v>
      </c>
      <c r="B200" s="563" t="s">
        <v>2219</v>
      </c>
      <c r="C200" s="563" t="s">
        <v>1779</v>
      </c>
      <c r="D200" s="563">
        <v>138</v>
      </c>
      <c r="E200" s="566">
        <v>6.1</v>
      </c>
      <c r="F200" s="563" t="s">
        <v>2220</v>
      </c>
    </row>
    <row r="201" spans="1:6">
      <c r="A201" s="394">
        <f t="shared" si="2"/>
        <v>194</v>
      </c>
      <c r="B201" s="563" t="s">
        <v>2219</v>
      </c>
      <c r="C201" s="563" t="s">
        <v>2221</v>
      </c>
      <c r="D201" s="563">
        <v>138</v>
      </c>
      <c r="E201" s="566">
        <v>0</v>
      </c>
      <c r="F201" s="563" t="s">
        <v>2220</v>
      </c>
    </row>
    <row r="202" spans="1:6">
      <c r="A202" s="394">
        <f t="shared" ref="A202:A265" si="3">A201+1</f>
        <v>195</v>
      </c>
      <c r="B202" s="563" t="s">
        <v>1847</v>
      </c>
      <c r="C202" s="563" t="s">
        <v>2221</v>
      </c>
      <c r="D202" s="563">
        <v>138</v>
      </c>
      <c r="E202" s="566">
        <v>5.8</v>
      </c>
      <c r="F202" s="563" t="s">
        <v>2220</v>
      </c>
    </row>
    <row r="203" spans="1:6">
      <c r="A203" s="394">
        <f t="shared" si="3"/>
        <v>196</v>
      </c>
      <c r="B203" s="563" t="s">
        <v>1844</v>
      </c>
      <c r="C203" s="563" t="s">
        <v>1847</v>
      </c>
      <c r="D203" s="563">
        <v>138</v>
      </c>
      <c r="E203" s="566">
        <v>7</v>
      </c>
      <c r="F203" s="563" t="s">
        <v>2220</v>
      </c>
    </row>
    <row r="204" spans="1:6">
      <c r="A204" s="394">
        <f t="shared" si="3"/>
        <v>197</v>
      </c>
      <c r="B204" s="563" t="s">
        <v>1847</v>
      </c>
      <c r="C204" s="563" t="s">
        <v>2222</v>
      </c>
      <c r="D204" s="563">
        <v>138</v>
      </c>
      <c r="E204" s="566">
        <v>9.3000000000000007</v>
      </c>
      <c r="F204" s="563" t="s">
        <v>2220</v>
      </c>
    </row>
    <row r="205" spans="1:6">
      <c r="A205" s="394">
        <f t="shared" si="3"/>
        <v>198</v>
      </c>
      <c r="B205" s="563" t="s">
        <v>2191</v>
      </c>
      <c r="C205" s="563" t="s">
        <v>2222</v>
      </c>
      <c r="D205" s="563">
        <v>138</v>
      </c>
      <c r="E205" s="566">
        <v>0</v>
      </c>
      <c r="F205" s="563" t="s">
        <v>2220</v>
      </c>
    </row>
    <row r="206" spans="1:6">
      <c r="A206" s="394">
        <f t="shared" si="3"/>
        <v>199</v>
      </c>
      <c r="B206" s="563" t="s">
        <v>1844</v>
      </c>
      <c r="C206" s="563" t="s">
        <v>1952</v>
      </c>
      <c r="D206" s="563">
        <v>138</v>
      </c>
      <c r="E206" s="566">
        <v>7.5</v>
      </c>
      <c r="F206" s="563" t="s">
        <v>2223</v>
      </c>
    </row>
    <row r="207" spans="1:6">
      <c r="A207" s="394">
        <f t="shared" si="3"/>
        <v>200</v>
      </c>
      <c r="B207" s="563" t="s">
        <v>2224</v>
      </c>
      <c r="C207" s="563" t="s">
        <v>1952</v>
      </c>
      <c r="D207" s="563">
        <v>138</v>
      </c>
      <c r="E207" s="566">
        <v>6</v>
      </c>
      <c r="F207" s="563" t="s">
        <v>2225</v>
      </c>
    </row>
    <row r="208" spans="1:6">
      <c r="A208" s="394">
        <f t="shared" si="3"/>
        <v>201</v>
      </c>
      <c r="B208" s="563" t="s">
        <v>2226</v>
      </c>
      <c r="C208" s="563" t="s">
        <v>2224</v>
      </c>
      <c r="D208" s="563">
        <v>138</v>
      </c>
      <c r="E208" s="566">
        <v>11.5</v>
      </c>
      <c r="F208" s="563" t="s">
        <v>2225</v>
      </c>
    </row>
    <row r="209" spans="1:6">
      <c r="A209" s="394">
        <f t="shared" si="3"/>
        <v>202</v>
      </c>
      <c r="B209" s="563" t="s">
        <v>2226</v>
      </c>
      <c r="C209" s="563" t="s">
        <v>1891</v>
      </c>
      <c r="D209" s="563">
        <v>138</v>
      </c>
      <c r="E209" s="566">
        <v>0</v>
      </c>
      <c r="F209" s="563" t="s">
        <v>2225</v>
      </c>
    </row>
    <row r="210" spans="1:6">
      <c r="A210" s="394">
        <f t="shared" si="3"/>
        <v>203</v>
      </c>
      <c r="B210" s="563" t="s">
        <v>1891</v>
      </c>
      <c r="C210" s="563" t="s">
        <v>1870</v>
      </c>
      <c r="D210" s="563">
        <v>138</v>
      </c>
      <c r="E210" s="566">
        <v>12</v>
      </c>
      <c r="F210" s="563" t="s">
        <v>2227</v>
      </c>
    </row>
    <row r="211" spans="1:6">
      <c r="A211" s="394">
        <f t="shared" si="3"/>
        <v>204</v>
      </c>
      <c r="B211" s="563" t="s">
        <v>1870</v>
      </c>
      <c r="C211" s="563" t="s">
        <v>2228</v>
      </c>
      <c r="D211" s="563">
        <v>138</v>
      </c>
      <c r="E211" s="566">
        <v>8</v>
      </c>
      <c r="F211" s="563" t="s">
        <v>2229</v>
      </c>
    </row>
    <row r="212" spans="1:6">
      <c r="A212" s="394">
        <f t="shared" si="3"/>
        <v>205</v>
      </c>
      <c r="B212" s="563" t="s">
        <v>2228</v>
      </c>
      <c r="C212" s="563" t="s">
        <v>2015</v>
      </c>
      <c r="D212" s="563">
        <v>138</v>
      </c>
      <c r="E212" s="566">
        <v>8</v>
      </c>
      <c r="F212" s="563" t="s">
        <v>2229</v>
      </c>
    </row>
    <row r="213" spans="1:6">
      <c r="A213" s="394">
        <f t="shared" si="3"/>
        <v>206</v>
      </c>
      <c r="B213" s="563" t="s">
        <v>2230</v>
      </c>
      <c r="C213" s="563" t="s">
        <v>2015</v>
      </c>
      <c r="D213" s="563">
        <v>138</v>
      </c>
      <c r="E213" s="566">
        <v>6</v>
      </c>
      <c r="F213" s="563" t="s">
        <v>2229</v>
      </c>
    </row>
    <row r="214" spans="1:6">
      <c r="A214" s="394">
        <f t="shared" si="3"/>
        <v>207</v>
      </c>
      <c r="B214" s="563" t="s">
        <v>2231</v>
      </c>
      <c r="C214" s="563" t="s">
        <v>2230</v>
      </c>
      <c r="D214" s="563">
        <v>138</v>
      </c>
      <c r="E214" s="566">
        <v>0</v>
      </c>
      <c r="F214" s="563" t="s">
        <v>2229</v>
      </c>
    </row>
    <row r="215" spans="1:6">
      <c r="A215" s="394">
        <f t="shared" si="3"/>
        <v>208</v>
      </c>
      <c r="B215" s="563" t="s">
        <v>2231</v>
      </c>
      <c r="C215" s="563" t="s">
        <v>2232</v>
      </c>
      <c r="D215" s="563">
        <v>138</v>
      </c>
      <c r="E215" s="566">
        <v>1.8</v>
      </c>
      <c r="F215" s="563" t="s">
        <v>2233</v>
      </c>
    </row>
    <row r="216" spans="1:6">
      <c r="A216" s="394">
        <f t="shared" si="3"/>
        <v>209</v>
      </c>
      <c r="B216" s="563" t="s">
        <v>2232</v>
      </c>
      <c r="C216" s="563" t="s">
        <v>2234</v>
      </c>
      <c r="D216" s="563">
        <v>138</v>
      </c>
      <c r="E216" s="566">
        <v>8.9</v>
      </c>
      <c r="F216" s="563" t="s">
        <v>2235</v>
      </c>
    </row>
    <row r="217" spans="1:6">
      <c r="A217" s="394">
        <f t="shared" si="3"/>
        <v>210</v>
      </c>
      <c r="B217" s="563" t="s">
        <v>1949</v>
      </c>
      <c r="C217" s="563" t="s">
        <v>2234</v>
      </c>
      <c r="D217" s="563">
        <v>138</v>
      </c>
      <c r="E217" s="566">
        <v>9.4</v>
      </c>
      <c r="F217" s="563" t="s">
        <v>2235</v>
      </c>
    </row>
    <row r="218" spans="1:6">
      <c r="A218" s="394">
        <f t="shared" si="3"/>
        <v>211</v>
      </c>
      <c r="B218" s="563" t="s">
        <v>2236</v>
      </c>
      <c r="C218" s="563" t="s">
        <v>1949</v>
      </c>
      <c r="D218" s="563">
        <v>138</v>
      </c>
      <c r="E218" s="566">
        <v>8</v>
      </c>
      <c r="F218" s="563" t="s">
        <v>2237</v>
      </c>
    </row>
    <row r="219" spans="1:6">
      <c r="A219" s="394">
        <f t="shared" si="3"/>
        <v>212</v>
      </c>
      <c r="B219" s="563" t="s">
        <v>2236</v>
      </c>
      <c r="C219" s="563" t="s">
        <v>2238</v>
      </c>
      <c r="D219" s="563">
        <v>138</v>
      </c>
      <c r="E219" s="566">
        <v>8</v>
      </c>
      <c r="F219" s="563" t="s">
        <v>2239</v>
      </c>
    </row>
    <row r="220" spans="1:6">
      <c r="A220" s="394">
        <f t="shared" si="3"/>
        <v>213</v>
      </c>
      <c r="B220" s="563" t="s">
        <v>2238</v>
      </c>
      <c r="C220" s="563" t="s">
        <v>2240</v>
      </c>
      <c r="D220" s="563">
        <v>138</v>
      </c>
      <c r="E220" s="566">
        <v>13.5</v>
      </c>
      <c r="F220" s="563" t="s">
        <v>2241</v>
      </c>
    </row>
    <row r="221" spans="1:6">
      <c r="A221" s="394">
        <f t="shared" si="3"/>
        <v>214</v>
      </c>
      <c r="B221" s="563" t="s">
        <v>2242</v>
      </c>
      <c r="C221" s="563" t="s">
        <v>2240</v>
      </c>
      <c r="D221" s="563">
        <v>138</v>
      </c>
      <c r="E221" s="566">
        <v>12</v>
      </c>
      <c r="F221" s="563" t="s">
        <v>2243</v>
      </c>
    </row>
    <row r="222" spans="1:6">
      <c r="A222" s="394">
        <f t="shared" si="3"/>
        <v>215</v>
      </c>
      <c r="B222" s="563" t="s">
        <v>2244</v>
      </c>
      <c r="C222" s="563" t="s">
        <v>2242</v>
      </c>
      <c r="D222" s="563">
        <v>138</v>
      </c>
      <c r="E222" s="566">
        <v>12.1</v>
      </c>
      <c r="F222" s="563" t="s">
        <v>2243</v>
      </c>
    </row>
    <row r="223" spans="1:6">
      <c r="A223" s="394">
        <f t="shared" si="3"/>
        <v>216</v>
      </c>
      <c r="B223" s="563" t="s">
        <v>2244</v>
      </c>
      <c r="C223" s="563" t="s">
        <v>2245</v>
      </c>
      <c r="D223" s="563">
        <v>138</v>
      </c>
      <c r="E223" s="566">
        <v>5.7</v>
      </c>
      <c r="F223" s="563" t="s">
        <v>2243</v>
      </c>
    </row>
    <row r="224" spans="1:6">
      <c r="A224" s="394">
        <f t="shared" si="3"/>
        <v>217</v>
      </c>
      <c r="B224" s="563" t="s">
        <v>2246</v>
      </c>
      <c r="C224" s="563" t="s">
        <v>2245</v>
      </c>
      <c r="D224" s="563">
        <v>138</v>
      </c>
      <c r="E224" s="566">
        <v>5.5</v>
      </c>
      <c r="F224" s="563" t="s">
        <v>2243</v>
      </c>
    </row>
    <row r="225" spans="1:6">
      <c r="A225" s="394">
        <f t="shared" si="3"/>
        <v>218</v>
      </c>
      <c r="B225" s="563" t="s">
        <v>2246</v>
      </c>
      <c r="C225" s="563" t="s">
        <v>2247</v>
      </c>
      <c r="D225" s="563">
        <v>138</v>
      </c>
      <c r="E225" s="566">
        <v>0.4</v>
      </c>
      <c r="F225" s="563" t="s">
        <v>2243</v>
      </c>
    </row>
    <row r="226" spans="1:6">
      <c r="A226" s="394">
        <f t="shared" si="3"/>
        <v>219</v>
      </c>
      <c r="B226" s="563" t="s">
        <v>2247</v>
      </c>
      <c r="C226" s="563" t="s">
        <v>2248</v>
      </c>
      <c r="D226" s="563">
        <v>138</v>
      </c>
      <c r="E226" s="566">
        <v>13.7</v>
      </c>
      <c r="F226" s="563" t="s">
        <v>2243</v>
      </c>
    </row>
    <row r="227" spans="1:6">
      <c r="A227" s="394">
        <f t="shared" si="3"/>
        <v>220</v>
      </c>
      <c r="B227" s="563" t="s">
        <v>2249</v>
      </c>
      <c r="C227" s="563" t="s">
        <v>2248</v>
      </c>
      <c r="D227" s="563">
        <v>138</v>
      </c>
      <c r="E227" s="566">
        <v>12</v>
      </c>
      <c r="F227" s="563" t="s">
        <v>2243</v>
      </c>
    </row>
    <row r="228" spans="1:6">
      <c r="A228" s="394">
        <f t="shared" si="3"/>
        <v>221</v>
      </c>
      <c r="B228" s="563" t="s">
        <v>2250</v>
      </c>
      <c r="C228" s="563" t="s">
        <v>2249</v>
      </c>
      <c r="D228" s="563">
        <v>138</v>
      </c>
      <c r="E228" s="566">
        <v>17</v>
      </c>
      <c r="F228" s="563" t="s">
        <v>2251</v>
      </c>
    </row>
    <row r="229" spans="1:6">
      <c r="A229" s="394">
        <f t="shared" si="3"/>
        <v>222</v>
      </c>
      <c r="B229" s="563" t="s">
        <v>2250</v>
      </c>
      <c r="C229" s="563" t="s">
        <v>2252</v>
      </c>
      <c r="D229" s="563">
        <v>138</v>
      </c>
      <c r="E229" s="566">
        <v>13.7</v>
      </c>
      <c r="F229" s="563" t="s">
        <v>2253</v>
      </c>
    </row>
    <row r="230" spans="1:6">
      <c r="A230" s="394">
        <f t="shared" si="3"/>
        <v>223</v>
      </c>
      <c r="B230" s="563" t="s">
        <v>1993</v>
      </c>
      <c r="C230" s="563" t="s">
        <v>2252</v>
      </c>
      <c r="D230" s="563">
        <v>138</v>
      </c>
      <c r="E230" s="566">
        <v>0</v>
      </c>
      <c r="F230" s="563" t="s">
        <v>2253</v>
      </c>
    </row>
    <row r="231" spans="1:6">
      <c r="A231" s="394">
        <f t="shared" si="3"/>
        <v>224</v>
      </c>
      <c r="B231" s="563" t="s">
        <v>2254</v>
      </c>
      <c r="C231" s="563" t="s">
        <v>1993</v>
      </c>
      <c r="D231" s="563">
        <v>138</v>
      </c>
      <c r="E231" s="566">
        <v>12</v>
      </c>
      <c r="F231" s="563" t="s">
        <v>2253</v>
      </c>
    </row>
    <row r="232" spans="1:6">
      <c r="A232" s="394">
        <f t="shared" si="3"/>
        <v>225</v>
      </c>
      <c r="B232" s="563" t="s">
        <v>2254</v>
      </c>
      <c r="C232" s="563" t="s">
        <v>1996</v>
      </c>
      <c r="D232" s="563">
        <v>138</v>
      </c>
      <c r="E232" s="566">
        <v>1.3</v>
      </c>
      <c r="F232" s="563" t="s">
        <v>2253</v>
      </c>
    </row>
    <row r="233" spans="1:6">
      <c r="A233" s="394">
        <f t="shared" si="3"/>
        <v>226</v>
      </c>
      <c r="B233" s="563" t="s">
        <v>1996</v>
      </c>
      <c r="C233" s="563" t="s">
        <v>1976</v>
      </c>
      <c r="D233" s="563">
        <v>138</v>
      </c>
      <c r="E233" s="566">
        <v>3</v>
      </c>
      <c r="F233" s="563" t="s">
        <v>2253</v>
      </c>
    </row>
    <row r="234" spans="1:6">
      <c r="A234" s="394">
        <f t="shared" si="3"/>
        <v>227</v>
      </c>
      <c r="B234" s="563" t="s">
        <v>2255</v>
      </c>
      <c r="C234" s="563" t="s">
        <v>1976</v>
      </c>
      <c r="D234" s="563">
        <v>138</v>
      </c>
      <c r="E234" s="566">
        <v>7</v>
      </c>
      <c r="F234" s="563" t="s">
        <v>2256</v>
      </c>
    </row>
    <row r="235" spans="1:6">
      <c r="A235" s="394">
        <f t="shared" si="3"/>
        <v>228</v>
      </c>
      <c r="B235" s="563" t="s">
        <v>2255</v>
      </c>
      <c r="C235" s="563" t="s">
        <v>1899</v>
      </c>
      <c r="D235" s="563">
        <v>138</v>
      </c>
      <c r="E235" s="566">
        <v>7</v>
      </c>
      <c r="F235" s="563" t="s">
        <v>2257</v>
      </c>
    </row>
    <row r="236" spans="1:6">
      <c r="A236" s="394">
        <f t="shared" si="3"/>
        <v>229</v>
      </c>
      <c r="B236" s="563" t="s">
        <v>1899</v>
      </c>
      <c r="C236" s="563" t="s">
        <v>2258</v>
      </c>
      <c r="D236" s="563">
        <v>138</v>
      </c>
      <c r="E236" s="566">
        <v>5</v>
      </c>
      <c r="F236" s="563" t="s">
        <v>2257</v>
      </c>
    </row>
    <row r="237" spans="1:6">
      <c r="A237" s="394">
        <f t="shared" si="3"/>
        <v>230</v>
      </c>
      <c r="B237" s="563" t="s">
        <v>2258</v>
      </c>
      <c r="C237" s="563" t="s">
        <v>2259</v>
      </c>
      <c r="D237" s="563">
        <v>138</v>
      </c>
      <c r="E237" s="566">
        <v>7.5</v>
      </c>
      <c r="F237" s="563" t="s">
        <v>2260</v>
      </c>
    </row>
    <row r="238" spans="1:6">
      <c r="A238" s="394">
        <f t="shared" si="3"/>
        <v>231</v>
      </c>
      <c r="B238" s="563" t="s">
        <v>2261</v>
      </c>
      <c r="C238" s="563" t="s">
        <v>2259</v>
      </c>
      <c r="D238" s="563">
        <v>138</v>
      </c>
      <c r="E238" s="566">
        <v>14</v>
      </c>
      <c r="F238" s="563" t="s">
        <v>2139</v>
      </c>
    </row>
    <row r="239" spans="1:6">
      <c r="A239" s="394">
        <f t="shared" si="3"/>
        <v>232</v>
      </c>
      <c r="B239" s="563" t="s">
        <v>2261</v>
      </c>
      <c r="C239" s="563" t="s">
        <v>1945</v>
      </c>
      <c r="D239" s="563">
        <v>138</v>
      </c>
      <c r="E239" s="566">
        <v>12</v>
      </c>
      <c r="F239" s="563" t="s">
        <v>2139</v>
      </c>
    </row>
    <row r="240" spans="1:6">
      <c r="A240" s="394">
        <f t="shared" si="3"/>
        <v>233</v>
      </c>
      <c r="B240" s="563" t="s">
        <v>1945</v>
      </c>
      <c r="C240" s="563" t="s">
        <v>1754</v>
      </c>
      <c r="D240" s="563">
        <v>138</v>
      </c>
      <c r="E240" s="566">
        <v>28.8</v>
      </c>
      <c r="F240" s="563" t="s">
        <v>2262</v>
      </c>
    </row>
    <row r="241" spans="1:6">
      <c r="A241" s="394">
        <f t="shared" si="3"/>
        <v>234</v>
      </c>
      <c r="B241" s="563" t="s">
        <v>2263</v>
      </c>
      <c r="C241" s="563" t="s">
        <v>1754</v>
      </c>
      <c r="D241" s="563">
        <v>138</v>
      </c>
      <c r="E241" s="566">
        <v>5.2</v>
      </c>
      <c r="F241" s="563" t="s">
        <v>2122</v>
      </c>
    </row>
    <row r="242" spans="1:6">
      <c r="A242" s="394">
        <f t="shared" si="3"/>
        <v>235</v>
      </c>
      <c r="B242" s="563" t="s">
        <v>2263</v>
      </c>
      <c r="C242" s="563" t="s">
        <v>2264</v>
      </c>
      <c r="D242" s="563">
        <v>138</v>
      </c>
      <c r="E242" s="566">
        <v>1.4</v>
      </c>
      <c r="F242" s="563" t="s">
        <v>2122</v>
      </c>
    </row>
    <row r="243" spans="1:6">
      <c r="A243" s="394">
        <f t="shared" si="3"/>
        <v>236</v>
      </c>
      <c r="B243" s="563" t="s">
        <v>1908</v>
      </c>
      <c r="C243" s="563" t="s">
        <v>2264</v>
      </c>
      <c r="D243" s="563">
        <v>138</v>
      </c>
      <c r="E243" s="566">
        <v>10.199999999999999</v>
      </c>
      <c r="F243" s="563" t="s">
        <v>2122</v>
      </c>
    </row>
    <row r="244" spans="1:6">
      <c r="A244" s="394">
        <f t="shared" si="3"/>
        <v>237</v>
      </c>
      <c r="B244" s="563" t="s">
        <v>2265</v>
      </c>
      <c r="C244" s="563" t="s">
        <v>1908</v>
      </c>
      <c r="D244" s="563">
        <v>138</v>
      </c>
      <c r="E244" s="566">
        <v>12.8</v>
      </c>
      <c r="F244" s="563" t="s">
        <v>2266</v>
      </c>
    </row>
    <row r="245" spans="1:6">
      <c r="A245" s="394">
        <f t="shared" si="3"/>
        <v>238</v>
      </c>
      <c r="B245" s="563" t="s">
        <v>2265</v>
      </c>
      <c r="C245" s="563" t="s">
        <v>2267</v>
      </c>
      <c r="D245" s="563">
        <v>138</v>
      </c>
      <c r="E245" s="566">
        <v>4</v>
      </c>
      <c r="F245" s="563" t="s">
        <v>2268</v>
      </c>
    </row>
    <row r="246" spans="1:6">
      <c r="A246" s="394">
        <f t="shared" si="3"/>
        <v>239</v>
      </c>
      <c r="B246" s="563" t="s">
        <v>2267</v>
      </c>
      <c r="C246" s="563" t="s">
        <v>2269</v>
      </c>
      <c r="D246" s="563">
        <v>138</v>
      </c>
      <c r="E246" s="566">
        <v>13.2</v>
      </c>
      <c r="F246" s="563" t="s">
        <v>2270</v>
      </c>
    </row>
    <row r="247" spans="1:6">
      <c r="A247" s="394">
        <f t="shared" si="3"/>
        <v>240</v>
      </c>
      <c r="B247" s="563" t="s">
        <v>1914</v>
      </c>
      <c r="C247" s="563" t="s">
        <v>2269</v>
      </c>
      <c r="D247" s="563">
        <v>138</v>
      </c>
      <c r="E247" s="566">
        <v>17</v>
      </c>
      <c r="F247" s="563" t="s">
        <v>2271</v>
      </c>
    </row>
    <row r="248" spans="1:6">
      <c r="A248" s="394">
        <f t="shared" si="3"/>
        <v>241</v>
      </c>
      <c r="B248" s="563" t="s">
        <v>2272</v>
      </c>
      <c r="C248" s="563" t="s">
        <v>1914</v>
      </c>
      <c r="D248" s="563">
        <v>138</v>
      </c>
      <c r="E248" s="566">
        <v>11.4</v>
      </c>
      <c r="F248" s="563" t="s">
        <v>2271</v>
      </c>
    </row>
    <row r="249" spans="1:6">
      <c r="A249" s="394">
        <f t="shared" si="3"/>
        <v>242</v>
      </c>
      <c r="B249" s="563" t="s">
        <v>2272</v>
      </c>
      <c r="C249" s="563" t="s">
        <v>2273</v>
      </c>
      <c r="D249" s="563">
        <v>138</v>
      </c>
      <c r="E249" s="566">
        <v>6.5</v>
      </c>
      <c r="F249" s="563" t="s">
        <v>2274</v>
      </c>
    </row>
    <row r="250" spans="1:6">
      <c r="A250" s="394">
        <f t="shared" si="3"/>
        <v>243</v>
      </c>
      <c r="B250" s="563" t="s">
        <v>2273</v>
      </c>
      <c r="C250" s="563" t="s">
        <v>1987</v>
      </c>
      <c r="D250" s="563">
        <v>138</v>
      </c>
      <c r="E250" s="566">
        <v>8</v>
      </c>
      <c r="F250" s="563" t="s">
        <v>2275</v>
      </c>
    </row>
    <row r="251" spans="1:6">
      <c r="A251" s="394">
        <f t="shared" si="3"/>
        <v>244</v>
      </c>
      <c r="B251" s="563" t="s">
        <v>2276</v>
      </c>
      <c r="C251" s="563" t="s">
        <v>1987</v>
      </c>
      <c r="D251" s="563">
        <v>138</v>
      </c>
      <c r="E251" s="566">
        <v>0.1</v>
      </c>
      <c r="F251" s="563" t="s">
        <v>2275</v>
      </c>
    </row>
    <row r="252" spans="1:6">
      <c r="A252" s="394">
        <f t="shared" si="3"/>
        <v>245</v>
      </c>
      <c r="B252" s="563" t="s">
        <v>2277</v>
      </c>
      <c r="C252" s="563" t="s">
        <v>1968</v>
      </c>
      <c r="D252" s="563">
        <v>138</v>
      </c>
      <c r="E252" s="566">
        <v>18.399999999999999</v>
      </c>
      <c r="F252" s="563" t="s">
        <v>2278</v>
      </c>
    </row>
    <row r="253" spans="1:6">
      <c r="A253" s="394">
        <f t="shared" si="3"/>
        <v>246</v>
      </c>
      <c r="B253" s="563" t="s">
        <v>2279</v>
      </c>
      <c r="C253" s="563" t="s">
        <v>1897</v>
      </c>
      <c r="D253" s="563">
        <v>138</v>
      </c>
      <c r="E253" s="566">
        <v>6.4</v>
      </c>
      <c r="F253" s="563" t="s">
        <v>2280</v>
      </c>
    </row>
    <row r="254" spans="1:6">
      <c r="A254" s="394">
        <f t="shared" si="3"/>
        <v>247</v>
      </c>
      <c r="B254" s="563" t="s">
        <v>2281</v>
      </c>
      <c r="C254" s="563" t="s">
        <v>2279</v>
      </c>
      <c r="D254" s="563">
        <v>138</v>
      </c>
      <c r="E254" s="566">
        <v>8.9</v>
      </c>
      <c r="F254" s="563" t="s">
        <v>2280</v>
      </c>
    </row>
    <row r="255" spans="1:6">
      <c r="A255" s="394">
        <f t="shared" si="3"/>
        <v>248</v>
      </c>
      <c r="B255" s="563" t="s">
        <v>2282</v>
      </c>
      <c r="C255" s="563" t="s">
        <v>2281</v>
      </c>
      <c r="D255" s="563">
        <v>138</v>
      </c>
      <c r="E255" s="566">
        <v>3.9</v>
      </c>
      <c r="F255" s="563" t="s">
        <v>2280</v>
      </c>
    </row>
    <row r="256" spans="1:6">
      <c r="A256" s="394">
        <f t="shared" si="3"/>
        <v>249</v>
      </c>
      <c r="B256" s="563" t="s">
        <v>2277</v>
      </c>
      <c r="C256" s="563" t="s">
        <v>1894</v>
      </c>
      <c r="D256" s="563">
        <v>138</v>
      </c>
      <c r="E256" s="566">
        <v>1</v>
      </c>
      <c r="F256" s="563" t="s">
        <v>2280</v>
      </c>
    </row>
    <row r="257" spans="1:6">
      <c r="A257" s="394">
        <f t="shared" si="3"/>
        <v>250</v>
      </c>
      <c r="B257" s="563" t="s">
        <v>2283</v>
      </c>
      <c r="C257" s="563" t="s">
        <v>1894</v>
      </c>
      <c r="D257" s="563">
        <v>138</v>
      </c>
      <c r="E257" s="566">
        <v>2.5</v>
      </c>
      <c r="F257" s="563" t="s">
        <v>2280</v>
      </c>
    </row>
    <row r="258" spans="1:6">
      <c r="A258" s="394">
        <f t="shared" si="3"/>
        <v>251</v>
      </c>
      <c r="B258" s="563" t="s">
        <v>2284</v>
      </c>
      <c r="C258" s="563" t="s">
        <v>2283</v>
      </c>
      <c r="D258" s="563">
        <v>138</v>
      </c>
      <c r="E258" s="566">
        <v>10</v>
      </c>
      <c r="F258" s="563" t="s">
        <v>2280</v>
      </c>
    </row>
    <row r="259" spans="1:6">
      <c r="A259" s="394">
        <f t="shared" si="3"/>
        <v>252</v>
      </c>
      <c r="B259" s="563" t="s">
        <v>1755</v>
      </c>
      <c r="C259" s="563" t="s">
        <v>2284</v>
      </c>
      <c r="D259" s="563">
        <v>138</v>
      </c>
      <c r="E259" s="566">
        <v>15.5</v>
      </c>
      <c r="F259" s="563" t="s">
        <v>2280</v>
      </c>
    </row>
    <row r="260" spans="1:6">
      <c r="A260" s="394">
        <f t="shared" si="3"/>
        <v>253</v>
      </c>
      <c r="B260" s="563" t="s">
        <v>1755</v>
      </c>
      <c r="C260" s="563" t="s">
        <v>2285</v>
      </c>
      <c r="D260" s="563">
        <v>138</v>
      </c>
      <c r="E260" s="566">
        <v>1.4</v>
      </c>
      <c r="F260" s="563" t="s">
        <v>2280</v>
      </c>
    </row>
    <row r="261" spans="1:6">
      <c r="A261" s="394">
        <f t="shared" si="3"/>
        <v>254</v>
      </c>
      <c r="B261" s="563" t="s">
        <v>1755</v>
      </c>
      <c r="C261" s="563" t="s">
        <v>2286</v>
      </c>
      <c r="D261" s="563">
        <v>138</v>
      </c>
      <c r="E261" s="566">
        <v>13</v>
      </c>
      <c r="F261" s="563" t="s">
        <v>2287</v>
      </c>
    </row>
    <row r="262" spans="1:6">
      <c r="A262" s="394">
        <f t="shared" si="3"/>
        <v>255</v>
      </c>
      <c r="B262" s="563" t="s">
        <v>2286</v>
      </c>
      <c r="C262" s="563" t="s">
        <v>2288</v>
      </c>
      <c r="D262" s="563">
        <v>138</v>
      </c>
      <c r="E262" s="566">
        <v>12</v>
      </c>
      <c r="F262" s="563" t="s">
        <v>2289</v>
      </c>
    </row>
    <row r="263" spans="1:6">
      <c r="A263" s="394">
        <f t="shared" si="3"/>
        <v>256</v>
      </c>
      <c r="B263" s="563" t="s">
        <v>2290</v>
      </c>
      <c r="C263" s="563" t="s">
        <v>2288</v>
      </c>
      <c r="D263" s="563">
        <v>138</v>
      </c>
      <c r="E263" s="566">
        <v>11</v>
      </c>
      <c r="F263" s="563" t="s">
        <v>2289</v>
      </c>
    </row>
    <row r="264" spans="1:6">
      <c r="A264" s="394">
        <f t="shared" si="3"/>
        <v>257</v>
      </c>
      <c r="B264" s="563" t="s">
        <v>2290</v>
      </c>
      <c r="C264" s="563" t="s">
        <v>1885</v>
      </c>
      <c r="D264" s="563">
        <v>138</v>
      </c>
      <c r="E264" s="566">
        <v>6</v>
      </c>
      <c r="F264" s="563" t="s">
        <v>2289</v>
      </c>
    </row>
    <row r="265" spans="1:6">
      <c r="A265" s="394">
        <f t="shared" si="3"/>
        <v>258</v>
      </c>
      <c r="B265" s="563" t="s">
        <v>2291</v>
      </c>
      <c r="C265" s="563" t="s">
        <v>1885</v>
      </c>
      <c r="D265" s="563">
        <v>138</v>
      </c>
      <c r="E265" s="566">
        <v>17.399999999999999</v>
      </c>
      <c r="F265" s="563" t="s">
        <v>2292</v>
      </c>
    </row>
    <row r="266" spans="1:6">
      <c r="A266" s="394">
        <f t="shared" ref="A266:A298" si="4">A265+1</f>
        <v>259</v>
      </c>
      <c r="B266" s="563" t="s">
        <v>1885</v>
      </c>
      <c r="C266" s="563" t="s">
        <v>2293</v>
      </c>
      <c r="D266" s="563">
        <v>138</v>
      </c>
      <c r="E266" s="566">
        <v>10.9</v>
      </c>
      <c r="F266" s="563" t="s">
        <v>2294</v>
      </c>
    </row>
    <row r="267" spans="1:6">
      <c r="A267" s="394">
        <f t="shared" si="4"/>
        <v>260</v>
      </c>
      <c r="B267" s="563" t="s">
        <v>2295</v>
      </c>
      <c r="C267" s="563" t="s">
        <v>2293</v>
      </c>
      <c r="D267" s="563">
        <v>138</v>
      </c>
      <c r="E267" s="566">
        <v>16.7</v>
      </c>
      <c r="F267" s="563" t="s">
        <v>2296</v>
      </c>
    </row>
    <row r="268" spans="1:6">
      <c r="A268" s="394">
        <f t="shared" si="4"/>
        <v>261</v>
      </c>
      <c r="B268" s="563" t="s">
        <v>2295</v>
      </c>
      <c r="C268" s="563" t="s">
        <v>1888</v>
      </c>
      <c r="D268" s="563">
        <v>138</v>
      </c>
      <c r="E268" s="566">
        <v>8.5</v>
      </c>
      <c r="F268" s="563" t="s">
        <v>2296</v>
      </c>
    </row>
    <row r="269" spans="1:6">
      <c r="A269" s="394">
        <f t="shared" si="4"/>
        <v>262</v>
      </c>
      <c r="B269" s="563" t="s">
        <v>2297</v>
      </c>
      <c r="C269" s="563" t="s">
        <v>1888</v>
      </c>
      <c r="D269" s="563">
        <v>138</v>
      </c>
      <c r="E269" s="566">
        <v>3.4</v>
      </c>
      <c r="F269" s="563" t="s">
        <v>2296</v>
      </c>
    </row>
    <row r="270" spans="1:6">
      <c r="A270" s="394">
        <f t="shared" si="4"/>
        <v>263</v>
      </c>
      <c r="B270" s="563" t="s">
        <v>2298</v>
      </c>
      <c r="C270" s="563" t="s">
        <v>2297</v>
      </c>
      <c r="D270" s="563">
        <v>138</v>
      </c>
      <c r="E270" s="566">
        <v>2.5</v>
      </c>
      <c r="F270" s="563" t="s">
        <v>2296</v>
      </c>
    </row>
    <row r="271" spans="1:6">
      <c r="A271" s="394">
        <f t="shared" si="4"/>
        <v>264</v>
      </c>
      <c r="B271" s="563" t="s">
        <v>2298</v>
      </c>
      <c r="C271" s="563" t="s">
        <v>1855</v>
      </c>
      <c r="D271" s="563">
        <v>138</v>
      </c>
      <c r="E271" s="566">
        <v>1.5</v>
      </c>
      <c r="F271" s="563" t="s">
        <v>2296</v>
      </c>
    </row>
    <row r="272" spans="1:6">
      <c r="A272" s="394">
        <f t="shared" si="4"/>
        <v>265</v>
      </c>
      <c r="B272" s="563" t="s">
        <v>1855</v>
      </c>
      <c r="C272" s="563" t="s">
        <v>1806</v>
      </c>
      <c r="D272" s="563">
        <v>138</v>
      </c>
      <c r="E272" s="566">
        <v>0.6</v>
      </c>
      <c r="F272" s="563" t="s">
        <v>2296</v>
      </c>
    </row>
    <row r="273" spans="1:6">
      <c r="A273" s="394">
        <f t="shared" si="4"/>
        <v>266</v>
      </c>
      <c r="B273" s="563" t="s">
        <v>1879</v>
      </c>
      <c r="C273" s="563" t="s">
        <v>1806</v>
      </c>
      <c r="D273" s="563">
        <v>138</v>
      </c>
      <c r="E273" s="566">
        <v>1.4</v>
      </c>
      <c r="F273" s="563" t="s">
        <v>2296</v>
      </c>
    </row>
    <row r="274" spans="1:6">
      <c r="A274" s="394">
        <f t="shared" si="4"/>
        <v>267</v>
      </c>
      <c r="B274" s="563" t="s">
        <v>1879</v>
      </c>
      <c r="C274" s="563" t="s">
        <v>2299</v>
      </c>
      <c r="D274" s="563">
        <v>138</v>
      </c>
      <c r="E274" s="566">
        <v>3.1</v>
      </c>
      <c r="F274" s="563" t="s">
        <v>2296</v>
      </c>
    </row>
    <row r="275" spans="1:6">
      <c r="A275" s="394">
        <f t="shared" si="4"/>
        <v>268</v>
      </c>
      <c r="B275" s="563" t="s">
        <v>2300</v>
      </c>
      <c r="C275" s="563" t="s">
        <v>2299</v>
      </c>
      <c r="D275" s="563">
        <v>138</v>
      </c>
      <c r="E275" s="566">
        <v>2.5</v>
      </c>
      <c r="F275" s="563" t="s">
        <v>2296</v>
      </c>
    </row>
    <row r="276" spans="1:6">
      <c r="A276" s="394">
        <f t="shared" si="4"/>
        <v>269</v>
      </c>
      <c r="B276" s="563" t="s">
        <v>2301</v>
      </c>
      <c r="C276" s="563" t="s">
        <v>2302</v>
      </c>
      <c r="D276" s="563">
        <v>138</v>
      </c>
      <c r="E276" s="566">
        <v>1.1000000000000001</v>
      </c>
      <c r="F276" s="563" t="s">
        <v>2296</v>
      </c>
    </row>
    <row r="277" spans="1:6">
      <c r="A277" s="394">
        <f t="shared" si="4"/>
        <v>270</v>
      </c>
      <c r="B277" s="563" t="s">
        <v>1879</v>
      </c>
      <c r="C277" s="563" t="s">
        <v>2302</v>
      </c>
      <c r="D277" s="563">
        <v>138</v>
      </c>
      <c r="E277" s="566">
        <v>6.6</v>
      </c>
      <c r="F277" s="563" t="s">
        <v>2296</v>
      </c>
    </row>
    <row r="278" spans="1:6">
      <c r="A278" s="394">
        <f t="shared" si="4"/>
        <v>271</v>
      </c>
      <c r="B278" s="563" t="s">
        <v>2303</v>
      </c>
      <c r="C278" s="563" t="s">
        <v>1885</v>
      </c>
      <c r="D278" s="563">
        <v>138</v>
      </c>
      <c r="E278" s="566">
        <v>6.7</v>
      </c>
      <c r="F278" s="563" t="s">
        <v>2289</v>
      </c>
    </row>
    <row r="279" spans="1:6">
      <c r="A279" s="394">
        <f t="shared" si="4"/>
        <v>272</v>
      </c>
      <c r="B279" s="563" t="s">
        <v>2303</v>
      </c>
      <c r="C279" s="563" t="s">
        <v>2304</v>
      </c>
      <c r="D279" s="563">
        <v>138</v>
      </c>
      <c r="E279" s="566">
        <v>8.4</v>
      </c>
      <c r="F279" s="563" t="s">
        <v>2305</v>
      </c>
    </row>
    <row r="280" spans="1:6">
      <c r="A280" s="394">
        <f t="shared" si="4"/>
        <v>273</v>
      </c>
      <c r="B280" s="563" t="s">
        <v>1797</v>
      </c>
      <c r="C280" s="563" t="s">
        <v>2304</v>
      </c>
      <c r="D280" s="563">
        <v>138</v>
      </c>
      <c r="E280" s="566">
        <v>18.100000000000001</v>
      </c>
      <c r="F280" s="563" t="s">
        <v>2306</v>
      </c>
    </row>
    <row r="281" spans="1:6">
      <c r="A281" s="394">
        <f t="shared" si="4"/>
        <v>274</v>
      </c>
      <c r="B281" s="563" t="s">
        <v>1797</v>
      </c>
      <c r="C281" s="563" t="s">
        <v>2307</v>
      </c>
      <c r="D281" s="563">
        <v>138</v>
      </c>
      <c r="E281" s="566">
        <v>20</v>
      </c>
      <c r="F281" s="563" t="s">
        <v>2308</v>
      </c>
    </row>
    <row r="282" spans="1:6">
      <c r="A282" s="394">
        <f t="shared" si="4"/>
        <v>275</v>
      </c>
      <c r="B282" s="563" t="s">
        <v>2307</v>
      </c>
      <c r="C282" s="563" t="s">
        <v>1746</v>
      </c>
      <c r="D282" s="563">
        <v>138</v>
      </c>
      <c r="E282" s="566">
        <v>4</v>
      </c>
      <c r="F282" s="563" t="s">
        <v>2309</v>
      </c>
    </row>
    <row r="283" spans="1:6">
      <c r="A283" s="394">
        <f t="shared" si="4"/>
        <v>276</v>
      </c>
      <c r="B283" s="563" t="s">
        <v>2310</v>
      </c>
      <c r="C283" s="563" t="s">
        <v>1749</v>
      </c>
      <c r="D283" s="563">
        <v>138</v>
      </c>
      <c r="E283" s="566">
        <v>6.5</v>
      </c>
      <c r="F283" s="563" t="s">
        <v>2309</v>
      </c>
    </row>
    <row r="284" spans="1:6">
      <c r="A284" s="394">
        <f t="shared" si="4"/>
        <v>277</v>
      </c>
      <c r="B284" s="563" t="s">
        <v>2254</v>
      </c>
      <c r="C284" s="563" t="s">
        <v>1749</v>
      </c>
      <c r="D284" s="563">
        <v>138</v>
      </c>
      <c r="E284" s="566">
        <v>34</v>
      </c>
      <c r="F284" s="563" t="s">
        <v>2311</v>
      </c>
    </row>
    <row r="285" spans="1:6">
      <c r="A285" s="394">
        <f t="shared" si="4"/>
        <v>278</v>
      </c>
      <c r="B285" s="563" t="s">
        <v>2310</v>
      </c>
      <c r="C285" s="563" t="s">
        <v>1746</v>
      </c>
      <c r="D285" s="563">
        <v>138</v>
      </c>
      <c r="E285" s="566">
        <v>6.5</v>
      </c>
      <c r="F285" s="563" t="s">
        <v>2309</v>
      </c>
    </row>
    <row r="286" spans="1:6">
      <c r="A286" s="394">
        <f t="shared" si="4"/>
        <v>279</v>
      </c>
      <c r="B286" s="563" t="s">
        <v>2312</v>
      </c>
      <c r="C286" s="563" t="s">
        <v>1939</v>
      </c>
      <c r="D286" s="563">
        <v>138</v>
      </c>
      <c r="E286" s="566">
        <v>3.8</v>
      </c>
      <c r="F286" s="563" t="s">
        <v>2216</v>
      </c>
    </row>
    <row r="287" spans="1:6">
      <c r="A287" s="394">
        <f t="shared" si="4"/>
        <v>280</v>
      </c>
      <c r="B287" s="563" t="s">
        <v>2312</v>
      </c>
      <c r="C287" s="563" t="s">
        <v>2313</v>
      </c>
      <c r="D287" s="563">
        <v>138</v>
      </c>
      <c r="E287" s="566">
        <v>4.5</v>
      </c>
      <c r="F287" s="563" t="s">
        <v>2314</v>
      </c>
    </row>
    <row r="288" spans="1:6">
      <c r="A288" s="394">
        <f t="shared" si="4"/>
        <v>281</v>
      </c>
      <c r="B288" s="563" t="s">
        <v>2315</v>
      </c>
      <c r="C288" s="563" t="s">
        <v>2313</v>
      </c>
      <c r="D288" s="563">
        <v>138</v>
      </c>
      <c r="E288" s="566">
        <v>3.8</v>
      </c>
      <c r="F288" s="563" t="s">
        <v>2220</v>
      </c>
    </row>
    <row r="289" spans="1:6">
      <c r="A289" s="394">
        <f t="shared" si="4"/>
        <v>282</v>
      </c>
      <c r="B289" s="563" t="s">
        <v>2315</v>
      </c>
      <c r="C289" s="563" t="s">
        <v>1847</v>
      </c>
      <c r="D289" s="563">
        <v>138</v>
      </c>
      <c r="E289" s="566">
        <v>4.9000000000000004</v>
      </c>
      <c r="F289" s="563" t="s">
        <v>2220</v>
      </c>
    </row>
    <row r="290" spans="1:6">
      <c r="A290" s="394">
        <f t="shared" si="4"/>
        <v>283</v>
      </c>
      <c r="B290" s="563" t="s">
        <v>1776</v>
      </c>
      <c r="C290" s="563" t="s">
        <v>2316</v>
      </c>
      <c r="D290" s="563">
        <v>69</v>
      </c>
      <c r="E290" s="566">
        <v>11.1</v>
      </c>
      <c r="F290" s="563" t="s">
        <v>2220</v>
      </c>
    </row>
    <row r="291" spans="1:6">
      <c r="A291" s="394">
        <f t="shared" si="4"/>
        <v>284</v>
      </c>
      <c r="B291" s="563" t="s">
        <v>2143</v>
      </c>
      <c r="C291" s="563" t="s">
        <v>2316</v>
      </c>
      <c r="D291" s="563">
        <v>69</v>
      </c>
      <c r="E291" s="566">
        <v>9.6999999999999993</v>
      </c>
      <c r="F291" s="563" t="s">
        <v>2220</v>
      </c>
    </row>
    <row r="292" spans="1:6">
      <c r="A292" s="394">
        <f t="shared" si="4"/>
        <v>285</v>
      </c>
      <c r="B292" s="563" t="s">
        <v>2317</v>
      </c>
      <c r="C292" s="563" t="s">
        <v>1974</v>
      </c>
      <c r="D292" s="563">
        <v>138</v>
      </c>
      <c r="E292" s="566">
        <v>4</v>
      </c>
      <c r="F292" s="563" t="s">
        <v>2058</v>
      </c>
    </row>
    <row r="293" spans="1:6">
      <c r="A293" s="394">
        <f t="shared" si="4"/>
        <v>286</v>
      </c>
      <c r="B293" s="563" t="s">
        <v>2318</v>
      </c>
      <c r="C293" s="563" t="s">
        <v>1820</v>
      </c>
      <c r="D293" s="563">
        <v>138</v>
      </c>
      <c r="E293" s="566">
        <v>2.1</v>
      </c>
      <c r="F293" s="563" t="s">
        <v>2085</v>
      </c>
    </row>
    <row r="294" spans="1:6">
      <c r="A294" s="394">
        <f t="shared" si="4"/>
        <v>287</v>
      </c>
      <c r="B294" s="563" t="s">
        <v>2319</v>
      </c>
      <c r="C294" s="563" t="s">
        <v>1779</v>
      </c>
      <c r="D294" s="563">
        <v>138</v>
      </c>
      <c r="E294" s="566">
        <v>0.1</v>
      </c>
      <c r="F294" s="563" t="s">
        <v>2220</v>
      </c>
    </row>
    <row r="295" spans="1:6">
      <c r="A295" s="394">
        <f t="shared" si="4"/>
        <v>288</v>
      </c>
      <c r="B295" s="563" t="s">
        <v>2320</v>
      </c>
      <c r="C295" s="563" t="s">
        <v>2321</v>
      </c>
      <c r="D295" s="563">
        <v>138</v>
      </c>
      <c r="E295" s="566">
        <v>0</v>
      </c>
      <c r="F295" s="563" t="s">
        <v>2139</v>
      </c>
    </row>
    <row r="296" spans="1:6">
      <c r="A296" s="394">
        <f t="shared" si="4"/>
        <v>289</v>
      </c>
      <c r="B296" s="563" t="s">
        <v>2322</v>
      </c>
      <c r="C296" s="563" t="s">
        <v>2323</v>
      </c>
      <c r="D296" s="563">
        <v>138</v>
      </c>
      <c r="E296" s="566">
        <v>5</v>
      </c>
      <c r="F296" s="563" t="s">
        <v>2099</v>
      </c>
    </row>
    <row r="297" spans="1:6">
      <c r="A297" s="394">
        <f t="shared" si="4"/>
        <v>290</v>
      </c>
      <c r="B297" s="563" t="s">
        <v>2323</v>
      </c>
      <c r="C297" s="563" t="s">
        <v>2324</v>
      </c>
      <c r="D297" s="563">
        <v>138</v>
      </c>
      <c r="E297" s="566">
        <v>7</v>
      </c>
      <c r="F297" s="563" t="s">
        <v>2099</v>
      </c>
    </row>
    <row r="298" spans="1:6">
      <c r="A298" s="394">
        <f t="shared" si="4"/>
        <v>291</v>
      </c>
      <c r="B298" s="563" t="s">
        <v>2215</v>
      </c>
      <c r="C298" s="563" t="s">
        <v>1946</v>
      </c>
      <c r="D298" s="563">
        <v>138</v>
      </c>
      <c r="E298" s="566">
        <v>6.3</v>
      </c>
      <c r="F298" s="563" t="s">
        <v>2216</v>
      </c>
    </row>
    <row r="300" spans="1:6">
      <c r="A300">
        <f>A298+1</f>
        <v>292</v>
      </c>
      <c r="B300" t="s">
        <v>1330</v>
      </c>
      <c r="E300" s="422">
        <f>SUM(E8:E298)</f>
        <v>2742.6</v>
      </c>
    </row>
    <row r="302" spans="1:6">
      <c r="A302">
        <f>A300+1</f>
        <v>293</v>
      </c>
      <c r="B302" s="383" t="s">
        <v>7</v>
      </c>
      <c r="C302" s="383" t="s">
        <v>1333</v>
      </c>
      <c r="D302" s="383" t="s">
        <v>1334</v>
      </c>
      <c r="E302" s="383" t="s">
        <v>1335</v>
      </c>
    </row>
    <row r="303" spans="1:6">
      <c r="A303">
        <f>A302+1</f>
        <v>294</v>
      </c>
      <c r="B303" t="s">
        <v>1331</v>
      </c>
      <c r="C303" s="567">
        <f>1996.2+12</f>
        <v>2008.2</v>
      </c>
      <c r="D303" s="423">
        <f>SUMIF($D$8:$D$298,138,$E$8:$E$298)</f>
        <v>1606.5000000000005</v>
      </c>
      <c r="E303" s="382">
        <f>D303/C303</f>
        <v>0.79997012249775945</v>
      </c>
    </row>
    <row r="304" spans="1:6">
      <c r="A304">
        <f t="shared" ref="A304:A314" si="5">A303+1</f>
        <v>295</v>
      </c>
      <c r="B304" t="s">
        <v>1332</v>
      </c>
      <c r="C304" s="567">
        <v>1563.4</v>
      </c>
      <c r="D304" s="423">
        <f>SUMIF($D$8:$D$295,69,$E$8:$E$295)</f>
        <v>1136.0999999999997</v>
      </c>
      <c r="E304" s="382">
        <f t="shared" ref="E304:E305" si="6">D304/C304</f>
        <v>0.72668542919278467</v>
      </c>
    </row>
    <row r="305" spans="1:5">
      <c r="A305">
        <f t="shared" si="5"/>
        <v>296</v>
      </c>
      <c r="B305" t="s">
        <v>1336</v>
      </c>
      <c r="C305" s="567">
        <f>SUM(C303:C304)</f>
        <v>3571.6000000000004</v>
      </c>
      <c r="D305" s="423">
        <f>SUM(D303:D304)</f>
        <v>2742.6000000000004</v>
      </c>
      <c r="E305" s="382">
        <f t="shared" si="6"/>
        <v>0.76789114122522117</v>
      </c>
    </row>
    <row r="306" spans="1:5">
      <c r="A306">
        <f t="shared" si="5"/>
        <v>297</v>
      </c>
      <c r="B306" t="s">
        <v>1306</v>
      </c>
    </row>
    <row r="307" spans="1:5">
      <c r="A307">
        <f t="shared" si="5"/>
        <v>298</v>
      </c>
      <c r="B307" t="s">
        <v>1325</v>
      </c>
    </row>
    <row r="308" spans="1:5">
      <c r="A308">
        <f t="shared" si="5"/>
        <v>299</v>
      </c>
      <c r="B308" t="s">
        <v>1515</v>
      </c>
    </row>
    <row r="309" spans="1:5">
      <c r="A309">
        <f t="shared" si="5"/>
        <v>300</v>
      </c>
      <c r="B309" t="s">
        <v>1509</v>
      </c>
    </row>
    <row r="310" spans="1:5">
      <c r="A310">
        <f t="shared" si="5"/>
        <v>301</v>
      </c>
      <c r="B310" t="s">
        <v>1510</v>
      </c>
    </row>
    <row r="311" spans="1:5">
      <c r="A311">
        <f t="shared" si="5"/>
        <v>302</v>
      </c>
      <c r="B311" t="s">
        <v>1511</v>
      </c>
    </row>
    <row r="312" spans="1:5">
      <c r="A312">
        <f t="shared" si="5"/>
        <v>303</v>
      </c>
      <c r="B312" t="s">
        <v>1512</v>
      </c>
    </row>
    <row r="313" spans="1:5">
      <c r="A313">
        <f t="shared" si="5"/>
        <v>304</v>
      </c>
      <c r="B313" t="s">
        <v>1513</v>
      </c>
    </row>
    <row r="314" spans="1:5">
      <c r="A314">
        <f t="shared" si="5"/>
        <v>305</v>
      </c>
      <c r="B314" t="s">
        <v>1514</v>
      </c>
    </row>
  </sheetData>
  <conditionalFormatting sqref="A1:XFD1048576">
    <cfRule type="containsErrors" dxfId="0" priority="1">
      <formula>ISERROR(A1)</formula>
    </cfRule>
  </conditionalFormatting>
  <pageMargins left="0.7" right="0.7" top="0.75" bottom="0.75" header="0.3" footer="0.3"/>
  <pageSetup scale="78" fitToHeight="0" orientation="portrait" horizontalDpi="1200" verticalDpi="1200" r:id="rId1"/>
  <headerFooter>
    <oddHeader>&amp;RPage &amp;P
Worksheet  T</oddHeader>
  </headerFooter>
  <rowBreaks count="1" manualBreakCount="1">
    <brk id="287"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activeCell="C15" sqref="C15"/>
    </sheetView>
  </sheetViews>
  <sheetFormatPr defaultColWidth="8.09765625" defaultRowHeight="13.2"/>
  <cols>
    <col min="1" max="1" width="6" style="429" customWidth="1"/>
    <col min="2" max="2" width="16.59765625" style="429" customWidth="1"/>
    <col min="3" max="3" width="67.19921875" style="429" customWidth="1"/>
    <col min="4" max="4" width="25" style="429" bestFit="1" customWidth="1"/>
    <col min="5" max="5" width="18.69921875" style="429" bestFit="1" customWidth="1"/>
    <col min="6" max="6" width="21.3984375" style="429" bestFit="1" customWidth="1"/>
    <col min="7" max="16384" width="8.09765625" style="429"/>
  </cols>
  <sheetData>
    <row r="1" spans="1:9" ht="13.8">
      <c r="I1" s="450" t="s">
        <v>1464</v>
      </c>
    </row>
    <row r="2" spans="1:9" ht="13.8">
      <c r="F2" s="450" t="s">
        <v>0</v>
      </c>
      <c r="H2" s="430"/>
    </row>
    <row r="3" spans="1:9" s="431" customFormat="1">
      <c r="H3" s="497" t="s">
        <v>0</v>
      </c>
    </row>
    <row r="4" spans="1:9" s="431" customFormat="1" ht="21">
      <c r="B4" s="498" t="str">
        <f>'Worksheet T, Qualified Lines'!A1</f>
        <v>Western Farmers Electric Cooperative, Inc.</v>
      </c>
      <c r="C4" s="499"/>
      <c r="D4" s="499"/>
      <c r="E4" s="499"/>
      <c r="F4" s="499"/>
      <c r="G4" s="499"/>
    </row>
    <row r="5" spans="1:9" s="431" customFormat="1" ht="20.399999999999999">
      <c r="B5" s="500"/>
      <c r="C5" s="432"/>
      <c r="D5" s="432"/>
      <c r="E5" s="432"/>
      <c r="F5" s="432"/>
      <c r="G5" s="432"/>
    </row>
    <row r="6" spans="1:9" s="431" customFormat="1" ht="13.8">
      <c r="B6" s="501" t="s">
        <v>1475</v>
      </c>
      <c r="C6" s="432"/>
      <c r="D6" s="432"/>
      <c r="E6" s="432"/>
      <c r="F6" s="432"/>
      <c r="G6" s="432"/>
    </row>
    <row r="7" spans="1:9" s="431" customFormat="1" ht="13.8">
      <c r="B7" s="502" t="str">
        <f>'Worksheet T, Qualified Lines'!A4</f>
        <v>Year Ending December 31, 2016</v>
      </c>
      <c r="C7" s="432"/>
      <c r="D7" s="432"/>
      <c r="E7" s="432"/>
      <c r="F7" s="432"/>
      <c r="G7" s="432"/>
    </row>
    <row r="9" spans="1:9">
      <c r="A9" s="433" t="s">
        <v>3</v>
      </c>
      <c r="B9" s="433" t="s">
        <v>4</v>
      </c>
      <c r="C9" s="433" t="s">
        <v>5</v>
      </c>
      <c r="D9" s="433" t="s">
        <v>9</v>
      </c>
      <c r="E9" s="433" t="s">
        <v>10</v>
      </c>
      <c r="F9" s="433" t="s">
        <v>11</v>
      </c>
    </row>
    <row r="10" spans="1:9">
      <c r="A10" s="434" t="s">
        <v>427</v>
      </c>
      <c r="B10" s="435" t="s">
        <v>1450</v>
      </c>
      <c r="C10" s="435" t="s">
        <v>7</v>
      </c>
      <c r="D10" s="435" t="s">
        <v>1451</v>
      </c>
      <c r="E10" s="435" t="s">
        <v>1452</v>
      </c>
      <c r="F10" s="436" t="s">
        <v>1453</v>
      </c>
    </row>
    <row r="11" spans="1:9">
      <c r="A11" s="437"/>
      <c r="B11" s="437"/>
      <c r="C11" s="437"/>
      <c r="D11" s="437"/>
      <c r="E11" s="437"/>
      <c r="F11" s="437"/>
    </row>
    <row r="12" spans="1:9" ht="13.8">
      <c r="A12" s="438"/>
      <c r="B12" s="439" t="s">
        <v>1454</v>
      </c>
      <c r="C12" s="440"/>
      <c r="D12" s="440"/>
      <c r="E12" s="440"/>
      <c r="F12" s="437"/>
    </row>
    <row r="13" spans="1:9" s="431" customFormat="1" ht="13.8">
      <c r="A13" s="441" t="s">
        <v>1455</v>
      </c>
      <c r="B13" s="520"/>
      <c r="C13" s="520"/>
      <c r="D13" s="521">
        <v>0</v>
      </c>
      <c r="E13" s="522">
        <v>1</v>
      </c>
      <c r="F13" s="455">
        <f>D13*E13</f>
        <v>0</v>
      </c>
    </row>
    <row r="14" spans="1:9" s="431" customFormat="1" ht="13.8">
      <c r="A14" s="441" t="s">
        <v>1456</v>
      </c>
      <c r="B14" s="520"/>
      <c r="C14" s="520"/>
      <c r="D14" s="521">
        <v>0</v>
      </c>
      <c r="E14" s="522">
        <v>1</v>
      </c>
      <c r="F14" s="455">
        <f>D14*E14</f>
        <v>0</v>
      </c>
    </row>
    <row r="15" spans="1:9" s="431" customFormat="1" ht="13.8">
      <c r="A15" s="441" t="s">
        <v>1457</v>
      </c>
      <c r="B15" s="520"/>
      <c r="C15" s="520"/>
      <c r="D15" s="521">
        <v>0</v>
      </c>
      <c r="E15" s="522">
        <v>1</v>
      </c>
      <c r="F15" s="455">
        <f>D15*E15</f>
        <v>0</v>
      </c>
    </row>
    <row r="16" spans="1:9" s="431" customFormat="1" ht="13.8">
      <c r="A16" s="441"/>
      <c r="B16" s="442"/>
      <c r="C16" s="442"/>
      <c r="D16" s="453"/>
      <c r="E16" s="451"/>
      <c r="F16" s="455"/>
    </row>
    <row r="17" spans="1:6" s="431" customFormat="1" ht="13.8">
      <c r="A17" s="441">
        <v>2</v>
      </c>
      <c r="B17" s="443" t="s">
        <v>1458</v>
      </c>
      <c r="C17" s="442"/>
      <c r="D17" s="453">
        <f>SUM(D13:D15)</f>
        <v>0</v>
      </c>
      <c r="E17" s="452"/>
      <c r="F17" s="456">
        <f>SUM(F13:F15)</f>
        <v>0</v>
      </c>
    </row>
    <row r="18" spans="1:6" s="431" customFormat="1" ht="13.8">
      <c r="A18" s="441"/>
      <c r="B18" s="442"/>
      <c r="C18" s="442"/>
      <c r="D18" s="453"/>
      <c r="E18" s="452"/>
      <c r="F18" s="457"/>
    </row>
    <row r="19" spans="1:6" s="431" customFormat="1" ht="13.8">
      <c r="A19" s="441"/>
      <c r="B19" s="443" t="s">
        <v>1459</v>
      </c>
      <c r="C19" s="442"/>
      <c r="D19" s="453"/>
      <c r="E19" s="452"/>
      <c r="F19" s="457"/>
    </row>
    <row r="20" spans="1:6" s="431" customFormat="1" ht="13.8">
      <c r="A20" s="441" t="s">
        <v>1460</v>
      </c>
      <c r="B20" s="520"/>
      <c r="C20" s="520"/>
      <c r="D20" s="521">
        <v>0</v>
      </c>
      <c r="E20" s="522">
        <v>1</v>
      </c>
      <c r="F20" s="455">
        <f>D20*E20</f>
        <v>0</v>
      </c>
    </row>
    <row r="21" spans="1:6" s="431" customFormat="1" ht="13.8">
      <c r="A21" s="441" t="s">
        <v>1461</v>
      </c>
      <c r="B21" s="520"/>
      <c r="C21" s="520"/>
      <c r="D21" s="521">
        <v>0</v>
      </c>
      <c r="E21" s="522">
        <v>1</v>
      </c>
      <c r="F21" s="455">
        <f>D21*E21</f>
        <v>0</v>
      </c>
    </row>
    <row r="22" spans="1:6" s="431" customFormat="1" ht="13.8">
      <c r="A22" s="441" t="s">
        <v>1457</v>
      </c>
      <c r="B22" s="520"/>
      <c r="C22" s="520"/>
      <c r="D22" s="521">
        <v>0</v>
      </c>
      <c r="E22" s="522">
        <v>1</v>
      </c>
      <c r="F22" s="455">
        <f>D22*E22</f>
        <v>0</v>
      </c>
    </row>
    <row r="23" spans="1:6" ht="13.8">
      <c r="A23" s="441"/>
      <c r="B23" s="442"/>
      <c r="C23" s="442"/>
      <c r="D23" s="453"/>
      <c r="E23" s="441"/>
      <c r="F23" s="455"/>
    </row>
    <row r="24" spans="1:6" ht="13.8">
      <c r="A24" s="438">
        <v>4</v>
      </c>
      <c r="B24" s="439" t="s">
        <v>1462</v>
      </c>
      <c r="C24" s="440"/>
      <c r="D24" s="454">
        <f>SUM(D20:D22)</f>
        <v>0</v>
      </c>
      <c r="E24" s="440"/>
      <c r="F24" s="456">
        <f>SUM(F20:F22)</f>
        <v>0</v>
      </c>
    </row>
    <row r="25" spans="1:6" ht="13.8">
      <c r="A25" s="438"/>
      <c r="B25" s="440"/>
      <c r="C25" s="440"/>
      <c r="D25" s="440"/>
      <c r="E25" s="440"/>
      <c r="F25" s="437"/>
    </row>
    <row r="26" spans="1:6" ht="13.8">
      <c r="A26" s="444"/>
      <c r="B26" s="445"/>
      <c r="C26" s="445"/>
      <c r="D26" s="445"/>
      <c r="E26" s="445"/>
    </row>
    <row r="27" spans="1:6" ht="13.8">
      <c r="A27" s="444">
        <f>A24+1</f>
        <v>5</v>
      </c>
      <c r="B27" s="446" t="s">
        <v>1463</v>
      </c>
      <c r="C27" s="445"/>
      <c r="D27" s="445"/>
      <c r="E27" s="445"/>
    </row>
    <row r="28" spans="1:6" ht="13.8">
      <c r="A28" s="444">
        <f>A27+1</f>
        <v>6</v>
      </c>
      <c r="B28" s="447" t="s">
        <v>1516</v>
      </c>
      <c r="C28" s="445"/>
      <c r="D28" s="445"/>
      <c r="E28" s="445"/>
    </row>
    <row r="29" spans="1:6" ht="13.8">
      <c r="A29" s="444">
        <f t="shared" ref="A29:A36" si="0">A28+1</f>
        <v>7</v>
      </c>
      <c r="B29" s="447" t="s">
        <v>1517</v>
      </c>
      <c r="C29" s="445"/>
      <c r="D29" s="445"/>
      <c r="E29" s="445"/>
    </row>
    <row r="30" spans="1:6" ht="13.8">
      <c r="A30" s="444">
        <f t="shared" si="0"/>
        <v>8</v>
      </c>
      <c r="B30" s="448" t="s">
        <v>1518</v>
      </c>
      <c r="C30" s="445"/>
      <c r="D30" s="445"/>
      <c r="E30" s="445"/>
    </row>
    <row r="31" spans="1:6" ht="13.8">
      <c r="A31" s="444">
        <f t="shared" si="0"/>
        <v>9</v>
      </c>
      <c r="B31" s="448" t="s">
        <v>1519</v>
      </c>
      <c r="C31" s="445"/>
      <c r="D31" s="445"/>
      <c r="E31" s="445"/>
    </row>
    <row r="32" spans="1:6" ht="13.8">
      <c r="A32" s="444">
        <f t="shared" si="0"/>
        <v>10</v>
      </c>
      <c r="B32" s="448" t="s">
        <v>1520</v>
      </c>
      <c r="C32" s="445"/>
      <c r="D32" s="445"/>
      <c r="E32" s="445"/>
    </row>
    <row r="33" spans="1:5" ht="13.8">
      <c r="A33" s="444">
        <f t="shared" si="0"/>
        <v>11</v>
      </c>
      <c r="B33" s="448" t="s">
        <v>1521</v>
      </c>
      <c r="C33" s="445"/>
      <c r="D33" s="445"/>
      <c r="E33" s="445"/>
    </row>
    <row r="34" spans="1:5" ht="13.8">
      <c r="A34" s="444">
        <f t="shared" si="0"/>
        <v>12</v>
      </c>
      <c r="B34" s="449" t="s">
        <v>1522</v>
      </c>
      <c r="C34" s="445"/>
      <c r="D34" s="445"/>
      <c r="E34" s="445"/>
    </row>
    <row r="35" spans="1:5" ht="13.8">
      <c r="A35" s="444">
        <f t="shared" si="0"/>
        <v>13</v>
      </c>
      <c r="B35" s="449" t="s">
        <v>1523</v>
      </c>
      <c r="C35" s="445"/>
      <c r="D35" s="445"/>
      <c r="E35" s="445"/>
    </row>
    <row r="36" spans="1:5" ht="13.8">
      <c r="A36" s="444">
        <f t="shared" si="0"/>
        <v>14</v>
      </c>
      <c r="B36" s="449" t="s">
        <v>1524</v>
      </c>
    </row>
  </sheetData>
  <pageMargins left="0.7" right="0.7" top="0.75" bottom="0.75" header="0.3" footer="0.3"/>
  <pageSetup scale="72" orientation="landscape" horizontalDpi="1200" verticalDpi="1200" r:id="rId1"/>
  <headerFooter>
    <oddHeader>&amp;RPage &amp;N
Worksheet  U</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2"/>
  <sheetViews>
    <sheetView topLeftCell="A7" zoomScaleNormal="100" workbookViewId="0">
      <selection activeCell="E37" sqref="E37"/>
    </sheetView>
  </sheetViews>
  <sheetFormatPr defaultColWidth="8.69921875" defaultRowHeight="13.8"/>
  <cols>
    <col min="1" max="2" width="8.69921875" style="2"/>
    <col min="3" max="3" width="52.5" style="2" customWidth="1"/>
    <col min="4" max="4" width="36.09765625" style="2" customWidth="1"/>
    <col min="5" max="5" width="16.5" style="2" customWidth="1"/>
    <col min="6" max="6" width="11.19921875" style="2" bestFit="1" customWidth="1"/>
    <col min="7" max="8" width="8.69921875" style="2"/>
    <col min="9" max="9" width="10.09765625" style="2" customWidth="1"/>
    <col min="10" max="16384" width="8.69921875" style="2"/>
  </cols>
  <sheetData>
    <row r="1" spans="1:9">
      <c r="I1" s="177" t="s">
        <v>51</v>
      </c>
    </row>
    <row r="2" spans="1:9">
      <c r="I2" s="178" t="s">
        <v>1356</v>
      </c>
    </row>
    <row r="4" spans="1:9" ht="17.399999999999999">
      <c r="A4" s="359" t="str">
        <f>Index!$B$4</f>
        <v>Western Farmers Electric Cooperative, Inc.</v>
      </c>
    </row>
    <row r="5" spans="1:9" ht="17.399999999999999">
      <c r="A5" s="357"/>
    </row>
    <row r="6" spans="1:9" ht="17.399999999999999">
      <c r="A6" s="358" t="s">
        <v>1288</v>
      </c>
    </row>
    <row r="7" spans="1:9" ht="17.399999999999999">
      <c r="A7" s="359" t="str">
        <f>Index!$B$6</f>
        <v>Year Ending December 31, 2016</v>
      </c>
    </row>
    <row r="9" spans="1:9">
      <c r="A9" s="17" t="s">
        <v>3</v>
      </c>
      <c r="B9" s="17" t="s">
        <v>4</v>
      </c>
      <c r="C9" s="17" t="s">
        <v>5</v>
      </c>
      <c r="D9" s="17" t="s">
        <v>9</v>
      </c>
      <c r="E9" s="17" t="s">
        <v>10</v>
      </c>
    </row>
    <row r="10" spans="1:9" ht="27.6">
      <c r="A10" s="201" t="s">
        <v>16</v>
      </c>
      <c r="B10" s="201" t="s">
        <v>198</v>
      </c>
      <c r="C10" s="201" t="s">
        <v>7</v>
      </c>
      <c r="D10" s="201" t="s">
        <v>17</v>
      </c>
      <c r="E10" s="201" t="s">
        <v>52</v>
      </c>
    </row>
    <row r="11" spans="1:9">
      <c r="A11" s="330"/>
      <c r="B11" s="330"/>
      <c r="C11" s="330"/>
      <c r="D11" s="330"/>
      <c r="E11" s="330"/>
    </row>
    <row r="12" spans="1:9" ht="15.6">
      <c r="A12" s="2">
        <v>1</v>
      </c>
      <c r="B12" s="330"/>
      <c r="C12" s="174" t="s">
        <v>53</v>
      </c>
      <c r="D12" s="330"/>
      <c r="E12" s="330"/>
    </row>
    <row r="13" spans="1:9">
      <c r="A13" s="2">
        <f>A12+1</f>
        <v>2</v>
      </c>
      <c r="B13" s="29"/>
      <c r="C13" s="182" t="s">
        <v>1386</v>
      </c>
      <c r="D13" s="2" t="str">
        <f>'Worksheet B, Expenses'!$O$2&amp;", Line "&amp;'Worksheet B, Expenses'!B59&amp;" Col "&amp;'Worksheet B, Expenses'!$M$9</f>
        <v>Worksheet B, Line 41 Col L</v>
      </c>
      <c r="E13" s="9">
        <f>'Worksheet B, Expenses'!$M$59</f>
        <v>13885243.204438796</v>
      </c>
    </row>
    <row r="15" spans="1:9">
      <c r="A15" s="2">
        <f>A13+1</f>
        <v>3</v>
      </c>
      <c r="C15" s="341" t="s">
        <v>19</v>
      </c>
    </row>
    <row r="16" spans="1:9">
      <c r="A16" s="2">
        <f t="shared" ref="A16:A25" si="0">A15+1</f>
        <v>4</v>
      </c>
      <c r="B16" s="402"/>
      <c r="C16" s="29" t="str">
        <f>'Worksheet F, Inputs'!C17</f>
        <v>Transmission Service Studies</v>
      </c>
      <c r="D16" s="271" t="str">
        <f>'Worksheet F, Inputs'!$I$1&amp;", Line "&amp;'Worksheet F, Inputs'!A17&amp;" Col "&amp;'Worksheet F, Inputs'!$G$9</f>
        <v>Worksheet F, Line 5 Col G</v>
      </c>
      <c r="E16" s="9">
        <f>'Worksheet F, Inputs'!G17</f>
        <v>0</v>
      </c>
    </row>
    <row r="17" spans="1:5">
      <c r="A17" s="2">
        <f t="shared" si="0"/>
        <v>5</v>
      </c>
      <c r="B17" s="402"/>
      <c r="C17" s="29" t="str">
        <f>'Worksheet F, Inputs'!C18</f>
        <v>Generation Interconnection Studies</v>
      </c>
      <c r="D17" s="271" t="str">
        <f>'Worksheet F, Inputs'!$I$1&amp;", Line "&amp;'Worksheet F, Inputs'!A18&amp;" Col "&amp;'Worksheet F, Inputs'!$G$9</f>
        <v>Worksheet F, Line 6 Col G</v>
      </c>
      <c r="E17" s="9">
        <f>'Worksheet F, Inputs'!G18</f>
        <v>0</v>
      </c>
    </row>
    <row r="18" spans="1:5">
      <c r="A18" s="2">
        <f t="shared" si="0"/>
        <v>6</v>
      </c>
      <c r="B18" s="402"/>
      <c r="C18" s="29" t="str">
        <f>'Worksheet F, Inputs'!C19</f>
        <v>Regional Planning &amp; Standards development</v>
      </c>
      <c r="D18" s="271" t="str">
        <f>'Worksheet F, Inputs'!$I$1&amp;", Line "&amp;'Worksheet F, Inputs'!A19&amp;" Col "&amp;'Worksheet F, Inputs'!$G$9</f>
        <v>Worksheet F, Line 7 Col G</v>
      </c>
      <c r="E18" s="9">
        <f>'Worksheet F, Inputs'!G19</f>
        <v>0</v>
      </c>
    </row>
    <row r="19" spans="1:5">
      <c r="A19" s="2">
        <f t="shared" si="0"/>
        <v>7</v>
      </c>
      <c r="B19" s="402"/>
      <c r="C19" s="28" t="s">
        <v>1362</v>
      </c>
      <c r="D19" s="271" t="str">
        <f>'Worksheet F, Inputs'!$I$1&amp;", Line "&amp;'Worksheet F, Inputs'!A20&amp;" Col "&amp;'Worksheet F, Inputs'!$G$9</f>
        <v>Worksheet F, Line 8 Col G</v>
      </c>
      <c r="E19" s="9">
        <f>'Worksheet F, Inputs'!$G20</f>
        <v>468263.72</v>
      </c>
    </row>
    <row r="20" spans="1:5">
      <c r="A20" s="2">
        <f t="shared" si="0"/>
        <v>8</v>
      </c>
      <c r="B20" s="402"/>
      <c r="C20" s="28" t="s">
        <v>1363</v>
      </c>
      <c r="D20" s="271" t="str">
        <f>'Worksheet F, Inputs'!$I$1&amp;", Line "&amp;'Worksheet F, Inputs'!A21&amp;" Col "&amp;'Worksheet F, Inputs'!$G$9</f>
        <v>Worksheet F, Line 9 Col G</v>
      </c>
      <c r="E20" s="9">
        <f>'Worksheet F, Inputs'!$G21</f>
        <v>571955.48</v>
      </c>
    </row>
    <row r="21" spans="1:5">
      <c r="A21" s="2">
        <f t="shared" si="0"/>
        <v>9</v>
      </c>
      <c r="B21" s="402"/>
      <c r="C21" s="28" t="s">
        <v>1364</v>
      </c>
      <c r="D21" s="271" t="str">
        <f>'Worksheet F, Inputs'!$I$1&amp;", Line "&amp;'Worksheet F, Inputs'!A22&amp;" Col "&amp;'Worksheet F, Inputs'!$G$9</f>
        <v>Worksheet F, Line 10 Col G</v>
      </c>
      <c r="E21" s="9">
        <f>'Worksheet F, Inputs'!$G22</f>
        <v>3827848.32</v>
      </c>
    </row>
    <row r="22" spans="1:5">
      <c r="A22" s="2">
        <f t="shared" si="0"/>
        <v>10</v>
      </c>
      <c r="B22" s="402">
        <f>'Worksheet F, Inputs'!B23</f>
        <v>561.00400000000002</v>
      </c>
      <c r="C22" s="28" t="s">
        <v>1366</v>
      </c>
      <c r="D22" s="271" t="str">
        <f>'Worksheet F, Inputs'!$I$1&amp;", Line "&amp;'Worksheet F, Inputs'!A23&amp;" Col "&amp;'Worksheet F, Inputs'!$G$9</f>
        <v>Worksheet F, Line 11 Col G</v>
      </c>
      <c r="E22" s="9">
        <f>'Worksheet F, Inputs'!$G23</f>
        <v>4633901.0999999996</v>
      </c>
    </row>
    <row r="23" spans="1:5">
      <c r="A23" s="2">
        <f t="shared" si="0"/>
        <v>11</v>
      </c>
      <c r="B23" s="29"/>
      <c r="C23" s="29" t="str">
        <f>'Worksheet F, Inputs'!C24</f>
        <v>Schedule 1-Adjustment</v>
      </c>
      <c r="D23" s="271" t="str">
        <f>'Worksheet F, Inputs'!$I$1&amp;", Line "&amp;'Worksheet F, Inputs'!A24&amp;" Col "&amp;'Worksheet F, Inputs'!$G$9</f>
        <v>Worksheet F, Line 12 Col G</v>
      </c>
      <c r="E23" s="9">
        <f>'Worksheet F, Inputs'!G24</f>
        <v>0</v>
      </c>
    </row>
    <row r="24" spans="1:5">
      <c r="A24" s="2">
        <f t="shared" si="0"/>
        <v>12</v>
      </c>
      <c r="B24" s="402">
        <v>456.70170000000002</v>
      </c>
      <c r="C24" s="28" t="s">
        <v>1365</v>
      </c>
      <c r="D24" s="3" t="str">
        <f>"-"&amp;'Worksheet N, OthRev Input'!$H$2&amp;", Line "&amp;'Worksheet N, OthRev Input'!$A$61&amp;" Column "&amp;'Worksheet N, OthRev Input'!$F$9</f>
        <v>-Worksheet N, Line 50 Column E</v>
      </c>
      <c r="E24" s="209">
        <f>-'Worksheet N, OthRev Input'!$F$61</f>
        <v>274208.98</v>
      </c>
    </row>
    <row r="25" spans="1:5">
      <c r="A25" s="2">
        <f t="shared" si="0"/>
        <v>13</v>
      </c>
      <c r="B25" s="29"/>
      <c r="C25" s="403" t="s">
        <v>1361</v>
      </c>
      <c r="D25" s="404" t="s">
        <v>37</v>
      </c>
      <c r="E25" s="209">
        <f>SUM(E16:E24)</f>
        <v>9776177.5999999996</v>
      </c>
    </row>
    <row r="26" spans="1:5">
      <c r="B26" s="29"/>
      <c r="C26" s="403"/>
      <c r="D26" s="404"/>
      <c r="E26" s="209"/>
    </row>
    <row r="27" spans="1:5">
      <c r="A27" s="2">
        <f>A25+1</f>
        <v>14</v>
      </c>
      <c r="C27" s="2" t="s">
        <v>54</v>
      </c>
      <c r="D27" s="5" t="str">
        <f>"Line "&amp;A13&amp;" - Line "&amp;A$25</f>
        <v>Line 2 - Line 13</v>
      </c>
      <c r="E27" s="275">
        <f>E13-E25</f>
        <v>4109065.6044387966</v>
      </c>
    </row>
    <row r="29" spans="1:5" ht="30">
      <c r="A29" s="2">
        <f>A27+1</f>
        <v>15</v>
      </c>
      <c r="C29" s="175" t="s">
        <v>55</v>
      </c>
      <c r="D29" s="271" t="str">
        <f>'Worksheet F, Inputs'!$I$1&amp;", Line "&amp;'Worksheet F, Inputs'!A25&amp;" Col "&amp;'Worksheet F, Inputs'!$G$9</f>
        <v>Worksheet F, Line 13 Col G</v>
      </c>
      <c r="E29" s="9">
        <f>'Worksheet F, Inputs'!G25</f>
        <v>0</v>
      </c>
    </row>
    <row r="30" spans="1:5" ht="14.4" thickBot="1">
      <c r="A30" s="2">
        <f t="shared" ref="A30:A31" si="1">A29+1</f>
        <v>16</v>
      </c>
      <c r="C30" s="2" t="s">
        <v>56</v>
      </c>
      <c r="D30" s="271" t="str">
        <f>'Worksheet F, Inputs'!$I$1&amp;", Line "&amp;'Worksheet F, Inputs'!A26&amp;" Col "&amp;'Worksheet F, Inputs'!$G$9</f>
        <v>Worksheet F, Line 14 Col G</v>
      </c>
      <c r="E30" s="9">
        <f>'Worksheet F, Inputs'!G26</f>
        <v>0</v>
      </c>
    </row>
    <row r="31" spans="1:5" ht="16.2" thickBot="1">
      <c r="A31" s="2">
        <f t="shared" si="1"/>
        <v>17</v>
      </c>
      <c r="C31" s="176" t="s">
        <v>57</v>
      </c>
      <c r="E31" s="420">
        <f>SUM(E27:E30)</f>
        <v>4109065.6044387966</v>
      </c>
    </row>
    <row r="33" spans="1:9">
      <c r="A33" s="2">
        <f>A31+1</f>
        <v>18</v>
      </c>
      <c r="B33" s="6"/>
      <c r="C33" s="2" t="s">
        <v>42</v>
      </c>
      <c r="D33" s="353" t="str">
        <f>'Worksheet D, Load'!$F$2&amp;", Line "&amp;'Worksheet D, Load'!$A$25&amp;", Column "&amp;'Worksheet D, Load'!$C$9</f>
        <v>Worksheet D, Line 14, Column C</v>
      </c>
      <c r="E33" s="6">
        <f>'Worksheet D, Load'!$C$25</f>
        <v>1251.8333333333333</v>
      </c>
      <c r="F33" s="4"/>
      <c r="G33" s="4"/>
      <c r="H33" s="4"/>
      <c r="I33" s="4"/>
    </row>
    <row r="35" spans="1:9" ht="15.6">
      <c r="C35" s="174" t="s">
        <v>58</v>
      </c>
    </row>
    <row r="36" spans="1:9">
      <c r="A36" s="2">
        <f>A33+1</f>
        <v>19</v>
      </c>
      <c r="C36" s="2" t="s">
        <v>44</v>
      </c>
      <c r="D36" s="5" t="str">
        <f>"Line "&amp;A31&amp;" / Line "&amp;A$33</f>
        <v>Line 17 / Line 18</v>
      </c>
      <c r="E36" s="389">
        <f>E31/E33</f>
        <v>3282.4382407978674</v>
      </c>
    </row>
    <row r="37" spans="1:9">
      <c r="A37" s="2">
        <f t="shared" ref="A37:A42" si="2">A36+1</f>
        <v>20</v>
      </c>
      <c r="C37" s="2" t="s">
        <v>45</v>
      </c>
      <c r="D37" s="5" t="str">
        <f>"Line "&amp;A$36&amp;" / 12"</f>
        <v>Line 19 / 12</v>
      </c>
      <c r="E37" s="389">
        <f>$E$36/12</f>
        <v>273.53652006648895</v>
      </c>
    </row>
    <row r="38" spans="1:9">
      <c r="A38" s="2">
        <f t="shared" si="2"/>
        <v>21</v>
      </c>
      <c r="C38" s="2" t="s">
        <v>46</v>
      </c>
      <c r="D38" s="5" t="str">
        <f>"Line "&amp;A$36&amp;" / 52"</f>
        <v>Line 19 / 52</v>
      </c>
      <c r="E38" s="389">
        <f>$E$36/52</f>
        <v>63.123812323035914</v>
      </c>
    </row>
    <row r="39" spans="1:9">
      <c r="A39" s="2">
        <f t="shared" si="2"/>
        <v>22</v>
      </c>
      <c r="C39" s="2" t="s">
        <v>47</v>
      </c>
      <c r="D39" s="5" t="str">
        <f>"Line "&amp;A$36&amp;" / 260"</f>
        <v>Line 19 / 260</v>
      </c>
      <c r="E39" s="389">
        <f>$E$36/260</f>
        <v>12.624762464607182</v>
      </c>
    </row>
    <row r="40" spans="1:9">
      <c r="A40" s="2">
        <f t="shared" si="2"/>
        <v>23</v>
      </c>
      <c r="C40" s="2" t="s">
        <v>48</v>
      </c>
      <c r="D40" s="5" t="str">
        <f>"Line "&amp;A$36&amp;" / 365"</f>
        <v>Line 19 / 365</v>
      </c>
      <c r="E40" s="389">
        <f>$E$36/365</f>
        <v>8.992981481637992</v>
      </c>
    </row>
    <row r="41" spans="1:9">
      <c r="A41" s="2">
        <f t="shared" si="2"/>
        <v>24</v>
      </c>
      <c r="C41" s="2" t="s">
        <v>49</v>
      </c>
      <c r="D41" s="5" t="str">
        <f>"Line "&amp;A$36&amp;" / 4160"</f>
        <v>Line 19 / 4160</v>
      </c>
      <c r="E41" s="389">
        <f>$E$36/4160</f>
        <v>0.78904765403794885</v>
      </c>
    </row>
    <row r="42" spans="1:9">
      <c r="A42" s="2">
        <f t="shared" si="2"/>
        <v>25</v>
      </c>
      <c r="C42" s="2" t="s">
        <v>50</v>
      </c>
      <c r="D42" s="5" t="str">
        <f>"Line "&amp;A$36&amp;" / 8760"</f>
        <v>Line 19 / 8760</v>
      </c>
      <c r="E42" s="389">
        <f>$E$36/8760</f>
        <v>0.37470756173491637</v>
      </c>
      <c r="F42" s="23"/>
      <c r="H42" s="23"/>
      <c r="I42" s="23"/>
    </row>
    <row r="43" spans="1:9">
      <c r="F43" s="23"/>
      <c r="G43" s="23"/>
      <c r="H43" s="23"/>
      <c r="I43" s="23"/>
    </row>
    <row r="44" spans="1:9">
      <c r="F44" s="23"/>
      <c r="G44" s="23"/>
      <c r="H44" s="23"/>
      <c r="I44" s="23"/>
    </row>
    <row r="45" spans="1:9">
      <c r="F45" s="23"/>
      <c r="G45" s="23"/>
      <c r="H45" s="23"/>
      <c r="I45" s="23"/>
    </row>
    <row r="46" spans="1:9">
      <c r="F46" s="23"/>
      <c r="G46" s="23"/>
      <c r="H46" s="23"/>
      <c r="I46" s="23"/>
    </row>
    <row r="47" spans="1:9">
      <c r="F47" s="23"/>
      <c r="G47" s="23"/>
      <c r="H47" s="23"/>
      <c r="I47" s="23"/>
    </row>
    <row r="48" spans="1:9">
      <c r="F48" s="23"/>
      <c r="G48" s="23"/>
      <c r="H48" s="23"/>
      <c r="I48" s="23"/>
    </row>
    <row r="49" spans="6:9">
      <c r="F49" s="23"/>
      <c r="G49" s="23"/>
      <c r="H49" s="23"/>
      <c r="I49" s="23"/>
    </row>
    <row r="50" spans="6:9">
      <c r="F50" s="23"/>
      <c r="G50" s="23"/>
      <c r="H50" s="23"/>
      <c r="I50" s="23"/>
    </row>
    <row r="51" spans="6:9">
      <c r="F51" s="23"/>
      <c r="G51" s="23"/>
      <c r="H51" s="23"/>
      <c r="I51" s="23"/>
    </row>
    <row r="52" spans="6:9">
      <c r="F52" s="23"/>
      <c r="G52" s="23"/>
      <c r="H52" s="23"/>
      <c r="I52" s="23"/>
    </row>
  </sheetData>
  <conditionalFormatting sqref="E24:E26">
    <cfRule type="containsErrors" dxfId="9" priority="3">
      <formula>ISERROR(E24)</formula>
    </cfRule>
  </conditionalFormatting>
  <conditionalFormatting sqref="A1:XFD1048576">
    <cfRule type="containsErrors" dxfId="8" priority="1">
      <formula>ISERROR(A1)</formula>
    </cfRule>
  </conditionalFormatting>
  <printOptions horizontalCentered="1"/>
  <pageMargins left="0.7" right="0.7" top="0.75" bottom="0.75" header="0.3" footer="0.3"/>
  <pageSetup scale="82" orientation="landscape" horizontalDpi="1200" verticalDpi="1200" r:id="rId1"/>
  <headerFooter>
    <oddHeader xml:space="preserve">&amp;RPage &amp;P
Revenue Requirements Schedule 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34"/>
  <sheetViews>
    <sheetView topLeftCell="A52" zoomScale="80" zoomScaleNormal="80" workbookViewId="0">
      <selection activeCell="E86" sqref="E86"/>
    </sheetView>
  </sheetViews>
  <sheetFormatPr defaultColWidth="9.19921875" defaultRowHeight="13.8"/>
  <cols>
    <col min="1" max="1" width="2.59765625" style="2" customWidth="1"/>
    <col min="2" max="2" width="8.5" style="2" customWidth="1"/>
    <col min="3" max="3" width="10.09765625" style="2" customWidth="1"/>
    <col min="4" max="4" width="38" style="2" customWidth="1"/>
    <col min="5" max="5" width="37" style="2" bestFit="1" customWidth="1"/>
    <col min="6" max="6" width="15.69921875" style="2" customWidth="1"/>
    <col min="7" max="7" width="18" style="2" customWidth="1"/>
    <col min="8" max="8" width="17.8984375" style="2" customWidth="1"/>
    <col min="9" max="9" width="19" style="2" customWidth="1"/>
    <col min="10" max="10" width="12.8984375" style="2" customWidth="1"/>
    <col min="11" max="12" width="16.69921875" style="2" customWidth="1"/>
    <col min="13" max="13" width="19.19921875" style="2" customWidth="1"/>
    <col min="14" max="14" width="20.5" style="2" customWidth="1"/>
    <col min="15" max="15" width="13.5" style="2" customWidth="1"/>
    <col min="16" max="16" width="15.59765625" style="2" customWidth="1"/>
    <col min="17" max="17" width="14.8984375" style="2" customWidth="1"/>
    <col min="18" max="16384" width="9.19921875" style="2"/>
  </cols>
  <sheetData>
    <row r="1" spans="1:14">
      <c r="M1" s="177"/>
    </row>
    <row r="2" spans="1:14">
      <c r="N2" s="177" t="s">
        <v>1315</v>
      </c>
    </row>
    <row r="4" spans="1:14" ht="17.399999999999999">
      <c r="A4" s="358" t="str">
        <f>Index!B4</f>
        <v>Western Farmers Electric Cooperative, Inc.</v>
      </c>
    </row>
    <row r="5" spans="1:14" ht="17.399999999999999">
      <c r="A5" s="357"/>
      <c r="N5" s="177"/>
    </row>
    <row r="6" spans="1:14" ht="17.399999999999999">
      <c r="A6" s="358" t="s">
        <v>59</v>
      </c>
    </row>
    <row r="7" spans="1:14" ht="17.399999999999999">
      <c r="A7" s="358" t="str">
        <f>'Summary ATRR'!$B$7</f>
        <v>Year Ending December 31, 2016</v>
      </c>
    </row>
    <row r="9" spans="1:14">
      <c r="B9" s="17" t="s">
        <v>3</v>
      </c>
      <c r="C9" s="17" t="s">
        <v>4</v>
      </c>
      <c r="D9" s="17" t="s">
        <v>5</v>
      </c>
      <c r="E9" s="17" t="s">
        <v>9</v>
      </c>
      <c r="F9" s="17" t="s">
        <v>10</v>
      </c>
      <c r="G9" s="17" t="s">
        <v>11</v>
      </c>
      <c r="H9" s="17" t="s">
        <v>12</v>
      </c>
      <c r="I9" s="17" t="s">
        <v>13</v>
      </c>
      <c r="J9" s="17" t="s">
        <v>14</v>
      </c>
      <c r="K9" s="17" t="s">
        <v>15</v>
      </c>
      <c r="L9" s="17" t="s">
        <v>60</v>
      </c>
      <c r="M9" s="17" t="s">
        <v>422</v>
      </c>
    </row>
    <row r="10" spans="1:14" ht="27.6">
      <c r="B10" s="201" t="s">
        <v>16</v>
      </c>
      <c r="C10" s="201" t="s">
        <v>198</v>
      </c>
      <c r="D10" s="201" t="s">
        <v>7</v>
      </c>
      <c r="E10" s="201" t="s">
        <v>17</v>
      </c>
      <c r="F10" s="201" t="s">
        <v>61</v>
      </c>
      <c r="G10" s="201" t="s">
        <v>62</v>
      </c>
      <c r="H10" s="201" t="s">
        <v>18</v>
      </c>
      <c r="I10" s="201" t="s">
        <v>20</v>
      </c>
      <c r="J10" s="201" t="s">
        <v>1384</v>
      </c>
      <c r="K10" s="201" t="s">
        <v>63</v>
      </c>
      <c r="L10" s="201" t="s">
        <v>1385</v>
      </c>
      <c r="M10" s="201" t="s">
        <v>1356</v>
      </c>
    </row>
    <row r="11" spans="1:14">
      <c r="B11" s="6">
        <v>1</v>
      </c>
      <c r="C11" s="7"/>
      <c r="D11" s="267" t="s">
        <v>64</v>
      </c>
      <c r="E11" s="327"/>
      <c r="F11" s="86"/>
      <c r="G11" s="86"/>
      <c r="H11" s="329"/>
      <c r="I11" s="329"/>
      <c r="J11" s="329"/>
      <c r="K11" s="329"/>
      <c r="L11" s="329"/>
    </row>
    <row r="12" spans="1:14">
      <c r="B12" s="6">
        <f>B11+1</f>
        <v>2</v>
      </c>
      <c r="C12" s="7" t="s">
        <v>65</v>
      </c>
      <c r="D12" s="274" t="s">
        <v>66</v>
      </c>
      <c r="E12" s="111" t="str">
        <f>'Worksheet F, Inputs'!$I$1&amp;" Line "&amp;'Worksheet F, Inputs'!A102&amp;", Columns "&amp;'Worksheet F, Inputs'!$E$9&amp;" thru "&amp;'Worksheet F, Inputs'!$G$9</f>
        <v>Worksheet F Line 77, Columns E thru G</v>
      </c>
      <c r="F12" s="346">
        <f>'Worksheet F, Inputs'!E102</f>
        <v>1838530</v>
      </c>
      <c r="G12" s="346">
        <f>'Worksheet F, Inputs'!F102</f>
        <v>1838530</v>
      </c>
      <c r="H12" s="346">
        <f>'Worksheet F, Inputs'!G102</f>
        <v>1838530</v>
      </c>
      <c r="I12" s="339" t="s">
        <v>1304</v>
      </c>
      <c r="J12" s="336">
        <f>'Worksheet E, Alloc. Factor'!F18</f>
        <v>0.15822150820240288</v>
      </c>
      <c r="K12" s="9">
        <f>J12*H12</f>
        <v>290894.98947536375</v>
      </c>
      <c r="L12" s="336">
        <f>'Worksheet E, Alloc. Factor'!$G$18</f>
        <v>7.7545263397598346E-2</v>
      </c>
      <c r="M12" s="9">
        <f>H12*L12</f>
        <v>142569.2931143865</v>
      </c>
    </row>
    <row r="13" spans="1:14">
      <c r="B13" s="6"/>
      <c r="C13" s="7"/>
      <c r="D13" s="274"/>
      <c r="E13" s="111"/>
      <c r="F13" s="346"/>
      <c r="G13" s="346"/>
      <c r="H13" s="346"/>
      <c r="I13" s="339"/>
      <c r="J13" s="336"/>
      <c r="K13" s="9"/>
      <c r="L13" s="461"/>
      <c r="M13" s="4"/>
    </row>
    <row r="14" spans="1:14">
      <c r="B14" s="6">
        <f>B12+1</f>
        <v>3</v>
      </c>
      <c r="C14" s="15">
        <v>310</v>
      </c>
      <c r="D14" s="8" t="s">
        <v>67</v>
      </c>
      <c r="E14" s="111" t="str">
        <f>'Worksheet F, Inputs'!$I$1&amp;" Line "&amp;'Worksheet F, Inputs'!A104&amp;", Columns "&amp;'Worksheet F, Inputs'!$E$9&amp;" thru "&amp;'Worksheet F, Inputs'!$G$9</f>
        <v>Worksheet F Line 78, Columns E thru G</v>
      </c>
      <c r="F14" s="346">
        <f>'Worksheet F, Inputs'!E104</f>
        <v>543604916</v>
      </c>
      <c r="G14" s="346">
        <f>'Worksheet F, Inputs'!F104</f>
        <v>564122204</v>
      </c>
      <c r="H14" s="346">
        <f>'Worksheet F, Inputs'!G104</f>
        <v>553863560</v>
      </c>
      <c r="I14" s="339" t="s">
        <v>29</v>
      </c>
      <c r="J14" s="336">
        <f>'Worksheet E, Alloc. Factor'!F40</f>
        <v>0</v>
      </c>
      <c r="K14" s="9">
        <f>J14*H14</f>
        <v>0</v>
      </c>
      <c r="L14" s="461"/>
      <c r="M14" s="4"/>
    </row>
    <row r="15" spans="1:14">
      <c r="B15" s="6">
        <f>B14+1</f>
        <v>4</v>
      </c>
      <c r="C15" s="15">
        <v>320</v>
      </c>
      <c r="D15" s="8" t="s">
        <v>68</v>
      </c>
      <c r="E15" s="111" t="str">
        <f>'Worksheet F, Inputs'!$I$1&amp;" Line "&amp;'Worksheet F, Inputs'!A105&amp;", Columns "&amp;'Worksheet F, Inputs'!$E$9&amp;" thru "&amp;'Worksheet F, Inputs'!$G$9</f>
        <v>Worksheet F Line 79, Columns E thru G</v>
      </c>
      <c r="F15" s="346">
        <f>'Worksheet F, Inputs'!E105</f>
        <v>0</v>
      </c>
      <c r="G15" s="346">
        <f>'Worksheet F, Inputs'!F105</f>
        <v>0</v>
      </c>
      <c r="H15" s="346">
        <f>'Worksheet F, Inputs'!G105</f>
        <v>0</v>
      </c>
      <c r="I15" s="339" t="s">
        <v>29</v>
      </c>
      <c r="J15" s="336">
        <f>'Worksheet E, Alloc. Factor'!F40</f>
        <v>0</v>
      </c>
      <c r="K15" s="9">
        <f>J15*H15</f>
        <v>0</v>
      </c>
      <c r="L15" s="461"/>
      <c r="M15" s="4"/>
    </row>
    <row r="16" spans="1:14">
      <c r="B16" s="6">
        <f>B15+1</f>
        <v>5</v>
      </c>
      <c r="C16" s="15">
        <v>330</v>
      </c>
      <c r="D16" s="8" t="s">
        <v>69</v>
      </c>
      <c r="E16" s="111" t="str">
        <f>'Worksheet F, Inputs'!$I$1&amp;" Line "&amp;'Worksheet F, Inputs'!A106&amp;", Columns "&amp;'Worksheet F, Inputs'!$E$9&amp;" thru "&amp;'Worksheet F, Inputs'!$G$9</f>
        <v>Worksheet F Line 80, Columns E thru G</v>
      </c>
      <c r="F16" s="346">
        <f>'Worksheet F, Inputs'!E106</f>
        <v>0</v>
      </c>
      <c r="G16" s="346">
        <f>'Worksheet F, Inputs'!F106</f>
        <v>0</v>
      </c>
      <c r="H16" s="346">
        <f>'Worksheet F, Inputs'!G106</f>
        <v>0</v>
      </c>
      <c r="I16" s="339" t="s">
        <v>29</v>
      </c>
      <c r="J16" s="336">
        <f>'Worksheet E, Alloc. Factor'!F40</f>
        <v>0</v>
      </c>
      <c r="K16" s="9">
        <f>J16*H16</f>
        <v>0</v>
      </c>
      <c r="L16" s="461"/>
      <c r="M16" s="4"/>
    </row>
    <row r="17" spans="1:17">
      <c r="B17" s="6">
        <f>B16+1</f>
        <v>6</v>
      </c>
      <c r="C17" s="15">
        <v>340</v>
      </c>
      <c r="D17" s="8" t="s">
        <v>70</v>
      </c>
      <c r="E17" s="111" t="str">
        <f>'Worksheet F, Inputs'!$I$1&amp;" Line "&amp;'Worksheet F, Inputs'!A107&amp;", Columns "&amp;'Worksheet F, Inputs'!$E$9&amp;" thru "&amp;'Worksheet F, Inputs'!$G$9</f>
        <v>Worksheet F Line 81, Columns E thru G</v>
      </c>
      <c r="F17" s="346">
        <f>'Worksheet F, Inputs'!E107</f>
        <v>328283635</v>
      </c>
      <c r="G17" s="346">
        <f>'Worksheet F, Inputs'!F107</f>
        <v>328605925</v>
      </c>
      <c r="H17" s="346">
        <f>'Worksheet F, Inputs'!G107</f>
        <v>328444780</v>
      </c>
      <c r="I17" s="339" t="s">
        <v>29</v>
      </c>
      <c r="J17" s="336">
        <f>'Worksheet E, Alloc. Factor'!F40</f>
        <v>0</v>
      </c>
      <c r="K17" s="9">
        <f>J17*H17</f>
        <v>0</v>
      </c>
      <c r="L17" s="461"/>
      <c r="M17" s="4"/>
    </row>
    <row r="18" spans="1:17">
      <c r="B18" s="6">
        <f>B17+1</f>
        <v>7</v>
      </c>
      <c r="C18" s="15"/>
      <c r="D18" s="274" t="s">
        <v>71</v>
      </c>
      <c r="E18" s="111" t="s">
        <v>37</v>
      </c>
      <c r="F18" s="346">
        <f>SUM(F14:F17)</f>
        <v>871888551</v>
      </c>
      <c r="G18" s="346">
        <f>SUM(G14:G17)</f>
        <v>892728129</v>
      </c>
      <c r="H18" s="346">
        <f>SUM(H14:H17)</f>
        <v>882308340</v>
      </c>
      <c r="I18" s="339"/>
      <c r="J18" s="336">
        <f>K18/H18</f>
        <v>0</v>
      </c>
      <c r="K18" s="346">
        <f>SUM(K14:K17)</f>
        <v>0</v>
      </c>
      <c r="L18" s="478"/>
      <c r="M18" s="4"/>
      <c r="O18" s="306"/>
    </row>
    <row r="19" spans="1:17">
      <c r="B19" s="6"/>
      <c r="C19" s="15"/>
      <c r="D19" s="274"/>
      <c r="E19" s="20"/>
      <c r="F19" s="346"/>
      <c r="G19" s="346"/>
      <c r="H19" s="9"/>
      <c r="I19" s="339"/>
      <c r="J19" s="336"/>
      <c r="K19" s="9"/>
      <c r="L19" s="461"/>
      <c r="M19" s="4"/>
      <c r="O19" s="306"/>
    </row>
    <row r="20" spans="1:17">
      <c r="B20" s="6">
        <f>B18+1</f>
        <v>8</v>
      </c>
      <c r="C20" s="15">
        <v>350</v>
      </c>
      <c r="D20" s="274" t="s">
        <v>72</v>
      </c>
      <c r="E20" s="111" t="str">
        <f>'Worksheet F, Inputs'!$I$1&amp;" Line "&amp;'Worksheet F, Inputs'!A110&amp;", Columns "&amp;'Worksheet F, Inputs'!$E$9&amp;" thru "&amp;'Worksheet F, Inputs'!$G$9</f>
        <v>Worksheet F Line 83, Columns E thru G</v>
      </c>
      <c r="F20" s="346">
        <f>'Worksheet F, Inputs'!E110</f>
        <v>26406560</v>
      </c>
      <c r="G20" s="346">
        <f>'Worksheet F, Inputs'!F110</f>
        <v>31100222</v>
      </c>
      <c r="H20" s="346">
        <f>'Worksheet F, Inputs'!G110</f>
        <v>28753391</v>
      </c>
      <c r="I20" s="339" t="s">
        <v>73</v>
      </c>
      <c r="J20" s="336">
        <f>'Worksheet E, Alloc. Factor'!F23</f>
        <v>0.92886999999999997</v>
      </c>
      <c r="K20" s="9">
        <f>J20*H20</f>
        <v>26708162.29817</v>
      </c>
      <c r="L20" s="461"/>
      <c r="M20" s="4"/>
    </row>
    <row r="21" spans="1:17">
      <c r="A21" s="6"/>
      <c r="B21" s="6">
        <f t="shared" ref="B21:B66" si="0">B20+1</f>
        <v>9</v>
      </c>
      <c r="C21" s="15">
        <v>352</v>
      </c>
      <c r="D21" s="2" t="s">
        <v>74</v>
      </c>
      <c r="E21" s="111" t="str">
        <f>'Worksheet F, Inputs'!$I$1&amp;" Line "&amp;'Worksheet F, Inputs'!A111&amp;", Columns "&amp;'Worksheet F, Inputs'!$E$9&amp;" thru "&amp;'Worksheet F, Inputs'!$G$9</f>
        <v>Worksheet F Line 84, Columns E thru G</v>
      </c>
      <c r="F21" s="321">
        <f>'Worksheet F, Inputs'!E111</f>
        <v>3405</v>
      </c>
      <c r="G21" s="321">
        <f>'Worksheet F, Inputs'!F111</f>
        <v>3405</v>
      </c>
      <c r="H21" s="321">
        <f>'Worksheet F, Inputs'!G111</f>
        <v>3405</v>
      </c>
      <c r="I21" s="339" t="s">
        <v>73</v>
      </c>
      <c r="J21" s="336">
        <f>'Worksheet E, Alloc. Factor'!F23</f>
        <v>0.92886999999999997</v>
      </c>
      <c r="K21" s="9">
        <f>J21*H21</f>
        <v>3162.8023499999999</v>
      </c>
      <c r="L21" s="461"/>
      <c r="M21" s="4"/>
    </row>
    <row r="22" spans="1:17">
      <c r="B22" s="6">
        <f t="shared" si="0"/>
        <v>10</v>
      </c>
      <c r="C22" s="15">
        <v>353</v>
      </c>
      <c r="D22" s="2" t="s">
        <v>75</v>
      </c>
      <c r="E22" s="111" t="str">
        <f>'Worksheet F, Inputs'!$I$1&amp;" Line "&amp;'Worksheet F, Inputs'!A112&amp;", Columns "&amp;'Worksheet F, Inputs'!$E$9&amp;" thru "&amp;'Worksheet F, Inputs'!$G$9</f>
        <v>Worksheet F Line 85, Columns E thru G</v>
      </c>
      <c r="F22" s="321">
        <f>'Worksheet F, Inputs'!E112</f>
        <v>103067984</v>
      </c>
      <c r="G22" s="321">
        <f>'Worksheet F, Inputs'!F112</f>
        <v>113900493</v>
      </c>
      <c r="H22" s="321">
        <f>'Worksheet F, Inputs'!G112</f>
        <v>108484238.5</v>
      </c>
      <c r="I22" s="339" t="s">
        <v>73</v>
      </c>
      <c r="J22" s="336">
        <f>'Worksheet E, Alloc. Factor'!F23</f>
        <v>0.92886999999999997</v>
      </c>
      <c r="K22" s="9">
        <f>J22*H22</f>
        <v>100767754.615495</v>
      </c>
      <c r="L22" s="461"/>
      <c r="M22" s="4"/>
      <c r="O22" s="306"/>
      <c r="P22" s="9"/>
      <c r="Q22" s="9"/>
    </row>
    <row r="23" spans="1:17">
      <c r="B23" s="6">
        <f t="shared" si="0"/>
        <v>11</v>
      </c>
      <c r="C23" s="7" t="s">
        <v>76</v>
      </c>
      <c r="D23" s="274" t="s">
        <v>77</v>
      </c>
      <c r="E23" s="111" t="str">
        <f>'Worksheet F, Inputs'!$I$1&amp;" Line "&amp;'Worksheet F, Inputs'!A113&amp;", Columns "&amp;'Worksheet F, Inputs'!$E$9&amp;" thru "&amp;'Worksheet F, Inputs'!$G$9</f>
        <v>Worksheet F Line 86, Columns E thru G</v>
      </c>
      <c r="F23" s="346">
        <f>'Worksheet F, Inputs'!E113</f>
        <v>245326781</v>
      </c>
      <c r="G23" s="346">
        <f>'Worksheet F, Inputs'!F113</f>
        <v>283147689</v>
      </c>
      <c r="H23" s="346">
        <f>'Worksheet F, Inputs'!G113</f>
        <v>264237235</v>
      </c>
      <c r="I23" s="4" t="s">
        <v>78</v>
      </c>
      <c r="J23" s="336">
        <f>'Worksheet E, Alloc. Factor'!F30</f>
        <v>0.78673719871107473</v>
      </c>
      <c r="K23" s="9">
        <f>J23*H23</f>
        <v>207885262.05905995</v>
      </c>
      <c r="L23" s="461"/>
      <c r="M23" s="4"/>
      <c r="O23" s="306"/>
      <c r="P23" s="9"/>
      <c r="Q23" s="9"/>
    </row>
    <row r="24" spans="1:17">
      <c r="B24" s="6">
        <f t="shared" si="0"/>
        <v>12</v>
      </c>
      <c r="C24" s="7"/>
      <c r="D24" s="274" t="s">
        <v>79</v>
      </c>
      <c r="E24" s="20" t="s">
        <v>80</v>
      </c>
      <c r="F24" s="346">
        <f>SUM(F20:F23)</f>
        <v>374804730</v>
      </c>
      <c r="G24" s="346">
        <f>SUM(G20:G23)</f>
        <v>428151809</v>
      </c>
      <c r="H24" s="346">
        <f>SUM(H20:H23)</f>
        <v>401478269.5</v>
      </c>
      <c r="I24" s="4"/>
      <c r="J24" s="336">
        <f>K24/H24</f>
        <v>0.83532377030701277</v>
      </c>
      <c r="K24" s="9">
        <f>SUM(K20:K23)</f>
        <v>335364341.77507496</v>
      </c>
      <c r="L24" s="461"/>
      <c r="M24" s="4"/>
      <c r="O24" s="306"/>
      <c r="P24" s="9"/>
      <c r="Q24" s="9"/>
    </row>
    <row r="25" spans="1:17">
      <c r="B25" s="6"/>
      <c r="C25" s="7"/>
      <c r="D25" s="274"/>
      <c r="E25" s="20"/>
      <c r="F25" s="346"/>
      <c r="G25" s="346"/>
      <c r="H25" s="9"/>
      <c r="I25" s="4"/>
      <c r="J25" s="336"/>
      <c r="K25" s="9"/>
      <c r="L25" s="461"/>
      <c r="M25" s="4"/>
      <c r="O25" s="306"/>
      <c r="P25" s="9"/>
      <c r="Q25" s="9"/>
    </row>
    <row r="26" spans="1:17">
      <c r="B26" s="6">
        <f>B24+1</f>
        <v>13</v>
      </c>
      <c r="C26" s="15">
        <v>360</v>
      </c>
      <c r="D26" s="8" t="s">
        <v>72</v>
      </c>
      <c r="E26" s="111" t="str">
        <f>'Worksheet F, Inputs'!$I$1&amp;" Line "&amp;'Worksheet F, Inputs'!A116&amp;", Columns "&amp;'Worksheet F, Inputs'!$E$9&amp;" thru "&amp;'Worksheet F, Inputs'!$G$9</f>
        <v>Worksheet F Line 88, Columns E thru G</v>
      </c>
      <c r="F26" s="346">
        <f>'Worksheet F, Inputs'!E116</f>
        <v>2616453</v>
      </c>
      <c r="G26" s="346">
        <f>'Worksheet F, Inputs'!F116</f>
        <v>3003190</v>
      </c>
      <c r="H26" s="9">
        <f>'Worksheet F, Inputs'!G116</f>
        <v>2809821.5</v>
      </c>
      <c r="I26" s="339" t="s">
        <v>29</v>
      </c>
      <c r="J26" s="336">
        <f>'Worksheet E, Alloc. Factor'!F40</f>
        <v>0</v>
      </c>
      <c r="K26" s="9">
        <f>J26*H26</f>
        <v>0</v>
      </c>
      <c r="L26" s="461"/>
      <c r="M26" s="4"/>
      <c r="O26" s="306"/>
      <c r="P26" s="9"/>
      <c r="Q26" s="9"/>
    </row>
    <row r="27" spans="1:17">
      <c r="B27" s="6">
        <f>B26+1</f>
        <v>14</v>
      </c>
      <c r="C27" s="15">
        <v>361</v>
      </c>
      <c r="D27" s="8" t="s">
        <v>74</v>
      </c>
      <c r="E27" s="111" t="str">
        <f>'Worksheet F, Inputs'!$I$1&amp;" Line "&amp;'Worksheet F, Inputs'!A117&amp;", Columns "&amp;'Worksheet F, Inputs'!$E$9&amp;" thru "&amp;'Worksheet F, Inputs'!$G$9</f>
        <v>Worksheet F Line 89, Columns E thru G</v>
      </c>
      <c r="F27" s="346">
        <f>'Worksheet F, Inputs'!E117</f>
        <v>0</v>
      </c>
      <c r="G27" s="346">
        <f>'Worksheet F, Inputs'!F117</f>
        <v>0</v>
      </c>
      <c r="H27" s="9">
        <f>'Worksheet F, Inputs'!G117</f>
        <v>0</v>
      </c>
      <c r="I27" s="339" t="s">
        <v>29</v>
      </c>
      <c r="J27" s="336">
        <f>'Worksheet E, Alloc. Factor'!F40</f>
        <v>0</v>
      </c>
      <c r="K27" s="9">
        <f>J27*H27</f>
        <v>0</v>
      </c>
      <c r="L27" s="461"/>
      <c r="M27" s="4"/>
      <c r="O27" s="306"/>
      <c r="P27" s="9"/>
      <c r="Q27" s="9"/>
    </row>
    <row r="28" spans="1:17">
      <c r="B28" s="6">
        <f t="shared" ref="B28:B30" si="1">B27+1</f>
        <v>15</v>
      </c>
      <c r="C28" s="15">
        <v>362</v>
      </c>
      <c r="D28" s="8" t="s">
        <v>75</v>
      </c>
      <c r="E28" s="111" t="str">
        <f>'Worksheet F, Inputs'!$I$1&amp;" Line "&amp;'Worksheet F, Inputs'!A118&amp;", Columns "&amp;'Worksheet F, Inputs'!$E$9&amp;" thru "&amp;'Worksheet F, Inputs'!$G$9</f>
        <v>Worksheet F Line 90, Columns E thru G</v>
      </c>
      <c r="F28" s="346">
        <f>'Worksheet F, Inputs'!E118</f>
        <v>162544945</v>
      </c>
      <c r="G28" s="346">
        <f>'Worksheet F, Inputs'!F118</f>
        <v>184332665</v>
      </c>
      <c r="H28" s="9">
        <f>'Worksheet F, Inputs'!G118</f>
        <v>173438805</v>
      </c>
      <c r="I28" s="339" t="s">
        <v>29</v>
      </c>
      <c r="J28" s="336">
        <f>'Worksheet E, Alloc. Factor'!F40</f>
        <v>0</v>
      </c>
      <c r="K28" s="9">
        <f>J28*H28</f>
        <v>0</v>
      </c>
      <c r="L28" s="461"/>
      <c r="M28" s="4"/>
      <c r="O28" s="306"/>
      <c r="P28" s="9"/>
      <c r="Q28" s="9"/>
    </row>
    <row r="29" spans="1:17">
      <c r="B29" s="6">
        <f t="shared" si="1"/>
        <v>16</v>
      </c>
      <c r="C29" s="7" t="s">
        <v>81</v>
      </c>
      <c r="D29" s="8" t="s">
        <v>82</v>
      </c>
      <c r="E29" s="111" t="str">
        <f>'Worksheet F, Inputs'!$I$1&amp;" Line "&amp;'Worksheet F, Inputs'!A119&amp;", Columns "&amp;'Worksheet F, Inputs'!$E$9&amp;" thru "&amp;'Worksheet F, Inputs'!$G$9</f>
        <v>Worksheet F Line 91, Columns E thru G</v>
      </c>
      <c r="F29" s="346">
        <f>'Worksheet F, Inputs'!E119</f>
        <v>1171781</v>
      </c>
      <c r="G29" s="346">
        <f>'Worksheet F, Inputs'!F119</f>
        <v>1171781</v>
      </c>
      <c r="H29" s="9">
        <f>'Worksheet F, Inputs'!G119</f>
        <v>1171781</v>
      </c>
      <c r="I29" s="339" t="s">
        <v>29</v>
      </c>
      <c r="J29" s="336">
        <f>'Worksheet E, Alloc. Factor'!F40</f>
        <v>0</v>
      </c>
      <c r="K29" s="9">
        <f>J29*H29</f>
        <v>0</v>
      </c>
      <c r="L29" s="461"/>
      <c r="M29" s="4"/>
      <c r="O29" s="306"/>
      <c r="P29" s="9"/>
      <c r="Q29" s="9"/>
    </row>
    <row r="30" spans="1:17">
      <c r="B30" s="6">
        <f t="shared" si="1"/>
        <v>17</v>
      </c>
      <c r="C30" s="7"/>
      <c r="D30" s="274" t="s">
        <v>83</v>
      </c>
      <c r="E30" s="111" t="s">
        <v>37</v>
      </c>
      <c r="F30" s="346">
        <f>SUM(F26:F29)</f>
        <v>166333179</v>
      </c>
      <c r="G30" s="346">
        <f>SUM(G26:G29)</f>
        <v>188507636</v>
      </c>
      <c r="H30" s="346">
        <f>SUM(H26:H29)</f>
        <v>177420407.5</v>
      </c>
      <c r="I30" s="339"/>
      <c r="J30" s="336">
        <f>K30/H30</f>
        <v>0</v>
      </c>
      <c r="K30" s="346">
        <f>SUM(K26:K29)</f>
        <v>0</v>
      </c>
      <c r="L30" s="478"/>
      <c r="M30" s="4"/>
      <c r="O30" s="306"/>
      <c r="P30" s="9"/>
      <c r="Q30" s="9"/>
    </row>
    <row r="31" spans="1:17">
      <c r="B31" s="6"/>
      <c r="C31" s="7"/>
      <c r="D31" s="274"/>
      <c r="E31" s="111"/>
      <c r="F31" s="346"/>
      <c r="G31" s="346"/>
      <c r="H31" s="346"/>
      <c r="I31" s="339"/>
      <c r="J31" s="336"/>
      <c r="K31" s="9"/>
      <c r="L31" s="461"/>
      <c r="M31" s="4"/>
      <c r="O31" s="306"/>
      <c r="P31" s="9"/>
      <c r="Q31" s="9"/>
    </row>
    <row r="32" spans="1:17">
      <c r="B32" s="6">
        <f>B30+1</f>
        <v>18</v>
      </c>
      <c r="C32" s="7" t="s">
        <v>84</v>
      </c>
      <c r="D32" s="274" t="str">
        <f>'Worksheet F, Inputs'!C122</f>
        <v>RTO/ISO Plant</v>
      </c>
      <c r="E32" s="111" t="str">
        <f>CONCATENATE('Worksheet F, Inputs'!$I$1,", Line ",'Worksheet F, Inputs'!A122,", Columns "&amp;'Worksheet F, Inputs'!$E$9&amp;" thru "&amp;'Worksheet F, Inputs'!$G$9)</f>
        <v>Worksheet F, Line 93, Columns E thru G</v>
      </c>
      <c r="F32" s="346">
        <f>'Worksheet F, Inputs'!E122</f>
        <v>0</v>
      </c>
      <c r="G32" s="346">
        <f>'Worksheet F, Inputs'!F122</f>
        <v>0</v>
      </c>
      <c r="H32" s="346">
        <f>'Worksheet F, Inputs'!G122</f>
        <v>0</v>
      </c>
      <c r="I32" s="4" t="s">
        <v>35</v>
      </c>
      <c r="J32" s="336">
        <f>'Worksheet E, Alloc. Factor'!F41</f>
        <v>1</v>
      </c>
      <c r="K32" s="9">
        <f>J32*H32</f>
        <v>0</v>
      </c>
      <c r="L32" s="461"/>
      <c r="M32" s="4"/>
      <c r="O32" s="306"/>
      <c r="P32" s="9"/>
      <c r="Q32" s="9"/>
    </row>
    <row r="33" spans="2:17">
      <c r="B33" s="6">
        <f t="shared" si="0"/>
        <v>19</v>
      </c>
      <c r="C33" s="7" t="s">
        <v>85</v>
      </c>
      <c r="D33" s="274" t="s">
        <v>86</v>
      </c>
      <c r="E33" s="111" t="str">
        <f>CONCATENATE('Worksheet F, Inputs'!$I$1,", Line ",'Worksheet F, Inputs'!A123,", Columns "&amp;'Worksheet F, Inputs'!$E$9&amp;" thru "&amp;'Worksheet F, Inputs'!$G$9)</f>
        <v>Worksheet F, Line 94, Columns E thru G</v>
      </c>
      <c r="F33" s="346">
        <f>'Worksheet F, Inputs'!E123</f>
        <v>87689753</v>
      </c>
      <c r="G33" s="346">
        <f>'Worksheet F, Inputs'!F123</f>
        <v>93180094</v>
      </c>
      <c r="H33" s="346">
        <f>'Worksheet F, Inputs'!G123</f>
        <v>90434923.5</v>
      </c>
      <c r="I33" s="339" t="s">
        <v>1304</v>
      </c>
      <c r="J33" s="336">
        <f>'Worksheet E, Alloc. Factor'!F18</f>
        <v>0.15822150820240288</v>
      </c>
      <c r="K33" s="9">
        <f>J33*H33</f>
        <v>14308749.990338927</v>
      </c>
      <c r="L33" s="336">
        <f>'Worksheet E, Alloc. Factor'!$G$18</f>
        <v>7.7545263397598346E-2</v>
      </c>
      <c r="M33" s="9">
        <f>H33*L33</f>
        <v>7012799.9631491564</v>
      </c>
      <c r="O33" s="306"/>
      <c r="P33" s="9"/>
      <c r="Q33" s="9"/>
    </row>
    <row r="34" spans="2:17">
      <c r="B34" s="6">
        <f t="shared" si="0"/>
        <v>20</v>
      </c>
      <c r="C34" s="7"/>
      <c r="D34" s="274" t="s">
        <v>87</v>
      </c>
      <c r="E34" s="20" t="s">
        <v>37</v>
      </c>
      <c r="F34" s="346">
        <f>SUM(F12, F18,F24,F30:F33)</f>
        <v>1502554743</v>
      </c>
      <c r="G34" s="346">
        <f>SUM(G12, G18,G24,G30:G33)</f>
        <v>1604406198</v>
      </c>
      <c r="H34" s="346">
        <f>SUM(H12, H18,H24,H30:H33)</f>
        <v>1553480470.5</v>
      </c>
      <c r="I34" s="339"/>
      <c r="J34" s="336">
        <f>K34/H34</f>
        <v>0.22527736485946975</v>
      </c>
      <c r="K34" s="346">
        <f>SUM(K12, K18,K24,K30:K33)</f>
        <v>349963986.75488925</v>
      </c>
      <c r="L34" s="478"/>
      <c r="M34" s="346">
        <f>SUM(M12, M18,M24,M30:M33)</f>
        <v>7155369.2562635429</v>
      </c>
      <c r="O34" s="306"/>
      <c r="P34" s="9"/>
      <c r="Q34" s="9"/>
    </row>
    <row r="35" spans="2:17">
      <c r="B35" s="6"/>
      <c r="C35" s="7"/>
      <c r="D35" s="274"/>
      <c r="E35" s="20"/>
      <c r="F35" s="346"/>
      <c r="G35" s="346"/>
      <c r="H35" s="9"/>
      <c r="I35" s="339"/>
      <c r="J35" s="336"/>
      <c r="K35" s="9"/>
      <c r="L35" s="461"/>
      <c r="M35" s="4"/>
      <c r="O35" s="306"/>
      <c r="P35" s="9"/>
      <c r="Q35" s="9"/>
    </row>
    <row r="36" spans="2:17" ht="27.6">
      <c r="B36" s="6">
        <f>B34+1</f>
        <v>21</v>
      </c>
      <c r="C36" s="15">
        <v>105</v>
      </c>
      <c r="D36" s="274" t="s">
        <v>88</v>
      </c>
      <c r="E36" s="308" t="str">
        <f>CONCATENATE('Worksheet F, Inputs'!$I$1,", Line ",'Worksheet F, Inputs'!A128," Col ",'Worksheet F, Inputs'!$E$9&amp;" thru "&amp;'Worksheet F, Inputs'!$G$9)&amp;CHAR(10)&amp;" and "&amp;'Worksheet Q, Future Use'!$I$2&amp;", Line "&amp;'Worksheet Q, Future Use'!$A$24&amp;", Col "&amp;'Worksheet Q, Future Use'!$G$9</f>
        <v>Worksheet F, Line 98 Col E thru G
 and Worksheet Q, Line 14, Col G</v>
      </c>
      <c r="F36" s="346">
        <f>'Worksheet F, Inputs'!E128</f>
        <v>0</v>
      </c>
      <c r="G36" s="346">
        <f>'Worksheet F, Inputs'!F128</f>
        <v>0</v>
      </c>
      <c r="H36" s="346">
        <f>'Worksheet F, Inputs'!G128</f>
        <v>0</v>
      </c>
      <c r="I36" s="339" t="s">
        <v>1287</v>
      </c>
      <c r="J36" s="336"/>
      <c r="K36" s="82">
        <f>'Worksheet Q, Future Use'!$G$24</f>
        <v>0</v>
      </c>
      <c r="L36" s="479"/>
      <c r="M36" s="4"/>
      <c r="O36" s="306"/>
      <c r="P36" s="9"/>
      <c r="Q36" s="9"/>
    </row>
    <row r="37" spans="2:17" ht="27.6">
      <c r="B37" s="6">
        <f t="shared" si="0"/>
        <v>22</v>
      </c>
      <c r="C37" s="15">
        <v>106</v>
      </c>
      <c r="D37" s="274" t="s">
        <v>89</v>
      </c>
      <c r="E37" s="308" t="str">
        <f>CONCATENATE('Worksheet F, Inputs'!$I$1,", Line ",'Worksheet F, Inputs'!A129," Col ",'Worksheet F, Inputs'!$E$9&amp;" thru "&amp;'Worksheet F, Inputs'!$G$9)&amp;CHAR(10)&amp;" And "&amp;'Worksheet P, CCnC'!$J$3&amp;", Line "&amp;'Worksheet P, CCnC'!$A$50&amp;", Col "&amp;'Worksheet P, CCnC'!$F$9</f>
        <v>Worksheet F, Line 99 Col E thru G
 And Worksheet P, Line 39, Col F</v>
      </c>
      <c r="F37" s="346">
        <f>'Worksheet F, Inputs'!E129</f>
        <v>72801152</v>
      </c>
      <c r="G37" s="346">
        <f>'Worksheet F, Inputs'!F129</f>
        <v>23167102</v>
      </c>
      <c r="H37" s="346">
        <f>'Worksheet F, Inputs'!G129</f>
        <v>47984127</v>
      </c>
      <c r="I37" s="4" t="s">
        <v>1287</v>
      </c>
      <c r="J37" s="336"/>
      <c r="K37" s="82">
        <f>'Worksheet P, CCnC'!F50</f>
        <v>32180450.624999996</v>
      </c>
      <c r="L37" s="479"/>
      <c r="M37" s="180"/>
      <c r="O37" s="306"/>
      <c r="P37" s="9"/>
      <c r="Q37" s="9"/>
    </row>
    <row r="38" spans="2:17">
      <c r="B38" s="6">
        <f t="shared" si="0"/>
        <v>23</v>
      </c>
      <c r="C38" s="487">
        <v>114</v>
      </c>
      <c r="D38" s="274" t="s">
        <v>91</v>
      </c>
      <c r="E38" s="111" t="str">
        <f>CONCATENATE('Worksheet F, Inputs'!$I$1,", Line ",'Worksheet F, Inputs'!A130," Col ",'Worksheet F, Inputs'!$E$9&amp;" thru "&amp;'Worksheet F, Inputs'!$G$9)</f>
        <v>Worksheet F, Line 100 Col E thru G</v>
      </c>
      <c r="F38" s="488">
        <f>'Worksheet F, Inputs'!E130</f>
        <v>6506590</v>
      </c>
      <c r="G38" s="488">
        <f>'Worksheet F, Inputs'!F130</f>
        <v>6506590</v>
      </c>
      <c r="H38" s="488">
        <f>'Worksheet F, Inputs'!G130</f>
        <v>6506590</v>
      </c>
      <c r="I38" s="339" t="s">
        <v>29</v>
      </c>
      <c r="J38" s="489">
        <f>'Worksheet E, Alloc. Factor'!F39</f>
        <v>0</v>
      </c>
      <c r="K38" s="427">
        <f>J38*H38</f>
        <v>0</v>
      </c>
      <c r="L38" s="479"/>
      <c r="M38" s="180"/>
      <c r="O38" s="306"/>
      <c r="P38" s="9"/>
      <c r="Q38" s="9"/>
    </row>
    <row r="39" spans="2:17" ht="27.6">
      <c r="B39" s="6">
        <f t="shared" si="0"/>
        <v>24</v>
      </c>
      <c r="C39" s="15">
        <v>107</v>
      </c>
      <c r="D39" s="274" t="s">
        <v>92</v>
      </c>
      <c r="E39" s="308" t="str">
        <f>CONCATENATE('Worksheet F, Inputs'!$I$1,", Line ",'Worksheet F, Inputs'!A133," Col ",'Worksheet F, Inputs'!$E$9&amp;" thru "&amp;'Worksheet F, Inputs'!$G$9,CHAR(10)," and ")&amp;'Worksheet O, CWIP'!$N$3&amp;", Line "&amp;'Worksheet O, CWIP'!$A$98&amp;" Col "&amp;'Worksheet O, CWIP'!$L$9</f>
        <v>Worksheet F, Line 103 Col E thru G
 and Worksheet O, Line 109 Col L</v>
      </c>
      <c r="F39" s="347">
        <f>'Worksheet F, Inputs'!E133</f>
        <v>43102358</v>
      </c>
      <c r="G39" s="347">
        <f>'Worksheet F, Inputs'!F133</f>
        <v>43240099</v>
      </c>
      <c r="H39" s="347">
        <f>'Worksheet F, Inputs'!G133</f>
        <v>43171228.5</v>
      </c>
      <c r="I39" s="4" t="s">
        <v>1286</v>
      </c>
      <c r="J39" s="336"/>
      <c r="K39" s="9">
        <f>'Worksheet O, CWIP'!L98</f>
        <v>9574920.1100000031</v>
      </c>
      <c r="L39" s="461"/>
      <c r="M39" s="180"/>
      <c r="O39" s="306"/>
      <c r="P39" s="9"/>
      <c r="Q39" s="9"/>
    </row>
    <row r="40" spans="2:17">
      <c r="B40" s="6">
        <f t="shared" si="0"/>
        <v>25</v>
      </c>
      <c r="C40" s="7"/>
      <c r="D40" s="10" t="s">
        <v>93</v>
      </c>
      <c r="E40" s="3" t="s">
        <v>94</v>
      </c>
      <c r="F40" s="11">
        <f>SUM(F34,F36:F39)</f>
        <v>1624964843</v>
      </c>
      <c r="G40" s="11">
        <f>SUM(G34,G36:G39)</f>
        <v>1677319989</v>
      </c>
      <c r="H40" s="348">
        <f>SUM(H34,H36:H39)</f>
        <v>1651142416</v>
      </c>
      <c r="J40" s="336">
        <f>K40/H40</f>
        <v>0.23724141157905379</v>
      </c>
      <c r="K40" s="11">
        <f>SUM(K34,K36:K39)</f>
        <v>391719357.48988926</v>
      </c>
      <c r="L40" s="480"/>
      <c r="P40" s="9"/>
      <c r="Q40" s="9"/>
    </row>
    <row r="41" spans="2:17">
      <c r="B41" s="6" t="s">
        <v>0</v>
      </c>
      <c r="C41" s="7"/>
      <c r="E41" s="3"/>
      <c r="F41" s="3"/>
      <c r="G41" s="3"/>
      <c r="H41" s="12"/>
      <c r="J41" s="459"/>
      <c r="K41" s="9"/>
      <c r="L41" s="461"/>
      <c r="M41" s="4"/>
      <c r="P41" s="9"/>
      <c r="Q41" s="9"/>
    </row>
    <row r="42" spans="2:17">
      <c r="B42" s="6">
        <f>B40+1</f>
        <v>26</v>
      </c>
      <c r="C42" s="7"/>
      <c r="D42" s="267" t="s">
        <v>95</v>
      </c>
      <c r="E42" s="349"/>
      <c r="F42" s="349"/>
      <c r="G42" s="349"/>
      <c r="H42" s="337" t="s">
        <v>0</v>
      </c>
      <c r="I42" s="329"/>
      <c r="J42" s="460"/>
      <c r="K42" s="337"/>
      <c r="L42" s="481"/>
      <c r="M42" s="4"/>
      <c r="P42" s="9"/>
      <c r="Q42" s="9"/>
    </row>
    <row r="43" spans="2:17">
      <c r="B43" s="6">
        <f t="shared" si="0"/>
        <v>27</v>
      </c>
      <c r="C43" s="398">
        <v>108.1</v>
      </c>
      <c r="D43" s="274" t="s">
        <v>96</v>
      </c>
      <c r="E43" s="111" t="str">
        <f>CONCATENATE('Worksheet F, Inputs'!$I$1,", Line ",'Worksheet F, Inputs'!A137," Col ",'Worksheet F, Inputs'!$E$9&amp;" thru "&amp;'Worksheet F, Inputs'!$G$9)</f>
        <v>Worksheet F, Line 106 Col E thru G</v>
      </c>
      <c r="F43" s="346">
        <f>'Worksheet F, Inputs'!E137</f>
        <v>291671251</v>
      </c>
      <c r="G43" s="346">
        <f>'Worksheet F, Inputs'!F137</f>
        <v>296110223</v>
      </c>
      <c r="H43" s="346">
        <f>'Worksheet F, Inputs'!G137</f>
        <v>293890737</v>
      </c>
      <c r="I43" s="339" t="s">
        <v>29</v>
      </c>
      <c r="J43" s="336">
        <f>'Worksheet E, Alloc. Factor'!F40</f>
        <v>0</v>
      </c>
      <c r="K43" s="9">
        <f>J43*H43</f>
        <v>0</v>
      </c>
      <c r="L43" s="461"/>
      <c r="P43" s="9"/>
      <c r="Q43" s="9"/>
    </row>
    <row r="44" spans="2:17">
      <c r="B44" s="6">
        <f t="shared" si="0"/>
        <v>28</v>
      </c>
      <c r="C44" s="398">
        <v>108.2</v>
      </c>
      <c r="D44" s="274" t="s">
        <v>97</v>
      </c>
      <c r="E44" s="111" t="str">
        <f>CONCATENATE('Worksheet F, Inputs'!$I$1,", Line ",'Worksheet F, Inputs'!A138," Col ",'Worksheet F, Inputs'!$E$9&amp;" thru "&amp;'Worksheet F, Inputs'!$G$9)</f>
        <v>Worksheet F, Line 107 Col E thru G</v>
      </c>
      <c r="F44" s="346">
        <f>'Worksheet F, Inputs'!E138</f>
        <v>0</v>
      </c>
      <c r="G44" s="346">
        <f>'Worksheet F, Inputs'!F138</f>
        <v>0</v>
      </c>
      <c r="H44" s="346">
        <f>'Worksheet F, Inputs'!G138</f>
        <v>0</v>
      </c>
      <c r="I44" s="339" t="s">
        <v>29</v>
      </c>
      <c r="J44" s="336">
        <f>'Worksheet E, Alloc. Factor'!F40</f>
        <v>0</v>
      </c>
      <c r="K44" s="9">
        <f>J44*H44</f>
        <v>0</v>
      </c>
      <c r="L44" s="461"/>
      <c r="P44" s="9"/>
      <c r="Q44" s="9"/>
    </row>
    <row r="45" spans="2:17">
      <c r="B45" s="6">
        <f t="shared" si="0"/>
        <v>29</v>
      </c>
      <c r="C45" s="398">
        <v>108.3</v>
      </c>
      <c r="D45" s="274" t="s">
        <v>98</v>
      </c>
      <c r="E45" s="111" t="str">
        <f>CONCATENATE('Worksheet F, Inputs'!$I$1,", Line ",'Worksheet F, Inputs'!A139," Col ",'Worksheet F, Inputs'!$E$9&amp;" thru "&amp;'Worksheet F, Inputs'!$G$9)</f>
        <v>Worksheet F, Line 108 Col E thru G</v>
      </c>
      <c r="F45" s="346">
        <f>'Worksheet F, Inputs'!E139</f>
        <v>0</v>
      </c>
      <c r="G45" s="346">
        <f>'Worksheet F, Inputs'!F139</f>
        <v>0</v>
      </c>
      <c r="H45" s="346">
        <f>'Worksheet F, Inputs'!G139</f>
        <v>0</v>
      </c>
      <c r="I45" s="339" t="s">
        <v>29</v>
      </c>
      <c r="J45" s="336">
        <f>'Worksheet E, Alloc. Factor'!F40</f>
        <v>0</v>
      </c>
      <c r="K45" s="9">
        <f>J45*H45</f>
        <v>0</v>
      </c>
      <c r="L45" s="461"/>
      <c r="P45" s="9"/>
      <c r="Q45" s="9"/>
    </row>
    <row r="46" spans="2:17">
      <c r="B46" s="6">
        <f t="shared" si="0"/>
        <v>30</v>
      </c>
      <c r="C46" s="398">
        <v>108.4</v>
      </c>
      <c r="D46" s="274" t="s">
        <v>99</v>
      </c>
      <c r="E46" s="111" t="str">
        <f>CONCATENATE('Worksheet F, Inputs'!$I$1,", Line ",'Worksheet F, Inputs'!A140," Col ",'Worksheet F, Inputs'!$E$9&amp;" thru "&amp;'Worksheet F, Inputs'!$G$9)</f>
        <v>Worksheet F, Line 109 Col E thru G</v>
      </c>
      <c r="F46" s="346">
        <f>'Worksheet F, Inputs'!E140</f>
        <v>94411701</v>
      </c>
      <c r="G46" s="346">
        <f>'Worksheet F, Inputs'!F140</f>
        <v>102033103</v>
      </c>
      <c r="H46" s="346">
        <f>'Worksheet F, Inputs'!G140</f>
        <v>98222402</v>
      </c>
      <c r="I46" s="339" t="s">
        <v>29</v>
      </c>
      <c r="J46" s="336">
        <f>'Worksheet E, Alloc. Factor'!F40</f>
        <v>0</v>
      </c>
      <c r="K46" s="9">
        <f>J46*H46</f>
        <v>0</v>
      </c>
      <c r="L46" s="461"/>
      <c r="M46" s="4"/>
      <c r="P46" s="9"/>
      <c r="Q46" s="9"/>
    </row>
    <row r="47" spans="2:17">
      <c r="B47" s="6">
        <f t="shared" si="0"/>
        <v>31</v>
      </c>
      <c r="C47" s="398"/>
      <c r="D47" s="274" t="s">
        <v>100</v>
      </c>
      <c r="E47" s="111" t="s">
        <v>94</v>
      </c>
      <c r="F47" s="346">
        <f>SUM(F43:F46)</f>
        <v>386082952</v>
      </c>
      <c r="G47" s="346">
        <f>SUM(G43:G46)</f>
        <v>398143326</v>
      </c>
      <c r="H47" s="346">
        <f>SUM(H43:H46)</f>
        <v>392113139</v>
      </c>
      <c r="I47" s="339"/>
      <c r="J47" s="336">
        <f>K47/H47</f>
        <v>0</v>
      </c>
      <c r="K47" s="346">
        <f>SUM(K43:K46)</f>
        <v>0</v>
      </c>
      <c r="L47" s="478"/>
      <c r="M47" s="346">
        <f>SUM(M43:M46)</f>
        <v>0</v>
      </c>
      <c r="P47" s="9"/>
      <c r="Q47" s="9"/>
    </row>
    <row r="48" spans="2:17">
      <c r="B48" s="6"/>
      <c r="C48" s="398"/>
      <c r="D48" s="274"/>
      <c r="E48" s="111"/>
      <c r="F48" s="346"/>
      <c r="G48" s="346"/>
      <c r="H48" s="346"/>
      <c r="I48" s="339"/>
      <c r="J48" s="336"/>
      <c r="K48" s="9"/>
      <c r="L48" s="461"/>
      <c r="M48" s="4"/>
      <c r="P48" s="9"/>
      <c r="Q48" s="9"/>
    </row>
    <row r="49" spans="2:17">
      <c r="B49" s="6">
        <f>B47+1</f>
        <v>32</v>
      </c>
      <c r="C49" s="398">
        <v>108.5</v>
      </c>
      <c r="D49" s="274" t="s">
        <v>101</v>
      </c>
      <c r="E49" s="111" t="str">
        <f>CONCATENATE('Worksheet F, Inputs'!$I$1,", Line ",'Worksheet F, Inputs'!A141," Col ",'Worksheet F, Inputs'!$E$9&amp;" thru "&amp;'Worksheet F, Inputs'!$G$9)</f>
        <v>Worksheet F, Line 110 Col E thru G</v>
      </c>
      <c r="F49" s="346">
        <f>'Worksheet F, Inputs'!E141</f>
        <v>147914554</v>
      </c>
      <c r="G49" s="346">
        <f>'Worksheet F, Inputs'!F141</f>
        <v>151408340</v>
      </c>
      <c r="H49" s="346">
        <f>'Worksheet F, Inputs'!G141</f>
        <v>149661447</v>
      </c>
      <c r="I49" s="4" t="s">
        <v>102</v>
      </c>
      <c r="J49" s="336">
        <f>'Worksheet E, Alloc. Factor'!F33</f>
        <v>0.83532377030701277</v>
      </c>
      <c r="K49" s="9">
        <f t="shared" ref="K49:K54" si="2">J49*H49</f>
        <v>125015764.17764316</v>
      </c>
      <c r="L49" s="461"/>
      <c r="M49" s="4"/>
      <c r="P49" s="9"/>
      <c r="Q49" s="9"/>
    </row>
    <row r="50" spans="2:17">
      <c r="B50" s="6">
        <f t="shared" si="0"/>
        <v>33</v>
      </c>
      <c r="C50" s="398">
        <v>108.6</v>
      </c>
      <c r="D50" s="274" t="s">
        <v>103</v>
      </c>
      <c r="E50" s="111" t="str">
        <f>CONCATENATE('Worksheet F, Inputs'!$I$1,", Line ",'Worksheet F, Inputs'!A142," Col ",'Worksheet F, Inputs'!$E$9&amp;" thru "&amp;'Worksheet F, Inputs'!$G$9)</f>
        <v>Worksheet F, Line 111 Col E thru G</v>
      </c>
      <c r="F50" s="346">
        <f>'Worksheet F, Inputs'!E142</f>
        <v>42831705</v>
      </c>
      <c r="G50" s="346">
        <f>'Worksheet F, Inputs'!F142</f>
        <v>45828881</v>
      </c>
      <c r="H50" s="346">
        <f>'Worksheet F, Inputs'!G142</f>
        <v>44330293</v>
      </c>
      <c r="I50" s="339" t="s">
        <v>29</v>
      </c>
      <c r="J50" s="336">
        <f>'Worksheet E, Alloc. Factor'!F40</f>
        <v>0</v>
      </c>
      <c r="K50" s="9">
        <f t="shared" si="2"/>
        <v>0</v>
      </c>
      <c r="L50" s="461"/>
      <c r="M50" s="4"/>
      <c r="P50" s="9"/>
      <c r="Q50" s="9"/>
    </row>
    <row r="51" spans="2:17">
      <c r="B51" s="6">
        <f t="shared" si="0"/>
        <v>34</v>
      </c>
      <c r="C51" s="398">
        <v>108.7</v>
      </c>
      <c r="D51" s="274" t="s">
        <v>104</v>
      </c>
      <c r="E51" s="111" t="str">
        <f>CONCATENATE('Worksheet F, Inputs'!$I$1,", Line ",'Worksheet F, Inputs'!A143," Col ",'Worksheet F, Inputs'!$E$9&amp;" thru "&amp;'Worksheet F, Inputs'!$G$9)</f>
        <v>Worksheet F, Line 112 Col E thru G</v>
      </c>
      <c r="F51" s="346">
        <f>'Worksheet F, Inputs'!E143</f>
        <v>61270574</v>
      </c>
      <c r="G51" s="346">
        <f>'Worksheet F, Inputs'!F143</f>
        <v>64684661</v>
      </c>
      <c r="H51" s="346">
        <f>'Worksheet F, Inputs'!G143</f>
        <v>62977617.5</v>
      </c>
      <c r="I51" s="339" t="s">
        <v>1304</v>
      </c>
      <c r="J51" s="336">
        <f>'Worksheet E, Alloc. Factor'!F18</f>
        <v>0.15822150820240288</v>
      </c>
      <c r="K51" s="9">
        <f t="shared" si="2"/>
        <v>9964413.6238440406</v>
      </c>
      <c r="L51" s="336">
        <f>'Worksheet E, Alloc. Factor'!$G$18</f>
        <v>7.7545263397598346E-2</v>
      </c>
      <c r="M51" s="9">
        <f>H51*L51</f>
        <v>4883615.9371906994</v>
      </c>
      <c r="P51" s="9"/>
      <c r="Q51" s="9"/>
    </row>
    <row r="52" spans="2:17">
      <c r="B52" s="6">
        <f t="shared" si="0"/>
        <v>35</v>
      </c>
      <c r="C52" s="398">
        <v>108.8</v>
      </c>
      <c r="D52" s="274" t="s">
        <v>105</v>
      </c>
      <c r="E52" s="111" t="str">
        <f>CONCATENATE('Worksheet F, Inputs'!$I$1,", Line ",'Worksheet F, Inputs'!A144," Col ",'Worksheet F, Inputs'!$E$9&amp;" thru "&amp;'Worksheet F, Inputs'!$G$9)</f>
        <v>Worksheet F, Line 113 Col E thru G</v>
      </c>
      <c r="F52" s="346">
        <f>'Worksheet F, Inputs'!E144</f>
        <v>1878667</v>
      </c>
      <c r="G52" s="346">
        <f>'Worksheet F, Inputs'!F144</f>
        <v>3965612</v>
      </c>
      <c r="H52" s="346">
        <f>'Worksheet F, Inputs'!G144</f>
        <v>2922139.5</v>
      </c>
      <c r="I52" s="339" t="s">
        <v>1304</v>
      </c>
      <c r="J52" s="336">
        <f>'Worksheet E, Alloc. Factor'!$F$18</f>
        <v>0.15822150820240288</v>
      </c>
      <c r="K52" s="9">
        <f t="shared" si="2"/>
        <v>462345.31886781548</v>
      </c>
      <c r="L52" s="336">
        <f>'Worksheet E, Alloc. Factor'!$G$18</f>
        <v>7.7545263397598346E-2</v>
      </c>
      <c r="M52" s="9">
        <f>H52*L52</f>
        <v>226598.07721202634</v>
      </c>
      <c r="P52" s="9"/>
      <c r="Q52" s="9"/>
    </row>
    <row r="53" spans="2:17">
      <c r="B53" s="6">
        <f t="shared" si="0"/>
        <v>36</v>
      </c>
      <c r="C53" s="15">
        <v>111</v>
      </c>
      <c r="D53" s="274" t="s">
        <v>106</v>
      </c>
      <c r="E53" s="111" t="str">
        <f>CONCATENATE('Worksheet F, Inputs'!$I$1,", Line ",'Worksheet F, Inputs'!A145," Col ",'Worksheet F, Inputs'!$E$9&amp;" thru "&amp;'Worksheet F, Inputs'!$G$9)</f>
        <v>Worksheet F, Line 114 Col E thru G</v>
      </c>
      <c r="F53" s="346">
        <f>'Worksheet F, Inputs'!E145</f>
        <v>1229168</v>
      </c>
      <c r="G53" s="346">
        <f>'Worksheet F, Inputs'!F145</f>
        <v>1337827</v>
      </c>
      <c r="H53" s="346">
        <f>'Worksheet F, Inputs'!G145</f>
        <v>1283497.5</v>
      </c>
      <c r="I53" s="339" t="s">
        <v>1304</v>
      </c>
      <c r="J53" s="336">
        <f>'Worksheet E, Alloc. Factor'!$F$18</f>
        <v>0.15822150820240288</v>
      </c>
      <c r="K53" s="9">
        <f t="shared" si="2"/>
        <v>203076.91022401358</v>
      </c>
      <c r="L53" s="336">
        <f>'Worksheet E, Alloc. Factor'!$G$18</f>
        <v>7.7545263397598346E-2</v>
      </c>
      <c r="M53" s="9">
        <f>H53*L53</f>
        <v>99529.151707658981</v>
      </c>
      <c r="P53" s="9"/>
      <c r="Q53" s="9"/>
    </row>
    <row r="54" spans="2:17">
      <c r="B54" s="490">
        <f t="shared" si="0"/>
        <v>37</v>
      </c>
      <c r="C54" s="487">
        <v>115</v>
      </c>
      <c r="D54" s="274" t="s">
        <v>1476</v>
      </c>
      <c r="E54" s="111" t="str">
        <f>CONCATENATE('Worksheet F, Inputs'!$I$1,", Line ",'Worksheet F, Inputs'!A146," Col ",'Worksheet F, Inputs'!$E$9&amp;" thru "&amp;'Worksheet F, Inputs'!$G$9)</f>
        <v>Worksheet F, Line 115 Col E thru G</v>
      </c>
      <c r="F54" s="488">
        <f>'Worksheet F, Inputs'!E146</f>
        <v>6506589</v>
      </c>
      <c r="G54" s="488">
        <f>'Worksheet F, Inputs'!F146</f>
        <v>6506589</v>
      </c>
      <c r="H54" s="488">
        <f>'Worksheet F, Inputs'!G146</f>
        <v>6506589</v>
      </c>
      <c r="I54" s="339" t="s">
        <v>29</v>
      </c>
      <c r="J54" s="489">
        <f>'Worksheet E, Alloc. Factor'!F39</f>
        <v>0</v>
      </c>
      <c r="K54" s="427">
        <f t="shared" si="2"/>
        <v>0</v>
      </c>
      <c r="L54" s="336"/>
      <c r="M54" s="9"/>
      <c r="P54" s="9"/>
      <c r="Q54" s="9"/>
    </row>
    <row r="55" spans="2:17">
      <c r="B55" s="6"/>
      <c r="C55" s="7"/>
      <c r="D55" s="274"/>
      <c r="E55" s="111"/>
      <c r="F55" s="346"/>
      <c r="G55" s="346"/>
      <c r="H55" s="346"/>
      <c r="I55" s="339"/>
      <c r="J55" s="336"/>
      <c r="K55" s="9"/>
      <c r="L55" s="461"/>
      <c r="M55" s="4"/>
      <c r="P55" s="9"/>
      <c r="Q55" s="9"/>
    </row>
    <row r="56" spans="2:17">
      <c r="B56" s="6">
        <f>B54+1</f>
        <v>38</v>
      </c>
      <c r="C56" s="7"/>
      <c r="D56" s="2" t="s">
        <v>107</v>
      </c>
      <c r="E56" s="3" t="s">
        <v>94</v>
      </c>
      <c r="F56" s="11">
        <f t="shared" ref="F56:G56" si="3">SUM(F47:F54)</f>
        <v>647714209</v>
      </c>
      <c r="G56" s="11">
        <f t="shared" si="3"/>
        <v>671875236</v>
      </c>
      <c r="H56" s="11">
        <f>SUM(H47:H54)</f>
        <v>659794722.5</v>
      </c>
      <c r="I56" s="4"/>
      <c r="J56" s="336">
        <f>K56/H56</f>
        <v>0.20558757959840915</v>
      </c>
      <c r="K56" s="11">
        <f>SUM(K47:K54)</f>
        <v>135645600.03057903</v>
      </c>
      <c r="L56" s="480"/>
      <c r="M56" s="11">
        <f>SUM(M47:M53)</f>
        <v>5209743.1661103843</v>
      </c>
      <c r="P56" s="9"/>
      <c r="Q56" s="9"/>
    </row>
    <row r="57" spans="2:17">
      <c r="B57" s="6"/>
      <c r="C57" s="7"/>
      <c r="E57" s="3"/>
      <c r="F57" s="3"/>
      <c r="G57" s="3"/>
      <c r="H57" s="9"/>
      <c r="I57" s="9"/>
      <c r="J57" s="461"/>
      <c r="K57" s="350"/>
      <c r="L57" s="461"/>
      <c r="M57" s="4"/>
      <c r="P57" s="9"/>
      <c r="Q57" s="9"/>
    </row>
    <row r="58" spans="2:17">
      <c r="B58" s="6">
        <f>+B56+1</f>
        <v>39</v>
      </c>
      <c r="C58" s="7"/>
      <c r="D58" s="1" t="s">
        <v>108</v>
      </c>
      <c r="E58" s="3"/>
      <c r="F58" s="3"/>
      <c r="G58" s="3"/>
      <c r="H58" s="12"/>
      <c r="I58" s="4"/>
      <c r="J58" s="336"/>
      <c r="K58" s="9"/>
      <c r="L58" s="461"/>
      <c r="M58" s="4"/>
      <c r="P58" s="9"/>
      <c r="Q58" s="9"/>
    </row>
    <row r="59" spans="2:17">
      <c r="B59" s="6">
        <f t="shared" si="0"/>
        <v>40</v>
      </c>
      <c r="C59" s="7"/>
      <c r="D59" s="274" t="s">
        <v>109</v>
      </c>
      <c r="E59" s="3" t="str">
        <f>"Line "&amp;B12&amp;" - Line "&amp;B53</f>
        <v>Line 2 - Line 36</v>
      </c>
      <c r="F59" s="11">
        <f>F12-F53</f>
        <v>609362</v>
      </c>
      <c r="G59" s="11">
        <f>G12-G53</f>
        <v>500703</v>
      </c>
      <c r="H59" s="11">
        <f>H12-H53</f>
        <v>555032.5</v>
      </c>
      <c r="J59" s="459"/>
      <c r="K59" s="11">
        <f>K12-K53</f>
        <v>87818.079251350166</v>
      </c>
      <c r="L59" s="482"/>
      <c r="M59" s="11">
        <f>M12-M53</f>
        <v>43040.141406727518</v>
      </c>
      <c r="N59" s="29" t="s">
        <v>0</v>
      </c>
      <c r="P59" s="9"/>
      <c r="Q59" s="9"/>
    </row>
    <row r="60" spans="2:17">
      <c r="B60" s="6">
        <f t="shared" si="0"/>
        <v>41</v>
      </c>
      <c r="C60" s="7"/>
      <c r="D60" s="274" t="s">
        <v>110</v>
      </c>
      <c r="E60" s="3" t="str">
        <f>"Line "&amp;B18&amp;" - Line "&amp;B47</f>
        <v>Line 7 - Line 31</v>
      </c>
      <c r="F60" s="11">
        <f>F18-SUM(F43:F46)</f>
        <v>485805599</v>
      </c>
      <c r="G60" s="11">
        <f>G18-SUM(G43:G46)</f>
        <v>494584803</v>
      </c>
      <c r="H60" s="11">
        <f>H18-SUM(H43:H46)</f>
        <v>490195201</v>
      </c>
      <c r="I60" s="321"/>
      <c r="J60" s="459"/>
      <c r="K60" s="11">
        <f>K18-K47</f>
        <v>0</v>
      </c>
      <c r="L60" s="459"/>
      <c r="M60" s="11">
        <f>M18-M47</f>
        <v>0</v>
      </c>
      <c r="P60" s="9"/>
      <c r="Q60" s="9"/>
    </row>
    <row r="61" spans="2:17">
      <c r="B61" s="6">
        <f t="shared" si="0"/>
        <v>42</v>
      </c>
      <c r="C61" s="7"/>
      <c r="D61" s="274" t="s">
        <v>111</v>
      </c>
      <c r="E61" s="3" t="str">
        <f>"Line "&amp;B24&amp;" + Line "&amp;B32&amp;" - Line "&amp;B49</f>
        <v>Line 12 + Line 18 - Line 32</v>
      </c>
      <c r="F61" s="11">
        <f>F24+F32-F49</f>
        <v>226890176</v>
      </c>
      <c r="G61" s="11">
        <f>G24+G32-G49</f>
        <v>276743469</v>
      </c>
      <c r="H61" s="11">
        <f>H24+H32-H49</f>
        <v>251816822.5</v>
      </c>
      <c r="J61" s="459"/>
      <c r="K61" s="11">
        <f>K24+K32-K49</f>
        <v>210348577.59743178</v>
      </c>
      <c r="L61" s="459"/>
      <c r="M61" s="11">
        <f>M24+M32-M49</f>
        <v>0</v>
      </c>
      <c r="P61" s="9"/>
      <c r="Q61" s="9"/>
    </row>
    <row r="62" spans="2:17">
      <c r="B62" s="6">
        <f t="shared" si="0"/>
        <v>43</v>
      </c>
      <c r="C62" s="7"/>
      <c r="D62" s="274" t="s">
        <v>112</v>
      </c>
      <c r="E62" s="3" t="str">
        <f>"Line "&amp;B30&amp;" - Line "&amp;B50</f>
        <v>Line 17 - Line 33</v>
      </c>
      <c r="F62" s="11">
        <f>F30-F50</f>
        <v>123501474</v>
      </c>
      <c r="G62" s="11">
        <f>G30-G50</f>
        <v>142678755</v>
      </c>
      <c r="H62" s="11">
        <f>H30-H50</f>
        <v>133090114.5</v>
      </c>
      <c r="J62" s="459"/>
      <c r="K62" s="11">
        <f>K30-K50</f>
        <v>0</v>
      </c>
      <c r="L62" s="459"/>
      <c r="M62" s="11">
        <f>M30-M50</f>
        <v>0</v>
      </c>
      <c r="P62" s="9"/>
      <c r="Q62" s="9"/>
    </row>
    <row r="63" spans="2:17">
      <c r="B63" s="6">
        <f t="shared" si="0"/>
        <v>44</v>
      </c>
      <c r="C63" s="7"/>
      <c r="D63" s="274" t="s">
        <v>113</v>
      </c>
      <c r="E63" s="3" t="str">
        <f>"Line "&amp;B33&amp;" - Line "&amp;B51</f>
        <v>Line 19 - Line 34</v>
      </c>
      <c r="F63" s="11">
        <f>F33-F51</f>
        <v>26419179</v>
      </c>
      <c r="G63" s="11">
        <f>G33-G51</f>
        <v>28495433</v>
      </c>
      <c r="H63" s="11">
        <f>H33-H51</f>
        <v>27457306</v>
      </c>
      <c r="J63" s="459"/>
      <c r="K63" s="11">
        <f>K33-K51</f>
        <v>4344336.3664948866</v>
      </c>
      <c r="L63" s="459"/>
      <c r="M63" s="11">
        <f>M33-M51</f>
        <v>2129184.025958457</v>
      </c>
      <c r="P63" s="9"/>
      <c r="Q63" s="9"/>
    </row>
    <row r="64" spans="2:17">
      <c r="B64" s="6">
        <f t="shared" si="0"/>
        <v>45</v>
      </c>
      <c r="C64" s="7"/>
      <c r="D64" s="274" t="s">
        <v>115</v>
      </c>
      <c r="E64" s="3" t="str">
        <f>"Line "&amp;B37</f>
        <v>Line 22</v>
      </c>
      <c r="F64" s="11">
        <f>F37</f>
        <v>72801152</v>
      </c>
      <c r="G64" s="11">
        <f>G37</f>
        <v>23167102</v>
      </c>
      <c r="H64" s="11">
        <f>H37</f>
        <v>47984127</v>
      </c>
      <c r="J64" s="459"/>
      <c r="K64" s="11">
        <f>K37</f>
        <v>32180450.624999996</v>
      </c>
      <c r="L64" s="459"/>
      <c r="M64" s="11">
        <f>M37</f>
        <v>0</v>
      </c>
      <c r="P64" s="9"/>
      <c r="Q64" s="9"/>
    </row>
    <row r="65" spans="2:17">
      <c r="B65" s="6">
        <f t="shared" si="0"/>
        <v>46</v>
      </c>
      <c r="C65" s="7"/>
      <c r="D65" s="274" t="s">
        <v>1380</v>
      </c>
      <c r="E65" s="3" t="str">
        <f>" - Line "&amp;B$52</f>
        <v xml:space="preserve"> - Line 35</v>
      </c>
      <c r="F65" s="11">
        <f>-F52</f>
        <v>-1878667</v>
      </c>
      <c r="G65" s="11">
        <f>-G52</f>
        <v>-3965612</v>
      </c>
      <c r="H65" s="11">
        <f>-H52</f>
        <v>-2922139.5</v>
      </c>
      <c r="J65" s="459"/>
      <c r="K65" s="11">
        <f>-K52</f>
        <v>-462345.31886781548</v>
      </c>
      <c r="L65" s="459"/>
      <c r="M65" s="11">
        <f>-M52</f>
        <v>-226598.07721202634</v>
      </c>
      <c r="P65" s="9"/>
      <c r="Q65" s="9"/>
    </row>
    <row r="66" spans="2:17">
      <c r="B66" s="6">
        <f t="shared" si="0"/>
        <v>47</v>
      </c>
      <c r="C66" s="7"/>
      <c r="D66" s="274" t="s">
        <v>108</v>
      </c>
      <c r="E66" s="3" t="s">
        <v>41</v>
      </c>
      <c r="F66" s="11">
        <f>SUM(F59:F65)</f>
        <v>934148275</v>
      </c>
      <c r="G66" s="11">
        <f>SUM(G59:G65)</f>
        <v>962204653</v>
      </c>
      <c r="H66" s="11">
        <f>SUM(H59:H65)</f>
        <v>948176464</v>
      </c>
      <c r="J66" s="459"/>
      <c r="K66" s="11">
        <f>SUM(K59:K65)</f>
        <v>246498837.34931022</v>
      </c>
      <c r="L66" s="459"/>
      <c r="M66" s="11">
        <f>SUM(M59:M65)</f>
        <v>1945626.0901531582</v>
      </c>
      <c r="P66" s="9"/>
      <c r="Q66" s="9"/>
    </row>
    <row r="67" spans="2:17">
      <c r="B67" s="6"/>
      <c r="C67" s="7"/>
      <c r="D67" s="10"/>
      <c r="E67" s="3"/>
      <c r="F67" s="3"/>
      <c r="G67" s="7"/>
      <c r="H67" s="12"/>
      <c r="J67" s="459"/>
      <c r="K67" s="12"/>
      <c r="L67" s="482"/>
      <c r="M67" s="4"/>
      <c r="P67" s="9"/>
      <c r="Q67" s="9"/>
    </row>
    <row r="68" spans="2:17">
      <c r="B68" s="6">
        <f>B66+1</f>
        <v>48</v>
      </c>
      <c r="C68" s="7"/>
      <c r="D68" s="180" t="s">
        <v>117</v>
      </c>
      <c r="E68" s="3"/>
      <c r="F68" s="3"/>
      <c r="G68" s="11"/>
      <c r="H68" s="12"/>
      <c r="J68" s="459"/>
      <c r="K68" s="12"/>
      <c r="L68" s="482"/>
      <c r="M68" s="4"/>
      <c r="P68" s="9"/>
      <c r="Q68" s="9"/>
    </row>
    <row r="69" spans="2:17">
      <c r="B69" s="6">
        <f t="shared" ref="B69:B70" si="4">B68+1</f>
        <v>49</v>
      </c>
      <c r="C69" s="7"/>
      <c r="D69" s="274" t="s">
        <v>114</v>
      </c>
      <c r="E69" s="3" t="str">
        <f>"Line "&amp;B$36</f>
        <v>Line 21</v>
      </c>
      <c r="F69" s="11">
        <f>F36</f>
        <v>0</v>
      </c>
      <c r="G69" s="11">
        <f t="shared" ref="G69:H69" si="5">G36</f>
        <v>0</v>
      </c>
      <c r="H69" s="11">
        <f t="shared" si="5"/>
        <v>0</v>
      </c>
      <c r="J69" s="459"/>
      <c r="K69" s="11">
        <f>K36</f>
        <v>0</v>
      </c>
      <c r="L69" s="482"/>
      <c r="M69" s="11">
        <f>M36</f>
        <v>0</v>
      </c>
      <c r="P69" s="9"/>
      <c r="Q69" s="9"/>
    </row>
    <row r="70" spans="2:17">
      <c r="B70" s="490">
        <f t="shared" si="4"/>
        <v>50</v>
      </c>
      <c r="C70" s="491"/>
      <c r="D70" s="274" t="s">
        <v>1477</v>
      </c>
      <c r="E70" s="3" t="str">
        <f>"Line "&amp;B38&amp;" - Line "&amp;B54</f>
        <v>Line 23 - Line 37</v>
      </c>
      <c r="F70" s="11">
        <f>F38-F54</f>
        <v>1</v>
      </c>
      <c r="G70" s="11">
        <f t="shared" ref="G70:H70" si="6">G38-G54</f>
        <v>1</v>
      </c>
      <c r="H70" s="11">
        <f t="shared" si="6"/>
        <v>1</v>
      </c>
      <c r="J70" s="459"/>
      <c r="K70" s="11">
        <f t="shared" ref="K70" si="7">K38-K54</f>
        <v>0</v>
      </c>
      <c r="L70" s="482"/>
      <c r="M70" s="11"/>
      <c r="P70" s="9"/>
      <c r="Q70" s="9"/>
    </row>
    <row r="71" spans="2:17">
      <c r="B71" s="6">
        <f>B70+1</f>
        <v>51</v>
      </c>
      <c r="C71" s="7"/>
      <c r="D71" s="274" t="s">
        <v>116</v>
      </c>
      <c r="E71" s="3" t="str">
        <f>"Line "&amp;B$39</f>
        <v>Line 24</v>
      </c>
      <c r="F71" s="11">
        <f>F39</f>
        <v>43102358</v>
      </c>
      <c r="G71" s="11">
        <f t="shared" ref="G71:H71" si="8">G39</f>
        <v>43240099</v>
      </c>
      <c r="H71" s="11">
        <f t="shared" si="8"/>
        <v>43171228.5</v>
      </c>
      <c r="I71" s="4"/>
      <c r="J71" s="459"/>
      <c r="K71" s="11">
        <f t="shared" ref="K71:M71" si="9">K39</f>
        <v>9574920.1100000031</v>
      </c>
      <c r="L71" s="482"/>
      <c r="M71" s="11">
        <f t="shared" si="9"/>
        <v>0</v>
      </c>
      <c r="P71" s="9"/>
      <c r="Q71" s="9"/>
    </row>
    <row r="72" spans="2:17">
      <c r="B72" s="6"/>
      <c r="C72" s="7"/>
      <c r="D72" s="19"/>
      <c r="E72" s="3"/>
      <c r="F72" s="3"/>
      <c r="G72" s="11"/>
      <c r="H72" s="12"/>
      <c r="J72" s="459"/>
      <c r="K72" s="12"/>
      <c r="L72" s="482"/>
      <c r="M72" s="4"/>
      <c r="P72" s="9"/>
      <c r="Q72" s="9"/>
    </row>
    <row r="73" spans="2:17">
      <c r="B73" s="6">
        <f>B71+1</f>
        <v>52</v>
      </c>
      <c r="C73" s="7"/>
      <c r="D73" s="2" t="s">
        <v>118</v>
      </c>
      <c r="E73" s="3"/>
      <c r="F73" s="3"/>
      <c r="G73" s="3"/>
      <c r="J73" s="459"/>
      <c r="L73" s="482"/>
      <c r="M73" s="4"/>
      <c r="P73" s="9"/>
      <c r="Q73" s="9"/>
    </row>
    <row r="74" spans="2:17">
      <c r="B74" s="6">
        <f>B73+1</f>
        <v>53</v>
      </c>
      <c r="C74" s="7"/>
      <c r="D74" s="10" t="s">
        <v>119</v>
      </c>
      <c r="E74" s="111" t="str">
        <f>'Worksheet B, Expenses'!O2&amp;", Line "&amp;'Worksheet B, Expenses'!B43&amp;", Columns "&amp;'Worksheet B, Expenses'!H9&amp;" and "&amp;'Worksheet B, Expenses'!K9</f>
        <v>Worksheet B, Line 29, Columns G and J</v>
      </c>
      <c r="F74" s="3"/>
      <c r="G74" s="3"/>
      <c r="H74" s="12">
        <f>'Worksheet B, Expenses'!H43</f>
        <v>95440098</v>
      </c>
      <c r="J74" s="459"/>
      <c r="K74" s="12">
        <f>'Worksheet B, Expenses'!K43</f>
        <v>12872957.937691964</v>
      </c>
      <c r="L74" s="482"/>
      <c r="M74" s="12">
        <f>'Worksheet B, Expenses'!M43</f>
        <v>13354479.511972329</v>
      </c>
      <c r="P74" s="9"/>
      <c r="Q74" s="9"/>
    </row>
    <row r="75" spans="2:17">
      <c r="B75" s="6">
        <f>B74+1</f>
        <v>54</v>
      </c>
      <c r="C75" s="7"/>
      <c r="D75" s="10" t="s">
        <v>120</v>
      </c>
      <c r="E75" s="111" t="str">
        <f>CONCATENATE('Worksheet F, Inputs'!$I$1,", Line ",'Worksheet F, Inputs'!A11," Col ",'Worksheet F, Inputs'!$G$9)</f>
        <v>Worksheet F, Line 1 Col G</v>
      </c>
      <c r="F75" s="3"/>
      <c r="G75" s="3"/>
      <c r="H75" s="13">
        <f>'Worksheet F, Inputs'!$G11</f>
        <v>45</v>
      </c>
      <c r="I75" s="182"/>
      <c r="J75" s="459"/>
      <c r="K75" s="13">
        <f>'Worksheet F, Inputs'!$G11</f>
        <v>45</v>
      </c>
      <c r="L75" s="482"/>
      <c r="M75" s="13">
        <f>'Worksheet F, Inputs'!$G11</f>
        <v>45</v>
      </c>
      <c r="P75" s="9"/>
      <c r="Q75" s="9"/>
    </row>
    <row r="76" spans="2:17">
      <c r="B76" s="6">
        <f>B75+1</f>
        <v>55</v>
      </c>
      <c r="C76" s="7"/>
      <c r="D76" s="10" t="s">
        <v>118</v>
      </c>
      <c r="E76" s="3" t="str">
        <f>"Line "&amp;B74&amp;" * Line "&amp;B75&amp;" / 365"</f>
        <v>Line 53 * Line 54 / 365</v>
      </c>
      <c r="F76" s="3"/>
      <c r="G76" s="3"/>
      <c r="H76" s="279">
        <f>H74*H75/365</f>
        <v>11766587.424657535</v>
      </c>
      <c r="I76" s="4"/>
      <c r="J76" s="336"/>
      <c r="K76" s="12">
        <f>K74*K75/365</f>
        <v>1587077.0060168174</v>
      </c>
      <c r="L76" s="482"/>
      <c r="M76" s="12">
        <f>M74*M75/365</f>
        <v>1646442.6795582324</v>
      </c>
      <c r="P76" s="9"/>
      <c r="Q76" s="9"/>
    </row>
    <row r="77" spans="2:17">
      <c r="B77" s="6"/>
      <c r="C77" s="7"/>
      <c r="D77" s="10"/>
      <c r="E77" s="3"/>
      <c r="F77" s="3"/>
      <c r="G77" s="3"/>
      <c r="H77" s="12"/>
      <c r="J77" s="459"/>
      <c r="K77" s="12"/>
      <c r="L77" s="482"/>
      <c r="M77" s="12"/>
      <c r="P77" s="9"/>
      <c r="Q77" s="9"/>
    </row>
    <row r="78" spans="2:17">
      <c r="B78" s="6">
        <f>+B76+1</f>
        <v>56</v>
      </c>
      <c r="C78" s="15">
        <v>165</v>
      </c>
      <c r="D78" s="10" t="s">
        <v>121</v>
      </c>
      <c r="E78" s="111" t="str">
        <f>'Worksheet F, Inputs'!$I$1&amp;", Line "&amp;'Worksheet F, Inputs'!A86&amp;", Col's "&amp;'Worksheet F, Inputs'!E9&amp;" Thru "&amp;'Worksheet F, Inputs'!G9</f>
        <v>Worksheet F, Line 64, Col's E Thru G</v>
      </c>
      <c r="F78" s="12">
        <f>'Worksheet F, Inputs'!E86</f>
        <v>1753602</v>
      </c>
      <c r="G78" s="12">
        <f>'Worksheet F, Inputs'!F86</f>
        <v>1628501</v>
      </c>
      <c r="H78" s="12">
        <f>'Worksheet F, Inputs'!G86</f>
        <v>1691051.5</v>
      </c>
      <c r="I78" s="4" t="str">
        <f>'Worksheet E, Alloc. Factor'!B$36</f>
        <v>T-Plant</v>
      </c>
      <c r="J78" s="336">
        <f>'Worksheet E, Alloc. Factor'!F36</f>
        <v>0.22527736485946975</v>
      </c>
      <c r="K78" s="12">
        <f>J78*H78</f>
        <v>380955.62576165359</v>
      </c>
      <c r="L78" s="459"/>
      <c r="M78" s="12">
        <f>L78*J78</f>
        <v>0</v>
      </c>
      <c r="P78" s="9"/>
      <c r="Q78" s="9"/>
    </row>
    <row r="79" spans="2:17">
      <c r="B79" s="6"/>
      <c r="C79" s="15"/>
      <c r="D79" s="10"/>
      <c r="E79" s="3"/>
      <c r="F79" s="3"/>
      <c r="G79" s="3"/>
      <c r="H79" s="12"/>
      <c r="I79" s="4"/>
      <c r="J79" s="336"/>
      <c r="K79" s="12"/>
      <c r="L79" s="459"/>
      <c r="P79" s="9"/>
      <c r="Q79" s="9"/>
    </row>
    <row r="80" spans="2:17">
      <c r="B80" s="6">
        <f>+B78+1</f>
        <v>57</v>
      </c>
      <c r="C80" s="15">
        <v>151</v>
      </c>
      <c r="D80" s="351" t="str">
        <f>'Worksheet F, Inputs'!C151</f>
        <v>M&amp;S Coal</v>
      </c>
      <c r="E80" s="111" t="str">
        <f>CONCATENATE('Worksheet F, Inputs'!$I$1,", Line ",'Worksheet F, Inputs'!A151," Col ",'Worksheet F, Inputs'!$E$9&amp;" thru "&amp;'Worksheet F, Inputs'!$G$9)</f>
        <v>Worksheet F, Line 118 Col E thru G</v>
      </c>
      <c r="F80" s="14">
        <f>'Worksheet F, Inputs'!E151</f>
        <v>22836143</v>
      </c>
      <c r="G80" s="14">
        <f>'Worksheet F, Inputs'!F151</f>
        <v>21718181</v>
      </c>
      <c r="H80" s="14">
        <f>'Worksheet F, Inputs'!G151</f>
        <v>22277162</v>
      </c>
      <c r="I80" s="339" t="s">
        <v>29</v>
      </c>
      <c r="J80" s="336">
        <f>'Worksheet E, Alloc. Factor'!F40</f>
        <v>0</v>
      </c>
      <c r="K80" s="12">
        <f t="shared" ref="K80:M85" si="10">H80*J80</f>
        <v>0</v>
      </c>
      <c r="L80" s="459"/>
      <c r="M80" s="12">
        <f t="shared" si="10"/>
        <v>0</v>
      </c>
      <c r="P80" s="9"/>
      <c r="Q80" s="9"/>
    </row>
    <row r="81" spans="2:17">
      <c r="B81" s="6">
        <f t="shared" ref="B81:B86" si="11">B80+1</f>
        <v>58</v>
      </c>
      <c r="C81" s="15">
        <v>151</v>
      </c>
      <c r="D81" s="351" t="str">
        <f>'Worksheet F, Inputs'!C152</f>
        <v>M&amp;S Other Fuel</v>
      </c>
      <c r="E81" s="111" t="str">
        <f>CONCATENATE('Worksheet F, Inputs'!$I$1,", Line ",'Worksheet F, Inputs'!A152," Col ",'Worksheet F, Inputs'!$E$9&amp;" thru "&amp;'Worksheet F, Inputs'!$G$9)</f>
        <v>Worksheet F, Line 119 Col E thru G</v>
      </c>
      <c r="F81" s="14">
        <f>'Worksheet F, Inputs'!E152</f>
        <v>197403</v>
      </c>
      <c r="G81" s="14">
        <f>'Worksheet F, Inputs'!F152</f>
        <v>164661</v>
      </c>
      <c r="H81" s="14">
        <f>'Worksheet F, Inputs'!G152</f>
        <v>181032</v>
      </c>
      <c r="I81" s="339" t="s">
        <v>29</v>
      </c>
      <c r="J81" s="336">
        <f>'Worksheet E, Alloc. Factor'!F40</f>
        <v>0</v>
      </c>
      <c r="K81" s="12">
        <f t="shared" si="10"/>
        <v>0</v>
      </c>
      <c r="L81" s="459"/>
      <c r="M81" s="12">
        <f t="shared" si="10"/>
        <v>0</v>
      </c>
      <c r="P81" s="9"/>
      <c r="Q81" s="9"/>
    </row>
    <row r="82" spans="2:17">
      <c r="B82" s="6">
        <f t="shared" si="11"/>
        <v>59</v>
      </c>
      <c r="C82" s="15">
        <v>154</v>
      </c>
      <c r="D82" s="351" t="str">
        <f>'Worksheet F, Inputs'!C153</f>
        <v>M&amp;S Production Plant Parts</v>
      </c>
      <c r="E82" s="111" t="str">
        <f>CONCATENATE('Worksheet F, Inputs'!$I$1,", Line ",'Worksheet F, Inputs'!A153," Col ",'Worksheet F, Inputs'!$E$9&amp;" thru "&amp;'Worksheet F, Inputs'!$G$9)</f>
        <v>Worksheet F, Line 120 Col E thru G</v>
      </c>
      <c r="F82" s="14">
        <f>'Worksheet F, Inputs'!E153</f>
        <v>29502635</v>
      </c>
      <c r="G82" s="14">
        <f>'Worksheet F, Inputs'!F153</f>
        <v>29574435</v>
      </c>
      <c r="H82" s="14">
        <f>'Worksheet F, Inputs'!G153</f>
        <v>29538535</v>
      </c>
      <c r="I82" s="339" t="s">
        <v>29</v>
      </c>
      <c r="J82" s="336">
        <f>'Worksheet E, Alloc. Factor'!F40</f>
        <v>0</v>
      </c>
      <c r="K82" s="12">
        <f t="shared" si="10"/>
        <v>0</v>
      </c>
      <c r="L82" s="459"/>
      <c r="M82" s="12">
        <f t="shared" si="10"/>
        <v>0</v>
      </c>
      <c r="P82" s="9"/>
      <c r="Q82" s="9"/>
    </row>
    <row r="83" spans="2:17">
      <c r="B83" s="6">
        <f t="shared" si="11"/>
        <v>60</v>
      </c>
      <c r="C83" s="15">
        <v>154</v>
      </c>
      <c r="D83" s="351" t="str">
        <f>'Worksheet F, Inputs'!C154</f>
        <v>M&amp;S Station Transformers &amp; Equipment</v>
      </c>
      <c r="E83" s="111" t="str">
        <f>CONCATENATE('Worksheet F, Inputs'!$I$1,", Line ",'Worksheet F, Inputs'!A154," Col ",'Worksheet F, Inputs'!$E$9&amp;" thru "&amp;'Worksheet F, Inputs'!$G$9)</f>
        <v>Worksheet F, Line 121 Col E thru G</v>
      </c>
      <c r="F83" s="14">
        <f>'Worksheet F, Inputs'!E154</f>
        <v>0</v>
      </c>
      <c r="G83" s="14">
        <f>'Worksheet F, Inputs'!F154</f>
        <v>0</v>
      </c>
      <c r="H83" s="14">
        <f>'Worksheet F, Inputs'!G154</f>
        <v>0</v>
      </c>
      <c r="I83" s="4" t="str">
        <f>'Worksheet E, Alloc. Factor'!B23</f>
        <v>T-Tran Stations</v>
      </c>
      <c r="J83" s="336">
        <f>'Worksheet E, Alloc. Factor'!F23</f>
        <v>0.92886999999999997</v>
      </c>
      <c r="K83" s="12">
        <f t="shared" si="10"/>
        <v>0</v>
      </c>
      <c r="L83" s="459"/>
      <c r="M83" s="12">
        <f t="shared" si="10"/>
        <v>0</v>
      </c>
      <c r="P83" s="9"/>
      <c r="Q83" s="9"/>
    </row>
    <row r="84" spans="2:17">
      <c r="B84" s="6">
        <f t="shared" si="11"/>
        <v>61</v>
      </c>
      <c r="C84" s="15">
        <v>154</v>
      </c>
      <c r="D84" s="351" t="str">
        <f>'Worksheet F, Inputs'!C155</f>
        <v>M&amp;S Line Materials &amp; Supplies</v>
      </c>
      <c r="E84" s="111" t="str">
        <f>CONCATENATE('Worksheet F, Inputs'!$I$1,", Line ",'Worksheet F, Inputs'!A155," Col ",'Worksheet F, Inputs'!$E$9&amp;" thru "&amp;'Worksheet F, Inputs'!$G$9)</f>
        <v>Worksheet F, Line 122 Col E thru G</v>
      </c>
      <c r="F84" s="14">
        <f>'Worksheet F, Inputs'!E155</f>
        <v>28799938</v>
      </c>
      <c r="G84" s="14">
        <f>'Worksheet F, Inputs'!F155</f>
        <v>28559621</v>
      </c>
      <c r="H84" s="14">
        <f>'Worksheet F, Inputs'!G155</f>
        <v>28679779.5</v>
      </c>
      <c r="I84" s="4" t="s">
        <v>78</v>
      </c>
      <c r="J84" s="336">
        <f>'Worksheet E, Alloc. Factor'!F30</f>
        <v>0.78673719871107473</v>
      </c>
      <c r="K84" s="12">
        <f t="shared" si="10"/>
        <v>22563449.383481309</v>
      </c>
      <c r="L84" s="459"/>
      <c r="M84" s="12">
        <f t="shared" si="10"/>
        <v>0</v>
      </c>
      <c r="P84" s="9"/>
      <c r="Q84" s="9"/>
    </row>
    <row r="85" spans="2:17">
      <c r="B85" s="6">
        <f t="shared" si="11"/>
        <v>62</v>
      </c>
      <c r="C85" s="15">
        <v>156</v>
      </c>
      <c r="D85" s="351" t="str">
        <f>'Worksheet F, Inputs'!C156</f>
        <v>M&amp;S Other</v>
      </c>
      <c r="E85" s="111" t="str">
        <f>CONCATENATE('Worksheet F, Inputs'!$I$1,", Line ",'Worksheet F, Inputs'!A156," Col ",'Worksheet F, Inputs'!$E$9&amp;" thru "&amp;'Worksheet F, Inputs'!$G$9)</f>
        <v>Worksheet F, Line 123 Col E thru G</v>
      </c>
      <c r="F85" s="14">
        <f>'Worksheet F, Inputs'!E156</f>
        <v>0</v>
      </c>
      <c r="G85" s="14">
        <f>'Worksheet F, Inputs'!F156</f>
        <v>0</v>
      </c>
      <c r="H85" s="14">
        <f>'Worksheet F, Inputs'!G156</f>
        <v>0</v>
      </c>
      <c r="I85" s="4" t="str">
        <f>'Worksheet E, Alloc. Factor'!B$36</f>
        <v>T-Plant</v>
      </c>
      <c r="J85" s="336">
        <f>'Worksheet E, Alloc. Factor'!F36</f>
        <v>0.22527736485946975</v>
      </c>
      <c r="K85" s="12">
        <f t="shared" si="10"/>
        <v>0</v>
      </c>
      <c r="L85" s="459"/>
      <c r="M85" s="12">
        <f t="shared" si="10"/>
        <v>0</v>
      </c>
      <c r="P85" s="9"/>
      <c r="Q85" s="9"/>
    </row>
    <row r="86" spans="2:17">
      <c r="B86" s="6">
        <f t="shared" si="11"/>
        <v>63</v>
      </c>
      <c r="C86" s="7"/>
      <c r="D86" s="10" t="s">
        <v>122</v>
      </c>
      <c r="E86" s="3" t="s">
        <v>41</v>
      </c>
      <c r="F86" s="352">
        <f>SUM(F80:F85)</f>
        <v>81336119</v>
      </c>
      <c r="G86" s="352">
        <f>SUM(G80:G85)</f>
        <v>80016898</v>
      </c>
      <c r="H86" s="352">
        <f>SUM(H80:H85)</f>
        <v>80676508.5</v>
      </c>
      <c r="I86" s="4"/>
      <c r="J86" s="336"/>
      <c r="K86" s="352">
        <f>SUM(K80:K85)</f>
        <v>22563449.383481309</v>
      </c>
      <c r="L86" s="459"/>
      <c r="M86" s="352">
        <f>SUM(M80:M85)</f>
        <v>0</v>
      </c>
      <c r="P86" s="9"/>
      <c r="Q86" s="9"/>
    </row>
    <row r="87" spans="2:17">
      <c r="B87" s="6"/>
      <c r="C87" s="7"/>
      <c r="D87" s="10"/>
      <c r="E87" s="3"/>
      <c r="F87" s="352"/>
      <c r="G87" s="352"/>
      <c r="H87" s="352"/>
      <c r="I87" s="4"/>
      <c r="J87" s="336"/>
      <c r="K87" s="352"/>
      <c r="L87" s="459"/>
      <c r="M87" s="352"/>
      <c r="P87" s="9"/>
      <c r="Q87" s="9"/>
    </row>
    <row r="88" spans="2:17">
      <c r="B88" s="6">
        <f>+B86+1</f>
        <v>64</v>
      </c>
      <c r="C88" s="7"/>
      <c r="D88" s="10" t="s">
        <v>123</v>
      </c>
      <c r="E88" s="3" t="s">
        <v>54</v>
      </c>
      <c r="F88" s="3"/>
      <c r="G88" s="12"/>
      <c r="H88" s="12">
        <f>SUM(H69:H71,H66,H76,H78,H86)</f>
        <v>1085481840.9246576</v>
      </c>
      <c r="J88" s="459">
        <f>K88/H88</f>
        <v>0.25850753913629643</v>
      </c>
      <c r="K88" s="12">
        <f>SUM(K69:K71,K66,K76,K78,K86)</f>
        <v>280605239.47457004</v>
      </c>
      <c r="M88" s="12">
        <f>SUM(M69:M71,M66,M76,M78,M86)</f>
        <v>3592068.7697113906</v>
      </c>
      <c r="P88" s="9"/>
      <c r="Q88" s="9"/>
    </row>
    <row r="89" spans="2:17">
      <c r="P89" s="9"/>
      <c r="Q89" s="9"/>
    </row>
    <row r="90" spans="2:17">
      <c r="B90" s="467">
        <f>B88+1</f>
        <v>65</v>
      </c>
      <c r="C90" s="2" t="s">
        <v>1306</v>
      </c>
      <c r="P90" s="9"/>
      <c r="Q90" s="9"/>
    </row>
    <row r="91" spans="2:17">
      <c r="B91" s="467">
        <f>B90+1</f>
        <v>66</v>
      </c>
      <c r="C91" s="2" t="s">
        <v>1488</v>
      </c>
      <c r="P91" s="9"/>
      <c r="Q91" s="9"/>
    </row>
    <row r="92" spans="2:17">
      <c r="P92" s="9"/>
      <c r="Q92" s="9"/>
    </row>
    <row r="93" spans="2:17">
      <c r="P93" s="9"/>
      <c r="Q93" s="9"/>
    </row>
    <row r="94" spans="2:17">
      <c r="P94" s="9"/>
      <c r="Q94" s="9"/>
    </row>
    <row r="95" spans="2:17">
      <c r="P95" s="9"/>
      <c r="Q95" s="9"/>
    </row>
    <row r="96" spans="2:17">
      <c r="P96" s="9"/>
      <c r="Q96" s="9"/>
    </row>
    <row r="97" spans="16:17">
      <c r="P97" s="9"/>
      <c r="Q97" s="9"/>
    </row>
    <row r="98" spans="16:17">
      <c r="P98" s="9"/>
      <c r="Q98" s="9"/>
    </row>
    <row r="99" spans="16:17">
      <c r="P99" s="9"/>
      <c r="Q99" s="9"/>
    </row>
    <row r="100" spans="16:17">
      <c r="P100" s="9"/>
      <c r="Q100" s="9"/>
    </row>
    <row r="101" spans="16:17">
      <c r="P101" s="9"/>
      <c r="Q101" s="9"/>
    </row>
    <row r="102" spans="16:17">
      <c r="P102" s="9"/>
      <c r="Q102" s="9"/>
    </row>
    <row r="103" spans="16:17">
      <c r="P103" s="9"/>
      <c r="Q103" s="9"/>
    </row>
    <row r="104" spans="16:17">
      <c r="P104" s="9"/>
      <c r="Q104" s="9"/>
    </row>
    <row r="105" spans="16:17">
      <c r="P105" s="9"/>
      <c r="Q105" s="9"/>
    </row>
    <row r="106" spans="16:17">
      <c r="P106" s="9"/>
      <c r="Q106" s="9"/>
    </row>
    <row r="107" spans="16:17">
      <c r="P107" s="9"/>
      <c r="Q107" s="9"/>
    </row>
    <row r="108" spans="16:17">
      <c r="P108" s="9"/>
      <c r="Q108" s="9"/>
    </row>
    <row r="109" spans="16:17">
      <c r="P109" s="9"/>
      <c r="Q109" s="9"/>
    </row>
    <row r="110" spans="16:17">
      <c r="P110" s="9"/>
      <c r="Q110" s="9"/>
    </row>
    <row r="111" spans="16:17">
      <c r="P111" s="9"/>
      <c r="Q111" s="9"/>
    </row>
    <row r="112" spans="16:17">
      <c r="P112" s="9"/>
      <c r="Q112" s="9"/>
    </row>
    <row r="113" spans="16:17">
      <c r="P113" s="9"/>
      <c r="Q113" s="9"/>
    </row>
    <row r="114" spans="16:17">
      <c r="P114" s="9"/>
      <c r="Q114" s="9"/>
    </row>
    <row r="115" spans="16:17">
      <c r="P115" s="9"/>
      <c r="Q115" s="9"/>
    </row>
    <row r="116" spans="16:17">
      <c r="P116" s="9"/>
      <c r="Q116" s="9"/>
    </row>
    <row r="117" spans="16:17">
      <c r="P117" s="9"/>
      <c r="Q117" s="9"/>
    </row>
    <row r="118" spans="16:17">
      <c r="P118" s="9"/>
      <c r="Q118" s="9"/>
    </row>
    <row r="119" spans="16:17">
      <c r="P119" s="9"/>
      <c r="Q119" s="9"/>
    </row>
    <row r="120" spans="16:17">
      <c r="P120" s="9"/>
      <c r="Q120" s="9"/>
    </row>
    <row r="121" spans="16:17">
      <c r="P121" s="9"/>
      <c r="Q121" s="9"/>
    </row>
    <row r="122" spans="16:17">
      <c r="P122" s="9"/>
      <c r="Q122" s="9"/>
    </row>
    <row r="123" spans="16:17">
      <c r="P123" s="9"/>
      <c r="Q123" s="9"/>
    </row>
    <row r="124" spans="16:17">
      <c r="P124" s="9"/>
      <c r="Q124" s="9"/>
    </row>
    <row r="125" spans="16:17">
      <c r="P125" s="9"/>
      <c r="Q125" s="9"/>
    </row>
    <row r="126" spans="16:17">
      <c r="P126" s="9"/>
      <c r="Q126" s="9"/>
    </row>
    <row r="127" spans="16:17">
      <c r="P127" s="9"/>
      <c r="Q127" s="9"/>
    </row>
    <row r="128" spans="16:17">
      <c r="P128" s="9"/>
      <c r="Q128" s="9"/>
    </row>
    <row r="129" spans="16:17">
      <c r="P129" s="9"/>
      <c r="Q129" s="9"/>
    </row>
    <row r="130" spans="16:17">
      <c r="P130" s="9"/>
      <c r="Q130" s="9"/>
    </row>
    <row r="131" spans="16:17">
      <c r="P131" s="9"/>
      <c r="Q131" s="9"/>
    </row>
    <row r="132" spans="16:17">
      <c r="P132" s="9"/>
      <c r="Q132" s="9"/>
    </row>
    <row r="133" spans="16:17">
      <c r="P133" s="9"/>
      <c r="Q133" s="9"/>
    </row>
    <row r="134" spans="16:17">
      <c r="P134" s="9"/>
      <c r="Q134" s="9"/>
    </row>
  </sheetData>
  <conditionalFormatting sqref="A1:XFD1048576">
    <cfRule type="containsErrors" dxfId="7" priority="1">
      <formula>ISERROR(A1)</formula>
    </cfRule>
  </conditionalFormatting>
  <printOptions horizontalCentered="1"/>
  <pageMargins left="0.7" right="0.7" top="0.75" bottom="0.75" header="0.3" footer="0.3"/>
  <pageSetup scale="48" fitToHeight="0" orientation="landscape" horizontalDpi="1200" verticalDpi="1200" r:id="rId1"/>
  <headerFooter>
    <oddHeader>&amp;RPage &amp;P
Worksheet A</oddHeader>
  </headerFooter>
  <rowBreaks count="1" manualBreakCount="1">
    <brk id="5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9"/>
  <sheetViews>
    <sheetView topLeftCell="D31" zoomScaleNormal="100" workbookViewId="0">
      <selection activeCell="D73" sqref="D73"/>
    </sheetView>
  </sheetViews>
  <sheetFormatPr defaultColWidth="9.19921875" defaultRowHeight="13.8"/>
  <cols>
    <col min="1" max="1" width="2.59765625" style="2" customWidth="1"/>
    <col min="2" max="2" width="5.5" style="2" customWidth="1"/>
    <col min="3" max="3" width="8.8984375" style="2" customWidth="1"/>
    <col min="4" max="4" width="47.19921875" style="2" customWidth="1"/>
    <col min="5" max="5" width="39.5" style="2" customWidth="1"/>
    <col min="6" max="6" width="17.19921875" style="2" customWidth="1"/>
    <col min="7" max="7" width="15.5" style="2" customWidth="1"/>
    <col min="8" max="8" width="15" style="2" customWidth="1"/>
    <col min="9" max="9" width="22.69921875" style="2" customWidth="1"/>
    <col min="10" max="10" width="14.3984375" style="2" customWidth="1"/>
    <col min="11" max="11" width="19.19921875" style="2" customWidth="1"/>
    <col min="12" max="12" width="12.8984375" style="2" customWidth="1"/>
    <col min="13" max="13" width="12.69921875" style="2" customWidth="1"/>
    <col min="14" max="16384" width="9.19921875" style="2"/>
  </cols>
  <sheetData>
    <row r="1" spans="2:15">
      <c r="M1" s="177"/>
    </row>
    <row r="2" spans="2:15">
      <c r="O2" s="177" t="s">
        <v>1314</v>
      </c>
    </row>
    <row r="4" spans="2:15" ht="17.399999999999999">
      <c r="B4" s="358" t="str">
        <f>Index!B4</f>
        <v>Western Farmers Electric Cooperative, Inc.</v>
      </c>
    </row>
    <row r="5" spans="2:15" ht="17.399999999999999">
      <c r="B5" s="357"/>
      <c r="K5" s="2" t="s">
        <v>0</v>
      </c>
    </row>
    <row r="6" spans="2:15" ht="17.399999999999999">
      <c r="B6" s="358" t="s">
        <v>124</v>
      </c>
    </row>
    <row r="7" spans="2:15" ht="17.399999999999999">
      <c r="B7" s="358" t="str">
        <f>'Summary ATRR'!$B$7</f>
        <v>Year Ending December 31, 2016</v>
      </c>
    </row>
    <row r="9" spans="2:15">
      <c r="B9" s="17" t="s">
        <v>3</v>
      </c>
      <c r="C9" s="17" t="s">
        <v>4</v>
      </c>
      <c r="D9" s="17" t="s">
        <v>5</v>
      </c>
      <c r="E9" s="17" t="s">
        <v>9</v>
      </c>
      <c r="F9" s="17" t="s">
        <v>10</v>
      </c>
      <c r="G9" s="17" t="s">
        <v>11</v>
      </c>
      <c r="H9" s="17" t="s">
        <v>12</v>
      </c>
      <c r="I9" s="17" t="s">
        <v>13</v>
      </c>
      <c r="J9" s="17" t="s">
        <v>14</v>
      </c>
      <c r="K9" s="17" t="s">
        <v>15</v>
      </c>
      <c r="L9" s="17" t="s">
        <v>60</v>
      </c>
      <c r="M9" s="17" t="s">
        <v>422</v>
      </c>
    </row>
    <row r="10" spans="2:15" ht="42.75" customHeight="1">
      <c r="B10" s="201" t="s">
        <v>16</v>
      </c>
      <c r="C10" s="201" t="s">
        <v>198</v>
      </c>
      <c r="D10" s="201" t="s">
        <v>7</v>
      </c>
      <c r="E10" s="201" t="s">
        <v>17</v>
      </c>
      <c r="F10" s="268" t="s">
        <v>126</v>
      </c>
      <c r="G10" s="268" t="s">
        <v>127</v>
      </c>
      <c r="H10" s="201" t="s">
        <v>18</v>
      </c>
      <c r="I10" s="201" t="s">
        <v>20</v>
      </c>
      <c r="J10" s="201" t="s">
        <v>21</v>
      </c>
      <c r="K10" s="201" t="s">
        <v>63</v>
      </c>
      <c r="L10" s="201" t="s">
        <v>1385</v>
      </c>
      <c r="M10" s="201" t="s">
        <v>1356</v>
      </c>
    </row>
    <row r="11" spans="2:15">
      <c r="B11" s="6">
        <v>1</v>
      </c>
      <c r="C11" s="6"/>
      <c r="D11" s="327" t="s">
        <v>125</v>
      </c>
      <c r="E11" s="327"/>
      <c r="F11" s="85"/>
      <c r="G11" s="328"/>
      <c r="H11" s="328"/>
      <c r="K11" s="329"/>
    </row>
    <row r="12" spans="2:15">
      <c r="B12" s="15"/>
      <c r="C12" s="15"/>
      <c r="D12" s="327"/>
      <c r="E12" s="327"/>
      <c r="F12" s="327"/>
      <c r="H12" s="330"/>
      <c r="K12" s="329"/>
    </row>
    <row r="13" spans="2:15">
      <c r="B13" s="15">
        <f>B11+1</f>
        <v>2</v>
      </c>
      <c r="C13" s="15">
        <v>560</v>
      </c>
      <c r="D13" s="331" t="str">
        <f>'Worksheet G, O&amp;M Input'!B13</f>
        <v>Supervision and Engineering</v>
      </c>
      <c r="E13" s="83" t="str">
        <f>CONCATENATE('Worksheet G, O&amp;M Input'!$H$2,", Line ",'Worksheet G, O&amp;M Input'!A13," Cols ",'Worksheet G, O&amp;M Input'!D8," Thru ",'Worksheet G, O&amp;M Input'!F8)</f>
        <v>Worksheet G, Line 1 Cols D Thru F</v>
      </c>
      <c r="F13" s="82">
        <f>'Worksheet G, O&amp;M Input'!D13</f>
        <v>509019</v>
      </c>
      <c r="G13" s="332">
        <f>'Worksheet G, O&amp;M Input'!E13</f>
        <v>224112</v>
      </c>
      <c r="H13" s="332">
        <f t="shared" ref="H13:H26" si="0">SUM(F13:G13)</f>
        <v>733131</v>
      </c>
      <c r="I13" s="4" t="s">
        <v>102</v>
      </c>
      <c r="J13" s="336">
        <f>'Worksheet E, Alloc. Factor'!F33</f>
        <v>0.83532377030701277</v>
      </c>
      <c r="K13" s="332">
        <f t="shared" ref="K13:K26" si="1">H13*J13</f>
        <v>612401.75104895059</v>
      </c>
    </row>
    <row r="14" spans="2:15">
      <c r="B14" s="15">
        <f>B13+1</f>
        <v>3</v>
      </c>
      <c r="C14" s="15">
        <v>561</v>
      </c>
      <c r="D14" s="331" t="str">
        <f>'Worksheet G, O&amp;M Input'!B14</f>
        <v>Load Dispatching</v>
      </c>
      <c r="E14" s="83" t="str">
        <f>CONCATENATE('Worksheet G, O&amp;M Input'!$H$2,", Line ",'Worksheet G, O&amp;M Input'!A14," Cols ",'Worksheet G, O&amp;M Input'!D8," and ",'Worksheet G, O&amp;M Input'!F8)</f>
        <v>Worksheet G, Line 2 Cols D and F</v>
      </c>
      <c r="F14" s="82">
        <f>'Worksheet G, O&amp;M Input'!D14</f>
        <v>12479412</v>
      </c>
      <c r="G14" s="332">
        <f>'Worksheet G, O&amp;M Input'!E14</f>
        <v>0</v>
      </c>
      <c r="H14" s="332">
        <f t="shared" si="0"/>
        <v>12479412</v>
      </c>
      <c r="I14" s="4" t="s">
        <v>29</v>
      </c>
      <c r="J14" s="336">
        <f>'Worksheet E, Alloc. Factor'!$F$40</f>
        <v>0</v>
      </c>
      <c r="K14" s="332">
        <f t="shared" si="1"/>
        <v>0</v>
      </c>
      <c r="L14" s="459">
        <v>1</v>
      </c>
      <c r="M14" s="9">
        <f>H14*L14</f>
        <v>12479412</v>
      </c>
    </row>
    <row r="15" spans="2:15">
      <c r="B15" s="15">
        <f t="shared" ref="B15:B29" si="2">B14+1</f>
        <v>4</v>
      </c>
      <c r="C15" s="15">
        <v>562</v>
      </c>
      <c r="D15" s="331" t="str">
        <f>'Worksheet G, O&amp;M Input'!B15</f>
        <v>Station Expenses</v>
      </c>
      <c r="E15" s="83" t="str">
        <f>CONCATENATE('Worksheet G, O&amp;M Input'!$H$2,", Line ",'Worksheet G, O&amp;M Input'!A15," Cols ",'Worksheet G, O&amp;M Input'!E8," Thru ",'Worksheet G, O&amp;M Input'!F8)</f>
        <v>Worksheet G, Line 3 Cols E Thru F</v>
      </c>
      <c r="F15" s="82">
        <f>'Worksheet G, O&amp;M Input'!D15</f>
        <v>0</v>
      </c>
      <c r="G15" s="332">
        <f>'Worksheet G, O&amp;M Input'!E15</f>
        <v>2435999</v>
      </c>
      <c r="H15" s="332">
        <f t="shared" si="0"/>
        <v>2435999</v>
      </c>
      <c r="I15" s="4" t="s">
        <v>73</v>
      </c>
      <c r="J15" s="336">
        <f>'Worksheet E, Alloc. Factor'!F23</f>
        <v>0.92886999999999997</v>
      </c>
      <c r="K15" s="332">
        <f t="shared" si="1"/>
        <v>2262726.3911299999</v>
      </c>
      <c r="L15" s="459"/>
    </row>
    <row r="16" spans="2:15">
      <c r="B16" s="15">
        <f t="shared" si="2"/>
        <v>5</v>
      </c>
      <c r="C16" s="15">
        <v>563</v>
      </c>
      <c r="D16" s="331" t="str">
        <f>'Worksheet G, O&amp;M Input'!B16</f>
        <v>Overhead Line Expenses</v>
      </c>
      <c r="E16" s="83" t="str">
        <f>CONCATENATE('Worksheet G, O&amp;M Input'!$H$2,", Line ",'Worksheet G, O&amp;M Input'!A16," Cols ",'Worksheet G, O&amp;M Input'!D8," and ",'Worksheet G, O&amp;M Input'!F8)</f>
        <v>Worksheet G, Line 4 Cols D and F</v>
      </c>
      <c r="F16" s="82">
        <f>'Worksheet G, O&amp;M Input'!D16</f>
        <v>3107829</v>
      </c>
      <c r="G16" s="332">
        <f>'Worksheet G, O&amp;M Input'!E16</f>
        <v>0</v>
      </c>
      <c r="H16" s="332">
        <f t="shared" si="0"/>
        <v>3107829</v>
      </c>
      <c r="I16" s="4" t="s">
        <v>78</v>
      </c>
      <c r="J16" s="336">
        <f>'Worksheet E, Alloc. Factor'!F30</f>
        <v>0.78673719871107473</v>
      </c>
      <c r="K16" s="332">
        <f t="shared" si="1"/>
        <v>2445044.6815330405</v>
      </c>
      <c r="L16" s="459"/>
    </row>
    <row r="17" spans="1:13">
      <c r="B17" s="15">
        <f t="shared" si="2"/>
        <v>6</v>
      </c>
      <c r="C17" s="15">
        <v>564</v>
      </c>
      <c r="D17" s="331" t="str">
        <f>'Worksheet G, O&amp;M Input'!B17</f>
        <v>Underground Line Expenses</v>
      </c>
      <c r="E17" s="83" t="str">
        <f>CONCATENATE('Worksheet G, O&amp;M Input'!$H$2,", Line ",'Worksheet G, O&amp;M Input'!A17," Cols ",'Worksheet G, O&amp;M Input'!D8," and ",'Worksheet G, O&amp;M Input'!F8)</f>
        <v>Worksheet G, Line 5 Cols D and F</v>
      </c>
      <c r="F17" s="82">
        <f>'Worksheet G, O&amp;M Input'!D17</f>
        <v>0</v>
      </c>
      <c r="G17" s="332">
        <f>'Worksheet G, O&amp;M Input'!E17</f>
        <v>0</v>
      </c>
      <c r="H17" s="332">
        <f t="shared" si="0"/>
        <v>0</v>
      </c>
      <c r="I17" s="4" t="s">
        <v>78</v>
      </c>
      <c r="J17" s="336">
        <f>'Worksheet E, Alloc. Factor'!F30</f>
        <v>0.78673719871107473</v>
      </c>
      <c r="K17" s="333">
        <f t="shared" si="1"/>
        <v>0</v>
      </c>
      <c r="L17" s="459"/>
    </row>
    <row r="18" spans="1:13">
      <c r="B18" s="15">
        <f t="shared" si="2"/>
        <v>7</v>
      </c>
      <c r="C18" s="15">
        <v>566</v>
      </c>
      <c r="D18" s="331" t="str">
        <f>'Worksheet G, O&amp;M Input'!B18</f>
        <v>Miscellaneous Expenses</v>
      </c>
      <c r="E18" s="83" t="str">
        <f>CONCATENATE('Worksheet G, O&amp;M Input'!$H$2,", Line ",'Worksheet G, O&amp;M Input'!A18," Cols ",'Worksheet G, O&amp;M Input'!D8," Thru ",'Worksheet G, O&amp;M Input'!F8)</f>
        <v>Worksheet G, Line 6 Cols D Thru F</v>
      </c>
      <c r="F18" s="82">
        <f>'Worksheet G, O&amp;M Input'!D18</f>
        <v>2931646</v>
      </c>
      <c r="G18" s="332">
        <f>'Worksheet G, O&amp;M Input'!E18</f>
        <v>1290751</v>
      </c>
      <c r="H18" s="332">
        <f t="shared" si="0"/>
        <v>4222397</v>
      </c>
      <c r="I18" s="4" t="s">
        <v>102</v>
      </c>
      <c r="J18" s="336">
        <f>'Worksheet E, Alloc. Factor'!F33</f>
        <v>0.83532377030701277</v>
      </c>
      <c r="K18" s="332">
        <f t="shared" si="1"/>
        <v>3527068.5817730199</v>
      </c>
      <c r="L18" s="459"/>
    </row>
    <row r="19" spans="1:13">
      <c r="B19" s="15">
        <f t="shared" si="2"/>
        <v>8</v>
      </c>
      <c r="C19" s="15">
        <v>565</v>
      </c>
      <c r="D19" s="331" t="str">
        <f>'Worksheet G, O&amp;M Input'!B20</f>
        <v>Transmission of Electricity by others</v>
      </c>
      <c r="E19" s="83" t="str">
        <f>CONCATENATE('Worksheet G, O&amp;M Input'!$H$2,", Line ",'Worksheet G, O&amp;M Input'!A20," Cols ",'Worksheet G, O&amp;M Input'!D8," and ",'Worksheet G, O&amp;M Input'!F8)</f>
        <v>Worksheet G, Line 8 Cols D and F</v>
      </c>
      <c r="F19" s="82">
        <f>'Worksheet G, O&amp;M Input'!D20</f>
        <v>55737190</v>
      </c>
      <c r="G19" s="88">
        <f>'Worksheet G, O&amp;M Input'!E20</f>
        <v>0</v>
      </c>
      <c r="H19" s="332">
        <f t="shared" si="0"/>
        <v>55737190</v>
      </c>
      <c r="I19" s="4" t="s">
        <v>29</v>
      </c>
      <c r="J19" s="336">
        <f>'Worksheet E, Alloc. Factor'!F40</f>
        <v>0</v>
      </c>
      <c r="K19" s="332">
        <f t="shared" si="1"/>
        <v>0</v>
      </c>
      <c r="L19" s="459"/>
    </row>
    <row r="20" spans="1:13">
      <c r="B20" s="15">
        <f t="shared" si="2"/>
        <v>9</v>
      </c>
      <c r="C20" s="15">
        <v>567</v>
      </c>
      <c r="D20" s="331" t="str">
        <f>'Worksheet G, O&amp;M Input'!B21</f>
        <v>Rents</v>
      </c>
      <c r="E20" s="83" t="str">
        <f>CONCATENATE('Worksheet G, O&amp;M Input'!$H$2,", Line ",'Worksheet G, O&amp;M Input'!A21," Cols ",'Worksheet G, O&amp;M Input'!D8," Thru ",'Worksheet G, O&amp;M Input'!F8)</f>
        <v>Worksheet G, Line 9 Cols D Thru F</v>
      </c>
      <c r="F20" s="82">
        <f>'Worksheet G, O&amp;M Input'!D21</f>
        <v>0</v>
      </c>
      <c r="G20" s="88">
        <f>'Worksheet G, O&amp;M Input'!E21</f>
        <v>0</v>
      </c>
      <c r="H20" s="332">
        <f t="shared" si="0"/>
        <v>0</v>
      </c>
      <c r="I20" s="4" t="s">
        <v>73</v>
      </c>
      <c r="J20" s="336">
        <f>'Worksheet E, Alloc. Factor'!F23</f>
        <v>0.92886999999999997</v>
      </c>
      <c r="K20" s="332">
        <f t="shared" si="1"/>
        <v>0</v>
      </c>
      <c r="L20" s="459"/>
    </row>
    <row r="21" spans="1:13">
      <c r="A21" s="15"/>
      <c r="B21" s="15">
        <f t="shared" si="2"/>
        <v>10</v>
      </c>
      <c r="C21" s="15">
        <v>568</v>
      </c>
      <c r="D21" s="331" t="str">
        <f>'Worksheet G, O&amp;M Input'!B24</f>
        <v>Supervision and Engineering</v>
      </c>
      <c r="E21" s="83" t="str">
        <f>CONCATENATE('Worksheet G, O&amp;M Input'!$H$2,", Line ",'Worksheet G, O&amp;M Input'!A24," Cols ",'Worksheet G, O&amp;M Input'!D8," Thru ",'Worksheet G, O&amp;M Input'!F8)</f>
        <v>Worksheet G, Line 11 Cols D Thru F</v>
      </c>
      <c r="F21" s="82">
        <f>'Worksheet G, O&amp;M Input'!D24</f>
        <v>256</v>
      </c>
      <c r="G21" s="14">
        <f>'Worksheet G, O&amp;M Input'!E24</f>
        <v>113</v>
      </c>
      <c r="H21" s="332">
        <f t="shared" si="0"/>
        <v>369</v>
      </c>
      <c r="I21" s="4" t="s">
        <v>102</v>
      </c>
      <c r="J21" s="336">
        <f>'Worksheet E, Alloc. Factor'!F33</f>
        <v>0.83532377030701277</v>
      </c>
      <c r="K21" s="332">
        <f t="shared" si="1"/>
        <v>308.23447124328771</v>
      </c>
      <c r="L21" s="459"/>
    </row>
    <row r="22" spans="1:13">
      <c r="B22" s="15">
        <f t="shared" si="2"/>
        <v>11</v>
      </c>
      <c r="C22" s="15">
        <v>569</v>
      </c>
      <c r="D22" s="331" t="str">
        <f>'Worksheet G, O&amp;M Input'!B25</f>
        <v>Structures</v>
      </c>
      <c r="E22" s="83" t="str">
        <f>CONCATENATE('Worksheet G, O&amp;M Input'!$H$2,", Line ",'Worksheet G, O&amp;M Input'!A25," Cols ",'Worksheet G, O&amp;M Input'!E$8," Thru ",'Worksheet G, O&amp;M Input'!F$8)</f>
        <v>Worksheet G, Line 12 Cols E Thru F</v>
      </c>
      <c r="F22" s="82"/>
      <c r="G22" s="14">
        <f>'Worksheet G, O&amp;M Input'!E25</f>
        <v>0</v>
      </c>
      <c r="H22" s="332">
        <f t="shared" si="0"/>
        <v>0</v>
      </c>
      <c r="I22" s="4" t="s">
        <v>73</v>
      </c>
      <c r="J22" s="336">
        <f>'Worksheet E, Alloc. Factor'!F23</f>
        <v>0.92886999999999997</v>
      </c>
      <c r="K22" s="332">
        <f t="shared" si="1"/>
        <v>0</v>
      </c>
      <c r="L22" s="459"/>
    </row>
    <row r="23" spans="1:13">
      <c r="B23" s="15">
        <f t="shared" si="2"/>
        <v>12</v>
      </c>
      <c r="C23" s="15">
        <v>570</v>
      </c>
      <c r="D23" s="331" t="str">
        <f>'Worksheet G, O&amp;M Input'!B26</f>
        <v>Station Equipment</v>
      </c>
      <c r="E23" s="83" t="str">
        <f>CONCATENATE('Worksheet G, O&amp;M Input'!$H$2,", Line ",'Worksheet G, O&amp;M Input'!A26," Cols ",'Worksheet G, O&amp;M Input'!E$8," Thru ",'Worksheet G, O&amp;M Input'!F$8)</f>
        <v>Worksheet G, Line 13 Cols E Thru F</v>
      </c>
      <c r="F23" s="82"/>
      <c r="G23" s="14">
        <f>'Worksheet G, O&amp;M Input'!E26</f>
        <v>165845</v>
      </c>
      <c r="H23" s="332">
        <f t="shared" si="0"/>
        <v>165845</v>
      </c>
      <c r="I23" s="4" t="s">
        <v>73</v>
      </c>
      <c r="J23" s="336">
        <f>'Worksheet E, Alloc. Factor'!F23</f>
        <v>0.92886999999999997</v>
      </c>
      <c r="K23" s="332">
        <f t="shared" si="1"/>
        <v>154048.44514999999</v>
      </c>
      <c r="L23" s="459"/>
    </row>
    <row r="24" spans="1:13">
      <c r="B24" s="15">
        <f t="shared" si="2"/>
        <v>13</v>
      </c>
      <c r="C24" s="15">
        <v>571</v>
      </c>
      <c r="D24" s="331" t="str">
        <f>'Worksheet G, O&amp;M Input'!B27</f>
        <v>Overhead Lines</v>
      </c>
      <c r="E24" s="83" t="str">
        <f>CONCATENATE('Worksheet G, O&amp;M Input'!$H$2,", Line ",'Worksheet G, O&amp;M Input'!A27," Cols ",'Worksheet G, O&amp;M Input'!D$8," and ",'Worksheet G, O&amp;M Input'!F$8)</f>
        <v>Worksheet G, Line 14 Cols D and F</v>
      </c>
      <c r="F24" s="82">
        <f>'Worksheet G, O&amp;M Input'!D27</f>
        <v>1682262</v>
      </c>
      <c r="G24" s="14"/>
      <c r="H24" s="332">
        <f t="shared" si="0"/>
        <v>1682262</v>
      </c>
      <c r="I24" s="4" t="s">
        <v>78</v>
      </c>
      <c r="J24" s="336">
        <f>'Worksheet E, Alloc. Factor'!F30</f>
        <v>0.78673719871107473</v>
      </c>
      <c r="K24" s="332">
        <f t="shared" si="1"/>
        <v>1323498.0933780901</v>
      </c>
      <c r="L24" s="459"/>
    </row>
    <row r="25" spans="1:13">
      <c r="B25" s="15">
        <f t="shared" si="2"/>
        <v>14</v>
      </c>
      <c r="C25" s="15">
        <v>572</v>
      </c>
      <c r="D25" s="331" t="str">
        <f>'Worksheet G, O&amp;M Input'!B28</f>
        <v>Underground Lines</v>
      </c>
      <c r="E25" s="83" t="str">
        <f>CONCATENATE('Worksheet G, O&amp;M Input'!$H$2,", Line ",'Worksheet G, O&amp;M Input'!A28," Cols ",'Worksheet G, O&amp;M Input'!D$8," and ",'Worksheet G, O&amp;M Input'!F$8)</f>
        <v>Worksheet G, Line 15 Cols D and F</v>
      </c>
      <c r="F25" s="82">
        <f>'Worksheet G, O&amp;M Input'!D28</f>
        <v>0</v>
      </c>
      <c r="G25" s="14"/>
      <c r="H25" s="332">
        <f t="shared" si="0"/>
        <v>0</v>
      </c>
      <c r="I25" s="4" t="s">
        <v>78</v>
      </c>
      <c r="J25" s="336">
        <f>'Worksheet E, Alloc. Factor'!F30</f>
        <v>0.78673719871107473</v>
      </c>
      <c r="K25" s="332">
        <f t="shared" si="1"/>
        <v>0</v>
      </c>
      <c r="L25" s="459"/>
    </row>
    <row r="26" spans="1:13">
      <c r="B26" s="15">
        <f t="shared" si="2"/>
        <v>15</v>
      </c>
      <c r="C26" s="15">
        <v>573</v>
      </c>
      <c r="D26" s="331" t="str">
        <f>'Worksheet G, O&amp;M Input'!B29</f>
        <v>Miscellaneous Transmission Plant</v>
      </c>
      <c r="E26" s="83" t="str">
        <f>CONCATENATE('Worksheet G, O&amp;M Input'!$H$2,", Line ",'Worksheet G, O&amp;M Input'!A29," Cols ",'Worksheet G, O&amp;M Input'!D8," Thru ",'Worksheet G, O&amp;M Input'!F8)</f>
        <v>Worksheet G, Line 16 Cols D Thru F</v>
      </c>
      <c r="F26" s="82">
        <f>'Worksheet G, O&amp;M Input'!D29</f>
        <v>229881</v>
      </c>
      <c r="G26" s="14">
        <f>'Worksheet G, O&amp;M Input'!E29</f>
        <v>101212</v>
      </c>
      <c r="H26" s="332">
        <f t="shared" si="0"/>
        <v>331093</v>
      </c>
      <c r="I26" s="4" t="s">
        <v>102</v>
      </c>
      <c r="J26" s="336">
        <f>'Worksheet E, Alloc. Factor'!F33</f>
        <v>0.83532377030701277</v>
      </c>
      <c r="K26" s="332">
        <f t="shared" si="1"/>
        <v>276569.85308225977</v>
      </c>
      <c r="L26" s="459"/>
    </row>
    <row r="27" spans="1:13">
      <c r="B27" s="15">
        <f t="shared" si="2"/>
        <v>16</v>
      </c>
      <c r="C27" s="15" t="s">
        <v>128</v>
      </c>
      <c r="D27" s="331" t="str">
        <f>'Worksheet G, O&amp;M Input'!B32</f>
        <v>RTO/ISO Expense - Operation</v>
      </c>
      <c r="E27" s="83" t="str">
        <f>'Worksheet U 575 576 Expense'!$I$1&amp;", Line "&amp;'Worksheet U 575 576 Expense'!A17&amp;" Cols "&amp;'Worksheet U 575 576 Expense'!$D$9&amp;" and "&amp;'Worksheet U 575 576 Expense'!$F$9</f>
        <v>Worksheet U, Line 2 Cols D and F</v>
      </c>
      <c r="F27" s="82"/>
      <c r="G27" s="14"/>
      <c r="H27" s="332">
        <f>'Worksheet U 575 576 Expense'!D17</f>
        <v>0</v>
      </c>
      <c r="I27" s="4" t="s">
        <v>1287</v>
      </c>
      <c r="J27" s="336"/>
      <c r="K27" s="332">
        <f>'Worksheet U 575 576 Expense'!F17</f>
        <v>0</v>
      </c>
      <c r="L27" s="459"/>
    </row>
    <row r="28" spans="1:13">
      <c r="B28" s="15">
        <f t="shared" si="2"/>
        <v>17</v>
      </c>
      <c r="C28" s="15" t="s">
        <v>129</v>
      </c>
      <c r="D28" s="331" t="str">
        <f>'Worksheet G, O&amp;M Input'!B33</f>
        <v xml:space="preserve">RTO/ISO Expense - Maintenance </v>
      </c>
      <c r="E28" s="83" t="str">
        <f>'Worksheet U 575 576 Expense'!$I$1&amp;", Line "&amp;'Worksheet U 575 576 Expense'!A24&amp;" Cols "&amp;'Worksheet U 575 576 Expense'!$D$9&amp;" and "&amp;'Worksheet U 575 576 Expense'!$F$9</f>
        <v>Worksheet U, Line 4 Cols D and F</v>
      </c>
      <c r="F28" s="82"/>
      <c r="G28" s="14"/>
      <c r="H28" s="332">
        <f>'Worksheet U 575 576 Expense'!D24</f>
        <v>0</v>
      </c>
      <c r="I28" s="86" t="s">
        <v>1287</v>
      </c>
      <c r="J28" s="462"/>
      <c r="K28" s="332">
        <f>'Worksheet U 575 576 Expense'!F24</f>
        <v>0</v>
      </c>
      <c r="L28" s="459"/>
    </row>
    <row r="29" spans="1:13">
      <c r="B29" s="15">
        <f t="shared" si="2"/>
        <v>18</v>
      </c>
      <c r="C29" s="15"/>
      <c r="D29" s="2" t="s">
        <v>130</v>
      </c>
      <c r="E29" s="3" t="s">
        <v>37</v>
      </c>
      <c r="F29" s="12">
        <f t="shared" ref="F29:G29" si="3">SUM(F13:F28)</f>
        <v>76677495</v>
      </c>
      <c r="G29" s="12">
        <f t="shared" si="3"/>
        <v>4218032</v>
      </c>
      <c r="H29" s="12">
        <f>SUM(H13:H28)</f>
        <v>80895527</v>
      </c>
      <c r="I29" s="334"/>
      <c r="J29" s="462"/>
      <c r="K29" s="12">
        <f>SUM(K13:K28)</f>
        <v>10601666.031566603</v>
      </c>
      <c r="L29" s="459"/>
      <c r="M29" s="12">
        <f>SUM(M13:M28)</f>
        <v>12479412</v>
      </c>
    </row>
    <row r="30" spans="1:13">
      <c r="B30" s="15"/>
      <c r="C30" s="15"/>
      <c r="E30" s="4"/>
      <c r="F30" s="4"/>
      <c r="H30" s="329"/>
      <c r="I30" s="335"/>
      <c r="J30" s="336"/>
      <c r="K30" s="337"/>
      <c r="L30" s="459"/>
    </row>
    <row r="31" spans="1:13">
      <c r="B31" s="15">
        <f>B29+1</f>
        <v>19</v>
      </c>
      <c r="C31" s="15" t="s">
        <v>131</v>
      </c>
      <c r="D31" s="2" t="s">
        <v>132</v>
      </c>
      <c r="E31" s="3" t="str">
        <f>CONCATENATE('Worksheet F, Inputs'!$I$1,", Line ",'Worksheet F, Inputs'!A47," Col ",'Worksheet F, Inputs'!$G$9)</f>
        <v>Worksheet F, Line 30 Col G</v>
      </c>
      <c r="F31" s="338"/>
      <c r="H31" s="209">
        <f>'Worksheet F, Inputs'!$G$47</f>
        <v>287939</v>
      </c>
      <c r="I31" s="4" t="s">
        <v>29</v>
      </c>
      <c r="J31" s="336">
        <f>'Worksheet E, Alloc. Factor'!$F$40</f>
        <v>0</v>
      </c>
      <c r="K31" s="332">
        <f>H31*J31</f>
        <v>0</v>
      </c>
      <c r="L31" s="459"/>
    </row>
    <row r="32" spans="1:13">
      <c r="B32" s="15">
        <f>B31+1</f>
        <v>20</v>
      </c>
      <c r="C32" s="15" t="s">
        <v>133</v>
      </c>
      <c r="D32" s="2" t="s">
        <v>134</v>
      </c>
      <c r="E32" s="3" t="str">
        <f>CONCATENATE('Worksheet F, Inputs'!$I$1,", Line ",'Worksheet F, Inputs'!A48," Col ",'Worksheet F, Inputs'!$G$9)</f>
        <v>Worksheet F, Line 31 Col G</v>
      </c>
      <c r="F32" s="338"/>
      <c r="H32" s="209">
        <f>'Worksheet F, Inputs'!$G$48</f>
        <v>12598</v>
      </c>
      <c r="I32" s="339" t="s">
        <v>29</v>
      </c>
      <c r="J32" s="336">
        <f>'Worksheet E, Alloc. Factor'!$F$40</f>
        <v>0</v>
      </c>
      <c r="K32" s="332">
        <f>H32*J32</f>
        <v>0</v>
      </c>
      <c r="L32" s="459"/>
    </row>
    <row r="33" spans="2:13">
      <c r="B33" s="15">
        <f>B32+1</f>
        <v>21</v>
      </c>
      <c r="C33" s="15" t="s">
        <v>135</v>
      </c>
      <c r="D33" s="2" t="s">
        <v>136</v>
      </c>
      <c r="E33" s="3" t="str">
        <f>CONCATENATE('Worksheet F, Inputs'!$I$1,", Line ",'Worksheet F, Inputs'!A49," Col ",'Worksheet F, Inputs'!$G$9)</f>
        <v>Worksheet F, Line 32 Col G</v>
      </c>
      <c r="F33" s="338"/>
      <c r="H33" s="209">
        <f>'Worksheet F, Inputs'!$G$49</f>
        <v>2473606</v>
      </c>
      <c r="I33" s="339" t="s">
        <v>29</v>
      </c>
      <c r="J33" s="336">
        <f>'Worksheet E, Alloc. Factor'!$F$40</f>
        <v>0</v>
      </c>
      <c r="K33" s="332">
        <f>H33*J33</f>
        <v>0</v>
      </c>
      <c r="L33" s="459"/>
    </row>
    <row r="34" spans="2:13">
      <c r="B34" s="15">
        <f>B33+1</f>
        <v>22</v>
      </c>
      <c r="C34" s="15"/>
      <c r="D34" s="2" t="s">
        <v>137</v>
      </c>
      <c r="E34" s="3" t="s">
        <v>37</v>
      </c>
      <c r="F34" s="338"/>
      <c r="G34" s="338"/>
      <c r="H34" s="209">
        <f>SUM(H31:H33)</f>
        <v>2774143</v>
      </c>
      <c r="I34" s="335"/>
      <c r="J34" s="336"/>
      <c r="K34" s="340">
        <f>SUM(K31:K33)</f>
        <v>0</v>
      </c>
      <c r="L34" s="459"/>
      <c r="M34" s="340">
        <f>SUM(M31:M33)</f>
        <v>0</v>
      </c>
    </row>
    <row r="35" spans="2:13">
      <c r="B35" s="15"/>
      <c r="C35" s="15"/>
      <c r="E35" s="4"/>
      <c r="F35" s="4"/>
      <c r="H35" s="329"/>
      <c r="I35" s="335"/>
      <c r="J35" s="336"/>
      <c r="K35" s="337"/>
      <c r="L35" s="459"/>
    </row>
    <row r="36" spans="2:13">
      <c r="B36" s="15">
        <f>B34+1</f>
        <v>23</v>
      </c>
      <c r="C36" s="15"/>
      <c r="D36" s="327" t="s">
        <v>138</v>
      </c>
      <c r="E36" s="85"/>
      <c r="F36" s="85"/>
      <c r="H36" s="12"/>
      <c r="I36" s="335"/>
      <c r="J36" s="336"/>
      <c r="K36" s="12"/>
      <c r="L36" s="459"/>
    </row>
    <row r="37" spans="2:13">
      <c r="B37" s="15">
        <f>B36+1</f>
        <v>24</v>
      </c>
      <c r="C37" s="15" t="s">
        <v>139</v>
      </c>
      <c r="D37" s="2" t="s">
        <v>140</v>
      </c>
      <c r="E37" s="3" t="str">
        <f>CONCATENATE('Worksheet F, Inputs'!$I$1,", Line ",'Worksheet F, Inputs'!A50," Col ",'Worksheet F, Inputs'!$G$9," Less Account 928")</f>
        <v>Worksheet F, Line 33 Col G Less Account 928</v>
      </c>
      <c r="F37" s="4"/>
      <c r="G37" s="23"/>
      <c r="H37" s="306">
        <f>'Worksheet F, Inputs'!G50-SUM(H38:H39)</f>
        <v>10428348</v>
      </c>
      <c r="I37" s="339" t="s">
        <v>1304</v>
      </c>
      <c r="J37" s="336">
        <f>'Worksheet E, Alloc. Factor'!F18</f>
        <v>0.15822150820240288</v>
      </c>
      <c r="K37" s="9">
        <f>H37*J37</f>
        <v>1649988.9486195117</v>
      </c>
      <c r="L37" s="336">
        <f>'Worksheet E, Alloc. Factor'!$G$18</f>
        <v>7.7545263397598346E-2</v>
      </c>
      <c r="M37" s="9">
        <f>H37*L37</f>
        <v>808668.99246181792</v>
      </c>
    </row>
    <row r="38" spans="2:13">
      <c r="B38" s="15">
        <f t="shared" ref="B38:B40" si="4">B37+1</f>
        <v>25</v>
      </c>
      <c r="C38" s="15">
        <v>928</v>
      </c>
      <c r="D38" s="2" t="s">
        <v>141</v>
      </c>
      <c r="E38" s="23" t="str">
        <f>'Worksheet R, Reg. &amp; Comm. Exp.'!$K$2&amp;", Line "&amp;'Worksheet R, Reg. &amp; Comm. Exp.'!$A$21&amp;", Col "&amp;'Worksheet R, Reg. &amp; Comm. Exp.'!$F$10</f>
        <v>Worksheet R, Line 10, Col F</v>
      </c>
      <c r="F38" s="4"/>
      <c r="G38" s="23"/>
      <c r="H38" s="82">
        <f>'Worksheet R, Reg. &amp; Comm. Exp.'!$F$21</f>
        <v>485825</v>
      </c>
      <c r="I38" s="335" t="s">
        <v>35</v>
      </c>
      <c r="J38" s="336">
        <f>'Worksheet E, Alloc. Factor'!F41</f>
        <v>1</v>
      </c>
      <c r="K38" s="9">
        <f>H38*J38</f>
        <v>485825</v>
      </c>
      <c r="L38" s="459"/>
    </row>
    <row r="39" spans="2:13">
      <c r="B39" s="15">
        <f t="shared" si="4"/>
        <v>26</v>
      </c>
      <c r="C39" s="15">
        <v>928</v>
      </c>
      <c r="D39" s="2" t="s">
        <v>142</v>
      </c>
      <c r="E39" s="23" t="str">
        <f>'Worksheet R, Reg. &amp; Comm. Exp.'!$K$2&amp;", Line "&amp;'Worksheet R, Reg. &amp; Comm. Exp.'!$A$21&amp;", Col "&amp;'Worksheet R, Reg. &amp; Comm. Exp.'!$E$10</f>
        <v>Worksheet R, Line 10, Col E</v>
      </c>
      <c r="F39" s="4"/>
      <c r="G39" s="23"/>
      <c r="H39" s="82">
        <f>'Worksheet R, Reg. &amp; Comm. Exp.'!$E$21</f>
        <v>0</v>
      </c>
      <c r="I39" s="335" t="s">
        <v>29</v>
      </c>
      <c r="J39" s="336">
        <f>'Worksheet E, Alloc. Factor'!F40</f>
        <v>0</v>
      </c>
      <c r="K39" s="9">
        <f>H39*J39</f>
        <v>0</v>
      </c>
      <c r="L39" s="459"/>
    </row>
    <row r="40" spans="2:13">
      <c r="B40" s="15">
        <f t="shared" si="4"/>
        <v>27</v>
      </c>
      <c r="C40" s="15">
        <v>935</v>
      </c>
      <c r="D40" s="2" t="s">
        <v>143</v>
      </c>
      <c r="E40" s="3" t="str">
        <f>CONCATENATE('Worksheet F, Inputs'!$I$1,", Line ",'Worksheet F, Inputs'!A58," Col ",'Worksheet F, Inputs'!$G$9)</f>
        <v>Worksheet F, Line 40 Col G</v>
      </c>
      <c r="F40" s="4"/>
      <c r="G40" s="23"/>
      <c r="H40" s="306">
        <f>'Worksheet F, Inputs'!G58</f>
        <v>856255</v>
      </c>
      <c r="I40" s="339" t="s">
        <v>1304</v>
      </c>
      <c r="J40" s="336">
        <f>'Worksheet E, Alloc. Factor'!F18</f>
        <v>0.15822150820240288</v>
      </c>
      <c r="K40" s="12">
        <f>H40*J40</f>
        <v>135477.95750584849</v>
      </c>
      <c r="L40" s="336">
        <f>'Worksheet E, Alloc. Factor'!$G$18</f>
        <v>7.7545263397598346E-2</v>
      </c>
      <c r="M40" s="9">
        <f>H40*L40</f>
        <v>66398.519510510567</v>
      </c>
    </row>
    <row r="41" spans="2:13">
      <c r="B41" s="15">
        <f>B40+1</f>
        <v>28</v>
      </c>
      <c r="C41" s="15"/>
      <c r="D41" s="2" t="s">
        <v>144</v>
      </c>
      <c r="E41" s="3" t="s">
        <v>37</v>
      </c>
      <c r="F41" s="4"/>
      <c r="G41" s="23"/>
      <c r="H41" s="12">
        <f>SUM(H37:H40)</f>
        <v>11770428</v>
      </c>
      <c r="I41" s="335"/>
      <c r="J41" s="336"/>
      <c r="K41" s="12">
        <f>SUM(K37:K40)</f>
        <v>2271291.9061253602</v>
      </c>
      <c r="L41" s="459"/>
      <c r="M41" s="12">
        <f>SUM(M37:M40)</f>
        <v>875067.51197232853</v>
      </c>
    </row>
    <row r="42" spans="2:13">
      <c r="B42" s="15"/>
      <c r="C42" s="15"/>
      <c r="G42" s="23"/>
      <c r="H42" s="275"/>
      <c r="I42" s="4"/>
      <c r="J42" s="459"/>
      <c r="K42" s="12"/>
      <c r="L42" s="459"/>
    </row>
    <row r="43" spans="2:13">
      <c r="B43" s="15">
        <f>B41+1</f>
        <v>29</v>
      </c>
      <c r="C43" s="15"/>
      <c r="D43" s="2" t="s">
        <v>145</v>
      </c>
      <c r="E43" s="2" t="str">
        <f>CONCATENATE("Line ",B29," + Line ", B34," + Line ",B41)</f>
        <v>Line 18 + Line 22 + Line 28</v>
      </c>
      <c r="G43" s="23"/>
      <c r="H43" s="12">
        <f>H29+H34+H41</f>
        <v>95440098</v>
      </c>
      <c r="I43" s="4"/>
      <c r="J43" s="459"/>
      <c r="K43" s="12">
        <f>K29+K34+K41</f>
        <v>12872957.937691964</v>
      </c>
      <c r="L43" s="459"/>
      <c r="M43" s="12">
        <f>M29+M34+M41</f>
        <v>13354479.511972329</v>
      </c>
    </row>
    <row r="44" spans="2:13">
      <c r="B44" s="15"/>
      <c r="C44" s="15"/>
      <c r="G44" s="23"/>
      <c r="H44" s="306"/>
      <c r="I44" s="4"/>
      <c r="J44" s="459"/>
      <c r="K44" s="9"/>
      <c r="L44" s="459"/>
    </row>
    <row r="45" spans="2:13">
      <c r="B45" s="15"/>
      <c r="C45" s="15"/>
      <c r="H45" s="492" t="s">
        <v>18</v>
      </c>
      <c r="I45" s="4"/>
      <c r="J45" s="459"/>
      <c r="K45" s="9"/>
      <c r="L45" s="459"/>
    </row>
    <row r="46" spans="2:13">
      <c r="B46" s="15">
        <f>B43+1</f>
        <v>30</v>
      </c>
      <c r="C46" s="15"/>
      <c r="D46" s="341" t="s">
        <v>146</v>
      </c>
      <c r="H46" s="306"/>
      <c r="I46" s="4"/>
      <c r="J46" s="459"/>
      <c r="K46" s="9"/>
      <c r="L46" s="459"/>
    </row>
    <row r="47" spans="2:13">
      <c r="B47" s="15">
        <f>B46+1</f>
        <v>31</v>
      </c>
      <c r="C47" s="15">
        <v>403</v>
      </c>
      <c r="D47" s="2" t="s">
        <v>147</v>
      </c>
      <c r="E47" s="23" t="str">
        <f>'Worksheet L, Depr Input'!$O$2&amp;", Line "&amp;'Worksheet L, Depr Input'!$A$24&amp;", Col "&amp;'Worksheet L, Depr Input'!$G$9</f>
        <v>Worksheet L, Line 14, Col G</v>
      </c>
      <c r="H47" s="82">
        <f>'Worksheet L, Depr Input'!$G$24</f>
        <v>40785918.269999996</v>
      </c>
      <c r="I47" s="339" t="s">
        <v>29</v>
      </c>
      <c r="J47" s="336">
        <f>'Worksheet E, Alloc. Factor'!F40</f>
        <v>0</v>
      </c>
      <c r="K47" s="12">
        <f t="shared" ref="K47:K53" si="5">H47*J47</f>
        <v>0</v>
      </c>
      <c r="L47" s="459"/>
    </row>
    <row r="48" spans="2:13">
      <c r="B48" s="15">
        <f t="shared" ref="B48:B54" si="6">B47+1</f>
        <v>32</v>
      </c>
      <c r="C48" s="15">
        <v>403</v>
      </c>
      <c r="D48" s="2" t="s">
        <v>148</v>
      </c>
      <c r="E48" s="23" t="str">
        <f>'Worksheet L, Depr Input'!$O$2&amp;", Line "&amp;'Worksheet L, Depr Input'!$A$24&amp;", Col "&amp;'Worksheet L, Depr Input'!$H$9</f>
        <v>Worksheet L, Line 14, Col H</v>
      </c>
      <c r="H48" s="82">
        <f>'Worksheet L, Depr Input'!$H$24</f>
        <v>2994228.4700403465</v>
      </c>
      <c r="I48" s="4" t="s">
        <v>73</v>
      </c>
      <c r="J48" s="336">
        <f>'Worksheet E, Alloc. Factor'!F23</f>
        <v>0.92886999999999997</v>
      </c>
      <c r="K48" s="12">
        <f t="shared" si="5"/>
        <v>2781248.9989663768</v>
      </c>
      <c r="L48" s="459"/>
    </row>
    <row r="49" spans="2:13">
      <c r="B49" s="15">
        <f t="shared" si="6"/>
        <v>33</v>
      </c>
      <c r="C49" s="15">
        <v>403</v>
      </c>
      <c r="D49" s="2" t="s">
        <v>149</v>
      </c>
      <c r="E49" s="23" t="str">
        <f>'Worksheet L, Depr Input'!$O$2&amp;", Line "&amp;'Worksheet L, Depr Input'!$A$24&amp;", Col "&amp;'Worksheet L, Depr Input'!$I$9</f>
        <v>Worksheet L, Line 14, Col I</v>
      </c>
      <c r="H49" s="82">
        <f>'Worksheet L, Depr Input'!$I$24</f>
        <v>7506754.9499596534</v>
      </c>
      <c r="I49" s="4" t="s">
        <v>78</v>
      </c>
      <c r="J49" s="336">
        <f>'Worksheet E, Alloc. Factor'!F30</f>
        <v>0.78673719871107473</v>
      </c>
      <c r="K49" s="12">
        <f t="shared" si="5"/>
        <v>5905843.3607417513</v>
      </c>
      <c r="L49" s="459"/>
    </row>
    <row r="50" spans="2:13">
      <c r="B50" s="15">
        <f t="shared" si="6"/>
        <v>34</v>
      </c>
      <c r="C50" s="15">
        <v>403</v>
      </c>
      <c r="D50" s="2" t="s">
        <v>150</v>
      </c>
      <c r="E50" s="23" t="str">
        <f>'Worksheet L, Depr Input'!$O$2&amp;", Line "&amp;'Worksheet L, Depr Input'!$A$24&amp;", Col "&amp;'Worksheet L, Depr Input'!$J$9</f>
        <v>Worksheet L, Line 14, Col J</v>
      </c>
      <c r="H50" s="82">
        <f>'Worksheet L, Depr Input'!$J$24</f>
        <v>5149023.1100000003</v>
      </c>
      <c r="I50" s="339" t="s">
        <v>29</v>
      </c>
      <c r="J50" s="336">
        <f>'Worksheet E, Alloc. Factor'!F40</f>
        <v>0</v>
      </c>
      <c r="K50" s="12">
        <f t="shared" si="5"/>
        <v>0</v>
      </c>
      <c r="L50" s="459"/>
    </row>
    <row r="51" spans="2:13">
      <c r="B51" s="15">
        <f t="shared" si="6"/>
        <v>35</v>
      </c>
      <c r="C51" s="15">
        <v>403</v>
      </c>
      <c r="D51" s="2" t="s">
        <v>151</v>
      </c>
      <c r="E51" s="23" t="str">
        <f>'Worksheet L, Depr Input'!$O$2&amp;", Line "&amp;'Worksheet L, Depr Input'!$A$24&amp;", Col "&amp;'Worksheet L, Depr Input'!$K$9</f>
        <v>Worksheet L, Line 14, Col K</v>
      </c>
      <c r="H51" s="82">
        <f>'Worksheet L, Depr Input'!$K$24</f>
        <v>3662664.1500000004</v>
      </c>
      <c r="I51" s="339" t="s">
        <v>1304</v>
      </c>
      <c r="J51" s="336">
        <f>'Worksheet E, Alloc. Factor'!F18</f>
        <v>0.15822150820240288</v>
      </c>
      <c r="K51" s="12">
        <f t="shared" si="5"/>
        <v>579512.24585187202</v>
      </c>
      <c r="L51" s="336">
        <f>'Worksheet E, Alloc. Factor'!$G$18</f>
        <v>7.7545263397598346E-2</v>
      </c>
      <c r="M51" s="9">
        <f t="shared" ref="M51:M53" si="7">H51*L51</f>
        <v>284022.25624869071</v>
      </c>
    </row>
    <row r="52" spans="2:13">
      <c r="B52" s="15">
        <f>B51+1</f>
        <v>36</v>
      </c>
      <c r="C52" s="15"/>
      <c r="D52" s="2" t="s">
        <v>152</v>
      </c>
      <c r="E52" s="23" t="str">
        <f>'Worksheet L, Depr Input'!$O$2&amp;", Line "&amp;'Worksheet L, Depr Input'!$A$24&amp;", Col "&amp;'Worksheet L, Depr Input'!$L$9</f>
        <v>Worksheet L, Line 14, Col L</v>
      </c>
      <c r="H52" s="82">
        <f>'Worksheet L, Depr Input'!$L$24</f>
        <v>0</v>
      </c>
      <c r="I52" s="339" t="s">
        <v>1304</v>
      </c>
      <c r="J52" s="336">
        <f>'Worksheet E, Alloc. Factor'!F18</f>
        <v>0.15822150820240288</v>
      </c>
      <c r="K52" s="12">
        <f t="shared" si="5"/>
        <v>0</v>
      </c>
      <c r="L52" s="336">
        <f>'Worksheet E, Alloc. Factor'!$G$18</f>
        <v>7.7545263397598346E-2</v>
      </c>
      <c r="M52" s="9">
        <f t="shared" si="7"/>
        <v>0</v>
      </c>
    </row>
    <row r="53" spans="2:13">
      <c r="B53" s="15">
        <f>B52+1</f>
        <v>37</v>
      </c>
      <c r="C53" s="15"/>
      <c r="D53" s="2" t="s">
        <v>153</v>
      </c>
      <c r="E53" s="23" t="str">
        <f>'Worksheet L, Depr Input'!$O$2&amp;", Line "&amp;'Worksheet L, Depr Input'!$A$24&amp;", Col "&amp;'Worksheet L, Depr Input'!$M$9</f>
        <v>Worksheet L, Line 14, Col M</v>
      </c>
      <c r="H53" s="82">
        <f>'Worksheet L, Depr Input'!$M$24</f>
        <v>108659.3</v>
      </c>
      <c r="I53" s="339" t="s">
        <v>1304</v>
      </c>
      <c r="J53" s="336">
        <f>'Worksheet E, Alloc. Factor'!F18</f>
        <v>0.15822150820240288</v>
      </c>
      <c r="K53" s="12">
        <f t="shared" si="5"/>
        <v>17192.238326217357</v>
      </c>
      <c r="L53" s="336">
        <f>'Worksheet E, Alloc. Factor'!$G$18</f>
        <v>7.7545263397598346E-2</v>
      </c>
      <c r="M53" s="9">
        <f t="shared" si="7"/>
        <v>8426.014039098658</v>
      </c>
    </row>
    <row r="54" spans="2:13">
      <c r="B54" s="15">
        <f t="shared" si="6"/>
        <v>38</v>
      </c>
      <c r="C54" s="15"/>
      <c r="D54" s="2" t="s">
        <v>154</v>
      </c>
      <c r="H54" s="493">
        <f>SUM(H47:H53)</f>
        <v>60207248.249999985</v>
      </c>
      <c r="I54" s="4"/>
      <c r="J54" s="336"/>
      <c r="K54" s="342">
        <f>SUM(K47:K53)</f>
        <v>9283796.843886219</v>
      </c>
      <c r="L54" s="459"/>
      <c r="M54" s="342">
        <f>SUM(M47:M53)</f>
        <v>292448.27028778935</v>
      </c>
    </row>
    <row r="55" spans="2:13">
      <c r="B55" s="15"/>
      <c r="C55" s="15"/>
      <c r="F55" s="12"/>
      <c r="G55" s="111"/>
      <c r="H55" s="12"/>
      <c r="I55" s="4"/>
      <c r="J55" s="336"/>
      <c r="K55" s="12"/>
      <c r="L55" s="459"/>
    </row>
    <row r="56" spans="2:13">
      <c r="B56" s="15">
        <f>B54+1</f>
        <v>39</v>
      </c>
      <c r="C56" s="15"/>
      <c r="D56" s="44" t="str">
        <f>'Worksheet F, Inputs'!$C$63</f>
        <v>Taxes</v>
      </c>
      <c r="E56" s="3" t="str">
        <f>CONCATENATE('Worksheet F, Inputs'!$I$1,", Line ",'Worksheet F, Inputs'!A63," Col ",'Worksheet F, Inputs'!$G$9)</f>
        <v>Worksheet F, Line 44 Col G</v>
      </c>
      <c r="H56" s="343">
        <f>'Worksheet F, Inputs'!$G$63</f>
        <v>0</v>
      </c>
      <c r="I56" s="344" t="s">
        <v>102</v>
      </c>
      <c r="J56" s="336">
        <f>'Worksheet E, Alloc. Factor'!F33</f>
        <v>0.83532377030701277</v>
      </c>
      <c r="K56" s="12">
        <f>H56*J56</f>
        <v>0</v>
      </c>
      <c r="L56" s="459"/>
    </row>
    <row r="57" spans="2:13">
      <c r="B57" s="15">
        <f>B56+1</f>
        <v>40</v>
      </c>
      <c r="C57" s="345"/>
      <c r="D57" s="2" t="s">
        <v>155</v>
      </c>
      <c r="E57" s="2" t="str">
        <f>'Worksheet C, Return'!M2&amp;", Line "&amp;'Worksheet C, Return'!B20&amp;", Col "&amp;'Worksheet C, Return'!J9</f>
        <v>Worksheet C, Line 7, Col I</v>
      </c>
      <c r="K57" s="9">
        <f>'Worksheet C, Return'!J20</f>
        <v>18616724.90092789</v>
      </c>
      <c r="L57" s="459"/>
      <c r="M57" s="9">
        <f>'Worksheet C, Return'!K20</f>
        <v>238315.42217867891</v>
      </c>
    </row>
    <row r="58" spans="2:13">
      <c r="B58" s="177"/>
      <c r="C58" s="177"/>
      <c r="L58" s="459"/>
    </row>
    <row r="59" spans="2:13">
      <c r="B59" s="345">
        <f>B57+1</f>
        <v>41</v>
      </c>
      <c r="C59" s="345"/>
      <c r="D59" s="2" t="s">
        <v>156</v>
      </c>
      <c r="E59" s="2" t="str">
        <f>"Line "&amp;B43&amp;" + Line "&amp;B54&amp;" + Line "&amp;B56&amp;"  + Line "&amp;B57</f>
        <v>Line 29 + Line 38 + Line 39  + Line 40</v>
      </c>
      <c r="K59" s="275">
        <f>SUM(K43,K54,K56:K57)</f>
        <v>40773479.68250607</v>
      </c>
      <c r="L59" s="459"/>
      <c r="M59" s="275">
        <f>SUM(M43,M54,M56:M57)</f>
        <v>13885243.204438796</v>
      </c>
    </row>
  </sheetData>
  <conditionalFormatting sqref="A1:XFD1048576">
    <cfRule type="containsErrors" dxfId="6" priority="1">
      <formula>ISERROR(A1)</formula>
    </cfRule>
  </conditionalFormatting>
  <printOptions horizontalCentered="1"/>
  <pageMargins left="0.7" right="0.7" top="0.75" bottom="0.75" header="0.3" footer="0.3"/>
  <pageSetup scale="48" fitToHeight="0" orientation="landscape" horizontalDpi="1200" verticalDpi="1200" r:id="rId1"/>
  <headerFooter>
    <oddHeader xml:space="preserve">&amp;RPage &amp;P
Worksheet B
</oddHeader>
  </headerFooter>
  <ignoredErrors>
    <ignoredError sqref="J2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topLeftCell="A7" zoomScaleNormal="100" workbookViewId="0">
      <selection activeCell="C12" sqref="C12"/>
    </sheetView>
  </sheetViews>
  <sheetFormatPr defaultColWidth="8.69921875" defaultRowHeight="13.8"/>
  <cols>
    <col min="1" max="1" width="2.59765625" style="2" customWidth="1"/>
    <col min="2" max="2" width="6.19921875" style="2" customWidth="1"/>
    <col min="3" max="3" width="37.19921875" style="2" customWidth="1"/>
    <col min="4" max="4" width="34.19921875" style="2" bestFit="1" customWidth="1"/>
    <col min="5" max="5" width="16.8984375" style="2" bestFit="1" customWidth="1"/>
    <col min="6" max="7" width="16.3984375" style="2" customWidth="1"/>
    <col min="8" max="8" width="15" style="2" customWidth="1"/>
    <col min="9" max="9" width="9" style="2" customWidth="1"/>
    <col min="10" max="10" width="22" style="2" customWidth="1"/>
    <col min="11" max="11" width="13" style="2" customWidth="1"/>
    <col min="12" max="12" width="13.5" style="2" customWidth="1"/>
    <col min="13" max="13" width="11.8984375" style="2" customWidth="1"/>
    <col min="14" max="14" width="10.59765625" style="2" customWidth="1"/>
    <col min="15" max="16384" width="8.69921875" style="2"/>
  </cols>
  <sheetData>
    <row r="1" spans="1:14">
      <c r="A1" s="319"/>
      <c r="K1" s="177"/>
    </row>
    <row r="2" spans="1:14">
      <c r="M2" s="177" t="s">
        <v>1313</v>
      </c>
    </row>
    <row r="3" spans="1:14">
      <c r="J3" s="177"/>
    </row>
    <row r="4" spans="1:14">
      <c r="A4" s="1" t="str">
        <f>Index!B4</f>
        <v>Western Farmers Electric Cooperative, Inc.</v>
      </c>
      <c r="K4" s="177"/>
    </row>
    <row r="6" spans="1:14">
      <c r="A6" s="1" t="s">
        <v>1284</v>
      </c>
    </row>
    <row r="7" spans="1:14">
      <c r="A7" s="1" t="str">
        <f>'Worksheet B, Expenses'!B7</f>
        <v>Year Ending December 31, 2016</v>
      </c>
    </row>
    <row r="8" spans="1:14">
      <c r="A8" s="1"/>
    </row>
    <row r="9" spans="1:14">
      <c r="A9" s="1"/>
      <c r="B9" s="17" t="s">
        <v>3</v>
      </c>
      <c r="C9" s="17" t="s">
        <v>4</v>
      </c>
      <c r="D9" s="17" t="s">
        <v>5</v>
      </c>
      <c r="E9" s="17" t="s">
        <v>9</v>
      </c>
      <c r="F9" s="17" t="s">
        <v>10</v>
      </c>
      <c r="G9" s="17" t="s">
        <v>11</v>
      </c>
      <c r="H9" s="17" t="s">
        <v>12</v>
      </c>
      <c r="I9" s="17" t="s">
        <v>13</v>
      </c>
      <c r="J9" s="17" t="s">
        <v>14</v>
      </c>
      <c r="K9" s="17" t="s">
        <v>15</v>
      </c>
      <c r="L9" s="17"/>
    </row>
    <row r="10" spans="1:14" ht="32.25" customHeight="1">
      <c r="A10" s="1"/>
      <c r="B10" s="201" t="s">
        <v>157</v>
      </c>
      <c r="C10" s="201" t="s">
        <v>7</v>
      </c>
      <c r="D10" s="201" t="s">
        <v>17</v>
      </c>
      <c r="E10" s="201" t="s">
        <v>158</v>
      </c>
      <c r="F10" s="201" t="s">
        <v>159</v>
      </c>
      <c r="G10" s="201" t="s">
        <v>1337</v>
      </c>
      <c r="H10" s="201" t="s">
        <v>160</v>
      </c>
      <c r="I10" s="201" t="s">
        <v>161</v>
      </c>
      <c r="J10" s="201" t="s">
        <v>162</v>
      </c>
      <c r="K10" s="201" t="s">
        <v>1356</v>
      </c>
      <c r="M10" s="320"/>
    </row>
    <row r="11" spans="1:14">
      <c r="B11" s="6"/>
      <c r="D11" s="304"/>
      <c r="E11" s="250"/>
      <c r="F11" s="321"/>
      <c r="G11" s="321"/>
      <c r="H11" s="220"/>
    </row>
    <row r="12" spans="1:14">
      <c r="B12" s="6">
        <v>1</v>
      </c>
      <c r="C12" s="1" t="s">
        <v>1292</v>
      </c>
      <c r="E12" s="23"/>
      <c r="J12" s="322"/>
    </row>
    <row r="13" spans="1:14" ht="30" customHeight="1">
      <c r="B13" s="6">
        <f>B12+1</f>
        <v>2</v>
      </c>
      <c r="C13" s="2" t="s">
        <v>164</v>
      </c>
      <c r="D13" s="308" t="str">
        <f>CONCATENATE('Worksheet F, Inputs'!$I$1,", Line ",'Worksheet F, Inputs'!A93,", Col ",,'Worksheet F, Inputs'!$G$9,CHAR(10),"and Line ",'Worksheet F, Inputs'!A64,", Col ",'Worksheet F, Inputs'!$G$9)</f>
        <v>Worksheet F, Line 70, Col G
and Line 45, Col G</v>
      </c>
      <c r="E13" s="9">
        <f>'Worksheet F, Inputs'!G93</f>
        <v>745619880</v>
      </c>
      <c r="F13" s="596">
        <f>E13/$E$16</f>
        <v>0.67767407420208381</v>
      </c>
      <c r="G13" s="596">
        <f>1-G15+G14</f>
        <v>0.64759999999999995</v>
      </c>
      <c r="H13" s="12">
        <f>'Worksheet F, Inputs'!$G64</f>
        <v>38774783</v>
      </c>
      <c r="I13" s="595">
        <f>H13/E$13</f>
        <v>5.20034189539045E-2</v>
      </c>
      <c r="J13" s="309">
        <f>G13*I13</f>
        <v>3.3677414114548554E-2</v>
      </c>
      <c r="M13" s="9"/>
      <c r="N13" s="9"/>
    </row>
    <row r="14" spans="1:14" ht="27.6">
      <c r="B14" s="6">
        <f t="shared" ref="B14:B15" si="0">B13+1</f>
        <v>3</v>
      </c>
      <c r="C14" s="2" t="s">
        <v>165</v>
      </c>
      <c r="D14" s="308" t="str">
        <f>'Worksheet F, Inputs'!$I$1&amp;", Line "&amp;'Worksheet F, Inputs'!A95&amp;", Col "&amp;'Worksheet F, Inputs'!$G$9&amp;CHAR(10)&amp;"and Line "&amp;'Worksheet F, Inputs'!A66&amp;", Col "&amp;'Worksheet F, Inputs'!$G$9&amp;" if balance is positive."</f>
        <v>Worksheet F, Line 72, Col G
and Line 47, Col G if balance is positive.</v>
      </c>
      <c r="E14" s="9">
        <f>'Worksheet F, Inputs'!G95</f>
        <v>0</v>
      </c>
      <c r="F14" s="596">
        <f>E14/$E$16</f>
        <v>0</v>
      </c>
      <c r="G14" s="596">
        <f>F14</f>
        <v>0</v>
      </c>
      <c r="H14" s="12">
        <f>IF(E14&gt;0,'Worksheet F, Inputs'!G66,0)</f>
        <v>0</v>
      </c>
      <c r="I14" s="595">
        <f>IF(E14&gt;0,H14/E14,0)</f>
        <v>0</v>
      </c>
      <c r="J14" s="309">
        <f t="shared" ref="J14" si="1">G14*I14</f>
        <v>0</v>
      </c>
      <c r="M14" s="9"/>
      <c r="N14" s="9"/>
    </row>
    <row r="15" spans="1:14" ht="27.6">
      <c r="B15" s="6">
        <f t="shared" si="0"/>
        <v>4</v>
      </c>
      <c r="C15" s="2" t="s">
        <v>166</v>
      </c>
      <c r="D15" s="308" t="str">
        <f>'Worksheet F, Inputs'!$I$1&amp;", Line "&amp;'Worksheet F, Inputs'!A92&amp;", Col "&amp;'Worksheet F, Inputs'!$G$9&amp;CHAR(10)&amp;"ROE is from "&amp;'Worksheet F, Inputs'!$I$1&amp;" Line "&amp;'Worksheet F, Inputs'!A13</f>
        <v>Worksheet F, Line 69, Col G
ROE is from Worksheet F Line 3</v>
      </c>
      <c r="E15" s="9">
        <f>'Worksheet F, Inputs'!G92</f>
        <v>354643371</v>
      </c>
      <c r="F15" s="596">
        <f>E15/$E$16</f>
        <v>0.32232592579791614</v>
      </c>
      <c r="G15" s="596">
        <f>MAX(F15,'Worksheet F, Inputs'!G14)</f>
        <v>0.35239999999999999</v>
      </c>
      <c r="H15" s="309"/>
      <c r="I15" s="595">
        <f>'Worksheet F, Inputs'!G13</f>
        <v>9.2700000000000005E-2</v>
      </c>
      <c r="J15" s="309">
        <f>G15*I15</f>
        <v>3.2667479999999999E-2</v>
      </c>
      <c r="M15" s="9"/>
      <c r="N15" s="9"/>
    </row>
    <row r="16" spans="1:14">
      <c r="B16" s="6">
        <f>B15+1</f>
        <v>5</v>
      </c>
      <c r="C16" s="2" t="s">
        <v>167</v>
      </c>
      <c r="D16" s="2" t="s">
        <v>37</v>
      </c>
      <c r="E16" s="9">
        <f>SUM(E13:E15)</f>
        <v>1100263251</v>
      </c>
      <c r="F16" s="596">
        <f>SUM(F13:F15)</f>
        <v>1</v>
      </c>
      <c r="G16" s="297"/>
      <c r="H16" s="12">
        <f>SUM(H13:H15)</f>
        <v>38774783</v>
      </c>
      <c r="I16" s="323"/>
      <c r="J16" s="309">
        <f>SUM(J13:J15)</f>
        <v>6.6344894114548553E-2</v>
      </c>
      <c r="M16" s="9"/>
      <c r="N16" s="306"/>
    </row>
    <row r="17" spans="2:14">
      <c r="B17" s="6"/>
      <c r="E17" s="9"/>
      <c r="F17" s="297"/>
      <c r="G17" s="297"/>
      <c r="H17" s="12"/>
      <c r="I17" s="323"/>
      <c r="J17" s="238"/>
      <c r="M17" s="9"/>
      <c r="N17" s="306"/>
    </row>
    <row r="18" spans="2:14">
      <c r="B18" s="6"/>
      <c r="E18" s="23"/>
      <c r="J18" s="201" t="s">
        <v>429</v>
      </c>
      <c r="K18" s="201" t="s">
        <v>1356</v>
      </c>
    </row>
    <row r="19" spans="2:14">
      <c r="B19" s="6">
        <f>+B16+1</f>
        <v>6</v>
      </c>
      <c r="C19" s="2" t="s">
        <v>123</v>
      </c>
      <c r="D19" s="2" t="str">
        <f>CONCATENATE('Worksheet A, Rate Base'!$N$2, ", Line ",'Worksheet A, Rate Base'!B88, ", Col ",'Worksheet A, Rate Base'!$K$9," and ",'Worksheet A, Rate Base'!M9)</f>
        <v>Worksheet A, Line 64, Col J and L</v>
      </c>
      <c r="E19" s="324"/>
      <c r="H19" s="325"/>
      <c r="J19" s="326">
        <f>'Worksheet A, Rate Base'!K88</f>
        <v>280605239.47457004</v>
      </c>
      <c r="K19" s="326">
        <f>'Worksheet A, Rate Base'!M88</f>
        <v>3592068.7697113906</v>
      </c>
    </row>
    <row r="20" spans="2:14">
      <c r="B20" s="6">
        <f>B19+1</f>
        <v>7</v>
      </c>
      <c r="C20" s="2" t="s">
        <v>155</v>
      </c>
      <c r="D20" s="2" t="str">
        <f>"Line "&amp;B16&amp;" * Line "&amp;B19</f>
        <v>Line 5 * Line 6</v>
      </c>
      <c r="J20" s="326">
        <f>J19*$J$16</f>
        <v>18616724.90092789</v>
      </c>
      <c r="K20" s="326">
        <f>K19*$J$16</f>
        <v>238315.42217867891</v>
      </c>
    </row>
    <row r="22" spans="2:14">
      <c r="B22" s="467">
        <f>B20+1</f>
        <v>8</v>
      </c>
      <c r="C22" s="2" t="s">
        <v>444</v>
      </c>
    </row>
    <row r="23" spans="2:14">
      <c r="B23" s="467">
        <f>B22+1</f>
        <v>9</v>
      </c>
      <c r="C23" s="2" t="s">
        <v>1527</v>
      </c>
    </row>
    <row r="24" spans="2:14">
      <c r="B24" s="467">
        <f>B23+1</f>
        <v>10</v>
      </c>
      <c r="C24" s="2" t="s">
        <v>1528</v>
      </c>
    </row>
  </sheetData>
  <conditionalFormatting sqref="A1:XFD1048576">
    <cfRule type="containsErrors" dxfId="5" priority="1">
      <formula>ISERROR(A1)</formula>
    </cfRule>
  </conditionalFormatting>
  <printOptions horizontalCentered="1"/>
  <pageMargins left="0.7" right="0.7" top="0.75" bottom="0.75" header="0.3" footer="0.3"/>
  <pageSetup scale="59" fitToHeight="0" orientation="landscape" horizontalDpi="1200" verticalDpi="1200" r:id="rId1"/>
  <headerFooter>
    <oddHeader xml:space="preserve">&amp;RPage &amp;P
Worksheet 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42"/>
  <sheetViews>
    <sheetView zoomScaleNormal="100" workbookViewId="0">
      <selection activeCell="C25" sqref="C25"/>
    </sheetView>
  </sheetViews>
  <sheetFormatPr defaultColWidth="10" defaultRowHeight="13.2"/>
  <cols>
    <col min="1" max="1" width="7.3984375" style="16" customWidth="1"/>
    <col min="2" max="2" width="19.69921875" style="16" customWidth="1"/>
    <col min="3" max="3" width="11.09765625" style="16" bestFit="1" customWidth="1"/>
    <col min="4" max="4" width="11.69921875" style="16" customWidth="1"/>
    <col min="5" max="16384" width="10" style="16"/>
  </cols>
  <sheetData>
    <row r="1" spans="1:6" ht="13.8">
      <c r="A1" s="2"/>
      <c r="B1" s="2"/>
      <c r="C1" s="2"/>
      <c r="E1" s="177"/>
    </row>
    <row r="2" spans="1:6" ht="13.8">
      <c r="A2" s="2"/>
      <c r="B2" s="2"/>
      <c r="C2" s="2"/>
      <c r="F2" s="177" t="s">
        <v>1316</v>
      </c>
    </row>
    <row r="3" spans="1:6" ht="13.8">
      <c r="A3" s="2"/>
      <c r="B3" s="2"/>
      <c r="C3" s="2"/>
    </row>
    <row r="4" spans="1:6" ht="13.8">
      <c r="A4" s="1" t="str">
        <f>Index!B4</f>
        <v>Western Farmers Electric Cooperative, Inc.</v>
      </c>
      <c r="B4" s="2"/>
      <c r="C4" s="2"/>
    </row>
    <row r="5" spans="1:6" ht="13.8">
      <c r="A5" s="1"/>
      <c r="B5" s="2"/>
      <c r="C5" s="2"/>
    </row>
    <row r="6" spans="1:6" ht="13.8">
      <c r="A6" s="1" t="s">
        <v>1405</v>
      </c>
      <c r="B6" s="1"/>
      <c r="C6" s="1"/>
    </row>
    <row r="7" spans="1:6" ht="13.8">
      <c r="A7" s="1" t="str">
        <f>'Summary ATRR'!B7</f>
        <v>Year Ending December 31, 2016</v>
      </c>
      <c r="B7" s="1"/>
      <c r="C7" s="1"/>
    </row>
    <row r="8" spans="1:6" ht="13.5" customHeight="1">
      <c r="A8" s="1"/>
      <c r="B8" s="1"/>
      <c r="C8" s="1"/>
    </row>
    <row r="9" spans="1:6" ht="13.8">
      <c r="A9" s="314" t="s">
        <v>3</v>
      </c>
      <c r="B9" s="314" t="s">
        <v>4</v>
      </c>
      <c r="C9" s="314" t="s">
        <v>5</v>
      </c>
    </row>
    <row r="10" spans="1:6" ht="27.6">
      <c r="A10" s="201" t="s">
        <v>157</v>
      </c>
      <c r="B10" s="201" t="s">
        <v>7</v>
      </c>
      <c r="C10" s="201" t="s">
        <v>1368</v>
      </c>
      <c r="D10" s="401"/>
      <c r="E10" s="401"/>
    </row>
    <row r="11" spans="1:6" ht="13.8">
      <c r="A11" s="315">
        <v>1</v>
      </c>
      <c r="B11" s="2" t="s">
        <v>168</v>
      </c>
      <c r="C11" s="504">
        <v>1301</v>
      </c>
    </row>
    <row r="12" spans="1:6" ht="13.8">
      <c r="A12" s="315">
        <f>A11+1</f>
        <v>2</v>
      </c>
      <c r="B12" s="2" t="s">
        <v>169</v>
      </c>
      <c r="C12" s="504">
        <v>1245</v>
      </c>
    </row>
    <row r="13" spans="1:6" ht="13.8">
      <c r="A13" s="315">
        <f t="shared" ref="A13:A23" si="0">A12+1</f>
        <v>3</v>
      </c>
      <c r="B13" s="2" t="s">
        <v>170</v>
      </c>
      <c r="C13" s="504">
        <v>1122</v>
      </c>
    </row>
    <row r="14" spans="1:6" ht="13.8">
      <c r="A14" s="315">
        <f t="shared" si="0"/>
        <v>4</v>
      </c>
      <c r="B14" s="2" t="s">
        <v>171</v>
      </c>
      <c r="C14" s="504">
        <v>976</v>
      </c>
    </row>
    <row r="15" spans="1:6" ht="13.8">
      <c r="A15" s="315">
        <f t="shared" si="0"/>
        <v>5</v>
      </c>
      <c r="B15" s="2" t="s">
        <v>172</v>
      </c>
      <c r="C15" s="504">
        <v>1146</v>
      </c>
    </row>
    <row r="16" spans="1:6" ht="13.8">
      <c r="A16" s="315">
        <f t="shared" si="0"/>
        <v>6</v>
      </c>
      <c r="B16" s="2" t="s">
        <v>173</v>
      </c>
      <c r="C16" s="504">
        <v>1380</v>
      </c>
    </row>
    <row r="17" spans="1:6" ht="13.8">
      <c r="A17" s="315">
        <f t="shared" si="0"/>
        <v>7</v>
      </c>
      <c r="B17" s="2" t="s">
        <v>174</v>
      </c>
      <c r="C17" s="504">
        <v>1458</v>
      </c>
    </row>
    <row r="18" spans="1:6" ht="13.8">
      <c r="A18" s="315">
        <f t="shared" si="0"/>
        <v>8</v>
      </c>
      <c r="B18" s="2" t="s">
        <v>175</v>
      </c>
      <c r="C18" s="504">
        <v>1470</v>
      </c>
    </row>
    <row r="19" spans="1:6" ht="13.8">
      <c r="A19" s="315">
        <f t="shared" si="0"/>
        <v>9</v>
      </c>
      <c r="B19" s="2" t="s">
        <v>176</v>
      </c>
      <c r="C19" s="504">
        <v>1316</v>
      </c>
    </row>
    <row r="20" spans="1:6" ht="13.8">
      <c r="A20" s="315">
        <f t="shared" si="0"/>
        <v>10</v>
      </c>
      <c r="B20" s="2" t="s">
        <v>177</v>
      </c>
      <c r="C20" s="504">
        <v>1119</v>
      </c>
    </row>
    <row r="21" spans="1:6" ht="13.8">
      <c r="A21" s="315">
        <f t="shared" si="0"/>
        <v>11</v>
      </c>
      <c r="B21" s="2" t="s">
        <v>178</v>
      </c>
      <c r="C21" s="504">
        <v>1027</v>
      </c>
    </row>
    <row r="22" spans="1:6" ht="13.8">
      <c r="A22" s="315">
        <f t="shared" si="0"/>
        <v>12</v>
      </c>
      <c r="B22" s="2" t="s">
        <v>179</v>
      </c>
      <c r="C22" s="504">
        <v>1462</v>
      </c>
    </row>
    <row r="23" spans="1:6" ht="13.8">
      <c r="A23" s="315">
        <f t="shared" si="0"/>
        <v>13</v>
      </c>
      <c r="B23" s="10" t="s">
        <v>1359</v>
      </c>
      <c r="C23" s="316">
        <f>SUM(C11:C22)</f>
        <v>15022</v>
      </c>
      <c r="D23" s="316"/>
      <c r="E23" s="316"/>
    </row>
    <row r="24" spans="1:6" ht="13.8">
      <c r="B24" s="10"/>
      <c r="C24" s="317"/>
    </row>
    <row r="25" spans="1:6" ht="13.8">
      <c r="A25" s="315">
        <f>A23+1</f>
        <v>14</v>
      </c>
      <c r="B25" s="10" t="s">
        <v>1360</v>
      </c>
      <c r="C25" s="318">
        <f>C23/12</f>
        <v>1251.8333333333333</v>
      </c>
      <c r="D25" s="318"/>
      <c r="E25" s="318"/>
    </row>
    <row r="27" spans="1:6" ht="13.8">
      <c r="A27" s="597"/>
      <c r="B27" s="597"/>
      <c r="C27" s="597"/>
      <c r="D27" s="597"/>
      <c r="E27" s="597"/>
      <c r="F27" s="597"/>
    </row>
    <row r="29" spans="1:6" ht="13.8">
      <c r="A29" s="315"/>
      <c r="D29" s="173"/>
    </row>
    <row r="30" spans="1:6">
      <c r="D30" s="173"/>
    </row>
    <row r="31" spans="1:6">
      <c r="D31" s="173"/>
    </row>
    <row r="32" spans="1:6">
      <c r="D32" s="173"/>
    </row>
    <row r="33" spans="4:4">
      <c r="D33" s="173"/>
    </row>
    <row r="34" spans="4:4">
      <c r="D34" s="173"/>
    </row>
    <row r="35" spans="4:4">
      <c r="D35" s="173"/>
    </row>
    <row r="36" spans="4:4">
      <c r="D36" s="173"/>
    </row>
    <row r="37" spans="4:4">
      <c r="D37" s="173"/>
    </row>
    <row r="38" spans="4:4">
      <c r="D38" s="173"/>
    </row>
    <row r="39" spans="4:4">
      <c r="D39" s="173"/>
    </row>
    <row r="40" spans="4:4">
      <c r="D40" s="173"/>
    </row>
    <row r="41" spans="4:4">
      <c r="D41" s="173"/>
    </row>
    <row r="42" spans="4:4">
      <c r="D42" s="173"/>
    </row>
  </sheetData>
  <mergeCells count="1">
    <mergeCell ref="A27:F27"/>
  </mergeCells>
  <printOptions horizontalCentered="1"/>
  <pageMargins left="0.7" right="0.7" top="0.75" bottom="0.75" header="0.3" footer="0.3"/>
  <pageSetup fitToHeight="0" orientation="landscape" horizontalDpi="1200" verticalDpi="1200" r:id="rId1"/>
  <headerFooter>
    <oddHeader xml:space="preserve">&amp;RPage &amp;P
Worksheet 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4"/>
  <sheetViews>
    <sheetView topLeftCell="A19" zoomScaleNormal="100" workbookViewId="0">
      <selection activeCell="G40" sqref="G39:G40"/>
    </sheetView>
  </sheetViews>
  <sheetFormatPr defaultColWidth="9" defaultRowHeight="13.8"/>
  <cols>
    <col min="1" max="1" width="10.3984375" style="295" customWidth="1"/>
    <col min="2" max="2" width="32.09765625" style="2" customWidth="1"/>
    <col min="3" max="3" width="36.3984375" style="2" customWidth="1"/>
    <col min="4" max="4" width="15.3984375" style="2" customWidth="1"/>
    <col min="5" max="5" width="14.59765625" style="2" customWidth="1"/>
    <col min="6" max="6" width="19.19921875" style="2" customWidth="1"/>
    <col min="7" max="7" width="12.8984375" style="2" bestFit="1" customWidth="1"/>
    <col min="8" max="8" width="1.5" style="2" customWidth="1"/>
    <col min="9" max="9" width="12.3984375" style="2" customWidth="1"/>
    <col min="10" max="11" width="9" style="2"/>
    <col min="12" max="12" width="13.8984375" style="2" customWidth="1"/>
    <col min="13" max="16384" width="9" style="2"/>
  </cols>
  <sheetData>
    <row r="1" spans="1:9">
      <c r="I1" s="177"/>
    </row>
    <row r="2" spans="1:9">
      <c r="I2" s="177" t="s">
        <v>1317</v>
      </c>
    </row>
    <row r="3" spans="1:9">
      <c r="A3" s="1" t="str">
        <f>Index!B4</f>
        <v>Western Farmers Electric Cooperative, Inc.</v>
      </c>
    </row>
    <row r="4" spans="1:9">
      <c r="A4" s="2"/>
    </row>
    <row r="5" spans="1:9">
      <c r="A5" s="1" t="s">
        <v>180</v>
      </c>
    </row>
    <row r="6" spans="1:9">
      <c r="A6" s="1" t="str">
        <f>Index!B6</f>
        <v>Year Ending December 31, 2016</v>
      </c>
    </row>
    <row r="8" spans="1:9">
      <c r="A8" s="296" t="s">
        <v>3</v>
      </c>
      <c r="B8" s="17" t="s">
        <v>4</v>
      </c>
      <c r="C8" s="17" t="s">
        <v>5</v>
      </c>
      <c r="D8" s="17" t="s">
        <v>9</v>
      </c>
      <c r="E8" s="17" t="s">
        <v>10</v>
      </c>
      <c r="F8" s="17" t="s">
        <v>11</v>
      </c>
      <c r="G8" s="17" t="s">
        <v>12</v>
      </c>
    </row>
    <row r="9" spans="1:9" ht="27.6">
      <c r="A9" s="200" t="s">
        <v>16</v>
      </c>
      <c r="B9" s="201" t="s">
        <v>7</v>
      </c>
      <c r="C9" s="201" t="s">
        <v>17</v>
      </c>
      <c r="D9" s="201" t="s">
        <v>54</v>
      </c>
      <c r="E9" s="201" t="s">
        <v>20</v>
      </c>
      <c r="F9" s="201" t="s">
        <v>1381</v>
      </c>
      <c r="G9" s="201" t="s">
        <v>1383</v>
      </c>
    </row>
    <row r="10" spans="1:9">
      <c r="A10" s="18">
        <v>1</v>
      </c>
      <c r="B10" s="2" t="s">
        <v>181</v>
      </c>
      <c r="C10" s="23" t="str">
        <f>'Worksheet K, Wages Input'!$R$2&amp;", Line "&amp;'Worksheet K, Wages Input'!$A$279&amp;", Col "&amp;'Worksheet K, Wages Input'!$G$10</f>
        <v>Worksheet K, Line 257, Col G</v>
      </c>
      <c r="D10" s="270">
        <f>'Worksheet K, Wages Input'!$G$279</f>
        <v>20960772.340000004</v>
      </c>
      <c r="E10" s="463">
        <v>0</v>
      </c>
      <c r="F10" s="298">
        <f t="shared" ref="F10:F16" si="0">D10*E10</f>
        <v>0</v>
      </c>
    </row>
    <row r="11" spans="1:9">
      <c r="A11" s="18">
        <f>A10+1</f>
        <v>2</v>
      </c>
      <c r="B11" s="2" t="s">
        <v>182</v>
      </c>
      <c r="C11" s="23" t="str">
        <f>'Worksheet K, Wages Input'!$R$2&amp;", Line "&amp;'Worksheet K, Wages Input'!$A$279&amp;", Col "&amp;'Worksheet K, Wages Input'!$H$10</f>
        <v>Worksheet K, Line 257, Col H</v>
      </c>
      <c r="D11" s="270">
        <f>'Worksheet K, Wages Input'!$H$279</f>
        <v>6571322.540000001</v>
      </c>
      <c r="E11" s="463">
        <f>F$33</f>
        <v>0.83532377030701277</v>
      </c>
      <c r="F11" s="298">
        <f t="shared" si="0"/>
        <v>5489181.9200162562</v>
      </c>
    </row>
    <row r="12" spans="1:9">
      <c r="A12" s="18">
        <f t="shared" ref="A12:A14" si="1">A11+1</f>
        <v>3</v>
      </c>
      <c r="B12" s="2" t="s">
        <v>1406</v>
      </c>
      <c r="C12" s="23" t="str">
        <f>'Worksheet K, Wages Input'!$R$2&amp;", Line "&amp;'Worksheet K, Wages Input'!$A$279&amp;", Col "&amp;'Worksheet K, Wages Input'!$O$10</f>
        <v>Worksheet K, Line 257, Col N</v>
      </c>
      <c r="D12" s="270">
        <f>'Worksheet K, Wages Input'!O279</f>
        <v>2690279.36</v>
      </c>
      <c r="E12" s="463"/>
      <c r="F12" s="298">
        <f t="shared" ref="F12" si="2">D12*E12</f>
        <v>0</v>
      </c>
      <c r="G12" s="306">
        <f>$D$12</f>
        <v>2690279.36</v>
      </c>
    </row>
    <row r="13" spans="1:9">
      <c r="A13" s="18">
        <f t="shared" si="1"/>
        <v>4</v>
      </c>
      <c r="B13" s="2" t="s">
        <v>1293</v>
      </c>
      <c r="C13" s="23" t="str">
        <f>'Worksheet K, Wages Input'!$R$2&amp;", Line "&amp;'Worksheet K, Wages Input'!$A$279&amp;", Col "&amp;'Worksheet K, Wages Input'!$I$10</f>
        <v>Worksheet K, Line 257, Col I</v>
      </c>
      <c r="D13" s="270">
        <f>'Worksheet K, Wages Input'!$I$279</f>
        <v>3327887.51</v>
      </c>
      <c r="E13" s="463">
        <v>0</v>
      </c>
      <c r="F13" s="298">
        <f t="shared" si="0"/>
        <v>0</v>
      </c>
    </row>
    <row r="14" spans="1:9">
      <c r="A14" s="18">
        <f t="shared" si="1"/>
        <v>5</v>
      </c>
      <c r="B14" s="2" t="s">
        <v>183</v>
      </c>
      <c r="C14" s="23" t="str">
        <f>'Worksheet K, Wages Input'!$R$2&amp;", Line "&amp;'Worksheet K, Wages Input'!$A$279&amp;", Col "&amp;'Worksheet K, Wages Input'!$J$10</f>
        <v>Worksheet K, Line 257, Col J</v>
      </c>
      <c r="D14" s="270">
        <f>'Worksheet K, Wages Input'!$J$279</f>
        <v>197654.01</v>
      </c>
      <c r="E14" s="463">
        <v>0</v>
      </c>
      <c r="F14" s="298">
        <f t="shared" si="0"/>
        <v>0</v>
      </c>
      <c r="G14" s="1"/>
    </row>
    <row r="15" spans="1:9">
      <c r="A15" s="18">
        <f t="shared" ref="A15:A18" si="3">A14+1</f>
        <v>6</v>
      </c>
      <c r="B15" s="2" t="s">
        <v>184</v>
      </c>
      <c r="C15" s="23" t="str">
        <f>'Worksheet K, Wages Input'!$R$2&amp;", Line "&amp;'Worksheet K, Wages Input'!$A$279&amp;", Col "&amp;'Worksheet K, Wages Input'!$K$10</f>
        <v>Worksheet K, Line 257, Col K</v>
      </c>
      <c r="D15" s="270">
        <f>'Worksheet K, Wages Input'!$K$279</f>
        <v>0</v>
      </c>
      <c r="E15" s="463">
        <v>0</v>
      </c>
      <c r="F15" s="298">
        <f t="shared" si="0"/>
        <v>0</v>
      </c>
    </row>
    <row r="16" spans="1:9">
      <c r="A16" s="18">
        <f t="shared" si="3"/>
        <v>7</v>
      </c>
      <c r="B16" s="2" t="s">
        <v>185</v>
      </c>
      <c r="C16" s="23" t="str">
        <f>'Worksheet K, Wages Input'!$R$2&amp;", Line "&amp;'Worksheet K, Wages Input'!$A$279&amp;", Col "&amp;'Worksheet K, Wages Input'!$L$10</f>
        <v>Worksheet K, Line 257, Col L</v>
      </c>
      <c r="D16" s="270">
        <f>'Worksheet K, Wages Input'!$L$279</f>
        <v>945104.06</v>
      </c>
      <c r="E16" s="465">
        <v>0</v>
      </c>
      <c r="F16" s="299">
        <f t="shared" si="0"/>
        <v>0</v>
      </c>
    </row>
    <row r="17" spans="1:9">
      <c r="A17" s="18">
        <f t="shared" si="3"/>
        <v>8</v>
      </c>
      <c r="B17" s="10"/>
      <c r="C17" s="10" t="s">
        <v>41</v>
      </c>
      <c r="D17" s="12">
        <f>SUM(D10:D16)</f>
        <v>34693019.82</v>
      </c>
      <c r="E17" s="300"/>
      <c r="F17" s="12">
        <f>SUM(F10:F16)</f>
        <v>5489181.9200162562</v>
      </c>
      <c r="G17" s="12">
        <f>SUM(G10:G16)</f>
        <v>2690279.36</v>
      </c>
    </row>
    <row r="18" spans="1:9">
      <c r="A18" s="18">
        <f t="shared" si="3"/>
        <v>9</v>
      </c>
      <c r="B18" s="19" t="s">
        <v>1304</v>
      </c>
      <c r="C18" s="19"/>
      <c r="D18" s="301"/>
      <c r="E18" s="301"/>
      <c r="F18" s="466">
        <f>F17/$D17</f>
        <v>0.15822150820240288</v>
      </c>
      <c r="G18" s="466">
        <f>G17/$D17</f>
        <v>7.7545263397598346E-2</v>
      </c>
    </row>
    <row r="19" spans="1:9">
      <c r="A19" s="18"/>
    </row>
    <row r="20" spans="1:9">
      <c r="A20" s="302">
        <f>A18+1</f>
        <v>10</v>
      </c>
      <c r="B20" s="2" t="s">
        <v>186</v>
      </c>
      <c r="C20" s="23" t="str">
        <f>'Worksheet M, TranPlant Funct'!$Q$2&amp;", Line "&amp;'Worksheet M, TranPlant Funct'!$A$59&amp;", Col "&amp;'Worksheet M, TranPlant Funct'!$I$9</f>
        <v>Worksheet M, Line 45, Col G</v>
      </c>
      <c r="D20" s="464">
        <f>'Worksheet M, TranPlant Funct'!$I$59</f>
        <v>7.1129999999999999E-2</v>
      </c>
      <c r="E20" s="336">
        <f>$F$40</f>
        <v>0</v>
      </c>
      <c r="F20" s="459">
        <f>D20*E20</f>
        <v>0</v>
      </c>
    </row>
    <row r="21" spans="1:9">
      <c r="A21" s="303">
        <f>A20+1</f>
        <v>11</v>
      </c>
      <c r="B21" s="303" t="s">
        <v>187</v>
      </c>
      <c r="C21" s="23" t="str">
        <f>'Worksheet M, TranPlant Funct'!$Q$2&amp;", Line "&amp;'Worksheet M, TranPlant Funct'!$A$59&amp;", Col "&amp;'Worksheet M, TranPlant Funct'!$J$9</f>
        <v>Worksheet M, Line 45, Col H</v>
      </c>
      <c r="D21" s="464">
        <f>'Worksheet M, TranPlant Funct'!$J$59</f>
        <v>0.92886999999999997</v>
      </c>
      <c r="E21" s="336">
        <f>'Worksheet F, Inputs'!G29</f>
        <v>1</v>
      </c>
      <c r="F21" s="459">
        <f>D21*E21</f>
        <v>0.92886999999999997</v>
      </c>
    </row>
    <row r="22" spans="1:9">
      <c r="A22" s="302">
        <f>A21+1</f>
        <v>12</v>
      </c>
      <c r="B22" s="2" t="s">
        <v>188</v>
      </c>
      <c r="C22" s="10" t="s">
        <v>41</v>
      </c>
      <c r="D22" s="336">
        <f>SUM(D20:D21)</f>
        <v>1</v>
      </c>
      <c r="E22" s="461"/>
      <c r="F22" s="336">
        <f>SUM(F20:F21)</f>
        <v>0.92886999999999997</v>
      </c>
    </row>
    <row r="23" spans="1:9">
      <c r="A23" s="302">
        <f>A22+1</f>
        <v>13</v>
      </c>
      <c r="B23" s="19" t="s">
        <v>73</v>
      </c>
      <c r="D23" s="459"/>
      <c r="E23" s="459"/>
      <c r="F23" s="307">
        <f>F22/D22</f>
        <v>0.92886999999999997</v>
      </c>
    </row>
    <row r="24" spans="1:9">
      <c r="A24" s="302"/>
      <c r="B24" s="19"/>
      <c r="D24" s="459"/>
      <c r="E24" s="459"/>
      <c r="F24" s="307"/>
    </row>
    <row r="25" spans="1:9">
      <c r="A25" s="18">
        <f>A23+1</f>
        <v>14</v>
      </c>
      <c r="B25" s="3" t="s">
        <v>189</v>
      </c>
      <c r="C25" s="23" t="str">
        <f>'Worksheet M, TranPlant Funct'!$Q$2&amp;", Line "&amp;'Worksheet M, TranPlant Funct'!$A$59&amp;", Col "&amp;'Worksheet M, TranPlant Funct'!$L$9</f>
        <v>Worksheet M, Line 45, Col I</v>
      </c>
      <c r="D25" s="464">
        <f>'Worksheet M, TranPlant Funct'!$L$59</f>
        <v>2.7399999999999998E-3</v>
      </c>
      <c r="E25" s="336">
        <f>$F$40</f>
        <v>0</v>
      </c>
      <c r="F25" s="336">
        <f>D25*E25</f>
        <v>0</v>
      </c>
    </row>
    <row r="26" spans="1:9">
      <c r="A26" s="302">
        <f t="shared" ref="A26:A30" si="4">A25+1</f>
        <v>15</v>
      </c>
      <c r="B26" s="28" t="s">
        <v>190</v>
      </c>
      <c r="C26" s="23" t="str">
        <f>'Worksheet M, TranPlant Funct'!$Q$2&amp;", Line "&amp;'Worksheet M, TranPlant Funct'!$A$59&amp;", Col "&amp;'Worksheet M, TranPlant Funct'!$M$9</f>
        <v>Worksheet M, Line 45, Col J</v>
      </c>
      <c r="D26" s="464">
        <f>'Worksheet M, TranPlant Funct'!$M$59</f>
        <v>3.46E-3</v>
      </c>
      <c r="E26" s="459">
        <f>$F$40</f>
        <v>0</v>
      </c>
      <c r="F26" s="336">
        <f>D26*E26</f>
        <v>0</v>
      </c>
    </row>
    <row r="27" spans="1:9" ht="27.6">
      <c r="A27" s="483">
        <f t="shared" si="4"/>
        <v>16</v>
      </c>
      <c r="B27" s="28" t="s">
        <v>191</v>
      </c>
      <c r="C27" s="494" t="str">
        <f>'Worksheet M, TranPlant Funct'!$Q$2&amp;", Line "&amp;'Worksheet M, TranPlant Funct'!$A$59&amp;", Col "&amp;'Worksheet M, TranPlant Funct'!$N$9&amp;CHAR(10)&amp;" and "&amp;'Worksheet T, Qualified Lines'!$I$1&amp;" Line "&amp;'Worksheet T, Qualified Lines'!$A303&amp;" Col "&amp;'Worksheet T, Qualified Lines'!$E$6</f>
        <v>Worksheet M, Line 45, Col K
 and Worksheet T Line 294 Col E</v>
      </c>
      <c r="D27" s="464">
        <f>'Worksheet M, TranPlant Funct'!$N$59</f>
        <v>0.88090999999999997</v>
      </c>
      <c r="E27" s="336">
        <f>'Worksheet T, Qualified Lines'!E303</f>
        <v>0.79997012249775945</v>
      </c>
      <c r="F27" s="336">
        <f>D27*E27</f>
        <v>0.70470168060950122</v>
      </c>
    </row>
    <row r="28" spans="1:9" ht="27.6">
      <c r="A28" s="483">
        <f t="shared" si="4"/>
        <v>17</v>
      </c>
      <c r="B28" s="28" t="s">
        <v>192</v>
      </c>
      <c r="C28" s="494" t="str">
        <f>'Worksheet M, TranPlant Funct'!$Q$2&amp;", Line "&amp;'Worksheet M, TranPlant Funct'!$A$59&amp;", Col "&amp;'Worksheet M, TranPlant Funct'!$O$9&amp;CHAR(10)&amp;" and "&amp;'Worksheet T, Qualified Lines'!$I$1&amp;" Line "&amp;'Worksheet T, Qualified Lines'!$A304&amp;" Col "&amp;'Worksheet T, Qualified Lines'!$E$6</f>
        <v>Worksheet M, Line 45, Col L
 and Worksheet T Line 295 Col E</v>
      </c>
      <c r="D28" s="464">
        <f>'Worksheet M, TranPlant Funct'!$O$59</f>
        <v>0.11289000000000005</v>
      </c>
      <c r="E28" s="336">
        <f>'Worksheet T, Qualified Lines'!E304</f>
        <v>0.72668542919278467</v>
      </c>
      <c r="F28" s="336">
        <f>D28*E28</f>
        <v>8.2035518101573501E-2</v>
      </c>
    </row>
    <row r="29" spans="1:9">
      <c r="A29" s="302">
        <f t="shared" si="4"/>
        <v>18</v>
      </c>
      <c r="B29" s="2" t="s">
        <v>193</v>
      </c>
      <c r="C29" s="10" t="s">
        <v>194</v>
      </c>
      <c r="D29" s="336">
        <f>SUM(D25:D28)</f>
        <v>1</v>
      </c>
      <c r="E29" s="459"/>
      <c r="F29" s="336">
        <f>SUM(F25:F28)</f>
        <v>0.78673719871107473</v>
      </c>
    </row>
    <row r="30" spans="1:9">
      <c r="A30" s="302">
        <f t="shared" si="4"/>
        <v>19</v>
      </c>
      <c r="B30" s="19" t="s">
        <v>78</v>
      </c>
      <c r="F30" s="307">
        <f>F29/D29</f>
        <v>0.78673719871107473</v>
      </c>
    </row>
    <row r="31" spans="1:9">
      <c r="A31" s="18"/>
    </row>
    <row r="32" spans="1:9">
      <c r="A32" s="18">
        <f>A30+1</f>
        <v>20</v>
      </c>
      <c r="B32" s="2" t="s">
        <v>195</v>
      </c>
      <c r="C32" s="3" t="str">
        <f>'Worksheet A, Rate Base'!$N$2&amp;", Line "&amp;'Worksheet A, Rate Base'!B24&amp;" Col "&amp;'Worksheet A, Rate Base'!$H$9&amp;" and "&amp;'Worksheet A, Rate Base'!$K$9</f>
        <v>Worksheet A, Line 12 Col G and J</v>
      </c>
      <c r="D32" s="305">
        <f>'Worksheet A, Rate Base'!H24</f>
        <v>401478269.5</v>
      </c>
      <c r="E32" s="3"/>
      <c r="F32" s="298">
        <f>'Worksheet A, Rate Base'!K24</f>
        <v>335364341.77507496</v>
      </c>
      <c r="I32" s="306"/>
    </row>
    <row r="33" spans="1:12">
      <c r="A33" s="18">
        <f>A32+1</f>
        <v>21</v>
      </c>
      <c r="B33" s="19" t="s">
        <v>102</v>
      </c>
      <c r="C33" s="19"/>
      <c r="D33" s="19"/>
      <c r="E33" s="19"/>
      <c r="F33" s="307">
        <f>F32/$D32</f>
        <v>0.83532377030701277</v>
      </c>
      <c r="G33" s="307">
        <f>G32/$D32</f>
        <v>0</v>
      </c>
      <c r="I33" s="307"/>
    </row>
    <row r="34" spans="1:12">
      <c r="A34" s="18"/>
    </row>
    <row r="35" spans="1:12">
      <c r="A35" s="18">
        <f>A33+1</f>
        <v>22</v>
      </c>
      <c r="B35" s="2" t="s">
        <v>64</v>
      </c>
      <c r="C35" s="3" t="str">
        <f>'Worksheet A, Rate Base'!$N$2&amp;", Line "&amp;'Worksheet A, Rate Base'!B34&amp;" Col "&amp;'Worksheet A, Rate Base'!$H$9&amp;" and "&amp;'Worksheet A, Rate Base'!$K$9</f>
        <v>Worksheet A, Line 20 Col G and J</v>
      </c>
      <c r="D35" s="14">
        <f>'Worksheet A, Rate Base'!H34</f>
        <v>1553480470.5</v>
      </c>
      <c r="E35" s="3"/>
      <c r="F35" s="9">
        <f>'Worksheet A, Rate Base'!K34</f>
        <v>349963986.75488925</v>
      </c>
      <c r="H35" s="23"/>
      <c r="I35" s="23"/>
    </row>
    <row r="36" spans="1:12">
      <c r="A36" s="18">
        <f>A35+1</f>
        <v>23</v>
      </c>
      <c r="B36" s="19" t="s">
        <v>1305</v>
      </c>
      <c r="C36" s="19"/>
      <c r="D36" s="19"/>
      <c r="E36" s="19"/>
      <c r="F36" s="307">
        <f>F35/$D35</f>
        <v>0.22527736485946975</v>
      </c>
      <c r="G36" s="307">
        <f>G35/$D35</f>
        <v>0</v>
      </c>
      <c r="H36" s="23"/>
      <c r="I36" s="23"/>
    </row>
    <row r="37" spans="1:12" ht="30" customHeight="1">
      <c r="A37" s="18">
        <f>A36+1</f>
        <v>24</v>
      </c>
      <c r="B37" s="503" t="s">
        <v>1271</v>
      </c>
      <c r="C37" s="308" t="str">
        <f>'Worksheet F, Inputs'!$I$1&amp;", Column "&amp;'Worksheet F, Inputs'!$G$9&amp;" Line "&amp;'Worksheet F, Inputs'!A129&amp;CHAR(10)&amp;" and "&amp;'Worksheet P, CCnC'!$J$3&amp;" Line "&amp;'Worksheet P, CCnC'!$A$50&amp;" Col "&amp;'Worksheet P, CCnC'!$F$9</f>
        <v>Worksheet F, Column G Line 99
 and Worksheet P Line 39 Col F</v>
      </c>
      <c r="D37" s="9">
        <f>'Worksheet F, Inputs'!G129</f>
        <v>47984127</v>
      </c>
      <c r="E37" s="14"/>
      <c r="F37" s="9">
        <f>'Worksheet P, CCnC'!F50</f>
        <v>32180450.624999996</v>
      </c>
      <c r="H37" s="34"/>
      <c r="L37" s="9"/>
    </row>
    <row r="38" spans="1:12">
      <c r="A38" s="18">
        <f>A37+1</f>
        <v>25</v>
      </c>
      <c r="B38" s="19" t="s">
        <v>90</v>
      </c>
      <c r="C38" s="271"/>
      <c r="D38" s="271"/>
      <c r="E38" s="271"/>
      <c r="F38" s="307">
        <f>IF(D37&gt;0,F37/D37,100%)</f>
        <v>0.67064782954163149</v>
      </c>
      <c r="L38" s="309"/>
    </row>
    <row r="39" spans="1:12">
      <c r="A39" s="302" t="s">
        <v>0</v>
      </c>
      <c r="F39" s="459"/>
    </row>
    <row r="40" spans="1:12">
      <c r="A40" s="302">
        <f>A38+1</f>
        <v>26</v>
      </c>
      <c r="B40" s="19" t="s">
        <v>29</v>
      </c>
      <c r="C40" s="2" t="s">
        <v>196</v>
      </c>
      <c r="F40" s="307">
        <v>0</v>
      </c>
    </row>
    <row r="41" spans="1:12">
      <c r="A41" s="302">
        <f>A40+1</f>
        <v>27</v>
      </c>
      <c r="B41" s="19" t="s">
        <v>35</v>
      </c>
      <c r="C41" s="2" t="s">
        <v>196</v>
      </c>
      <c r="F41" s="307">
        <v>1</v>
      </c>
    </row>
    <row r="42" spans="1:12">
      <c r="A42" s="302"/>
      <c r="B42" s="1"/>
      <c r="F42" s="310"/>
    </row>
    <row r="43" spans="1:12">
      <c r="A43" s="311"/>
      <c r="B43" s="89"/>
      <c r="C43" s="23"/>
      <c r="D43" s="23"/>
      <c r="E43" s="23"/>
      <c r="F43" s="23"/>
    </row>
    <row r="44" spans="1:12">
      <c r="A44" s="311"/>
      <c r="B44" s="224"/>
      <c r="C44" s="224"/>
      <c r="D44" s="312"/>
      <c r="E44" s="312"/>
      <c r="F44" s="312"/>
    </row>
    <row r="45" spans="1:12">
      <c r="A45" s="311"/>
      <c r="B45" s="23"/>
      <c r="C45" s="23"/>
      <c r="D45" s="23"/>
      <c r="E45" s="23"/>
      <c r="F45" s="313"/>
    </row>
    <row r="46" spans="1:12">
      <c r="A46" s="311"/>
      <c r="B46" s="23"/>
      <c r="C46" s="23"/>
      <c r="D46" s="23"/>
      <c r="E46" s="23"/>
      <c r="F46" s="313"/>
    </row>
    <row r="47" spans="1:12">
      <c r="A47" s="311"/>
      <c r="B47" s="23"/>
      <c r="C47" s="23"/>
      <c r="D47" s="23"/>
      <c r="E47" s="23"/>
      <c r="F47" s="313"/>
    </row>
    <row r="48" spans="1:12">
      <c r="A48" s="311"/>
      <c r="B48" s="23"/>
      <c r="C48" s="23"/>
      <c r="D48" s="23"/>
      <c r="E48" s="23"/>
      <c r="F48" s="313"/>
    </row>
    <row r="49" spans="1:6">
      <c r="A49" s="311"/>
      <c r="B49" s="23"/>
      <c r="C49" s="23"/>
      <c r="D49" s="23"/>
      <c r="E49" s="23"/>
      <c r="F49" s="313"/>
    </row>
    <row r="50" spans="1:6">
      <c r="A50" s="311"/>
      <c r="B50" s="23"/>
      <c r="C50" s="23"/>
      <c r="D50" s="23"/>
      <c r="E50" s="23"/>
      <c r="F50" s="313"/>
    </row>
    <row r="51" spans="1:6">
      <c r="A51" s="311"/>
      <c r="B51" s="23"/>
      <c r="C51" s="23"/>
      <c r="D51" s="23"/>
      <c r="E51" s="23"/>
      <c r="F51" s="313"/>
    </row>
    <row r="52" spans="1:6">
      <c r="A52" s="311"/>
      <c r="B52" s="23"/>
      <c r="C52" s="23"/>
      <c r="D52" s="23"/>
      <c r="E52" s="23"/>
      <c r="F52" s="313"/>
    </row>
    <row r="53" spans="1:6">
      <c r="A53" s="311"/>
      <c r="B53" s="23"/>
      <c r="C53" s="23"/>
      <c r="D53" s="23"/>
      <c r="E53" s="23"/>
      <c r="F53" s="313"/>
    </row>
    <row r="54" spans="1:6">
      <c r="A54" s="311"/>
      <c r="B54" s="23"/>
      <c r="C54" s="23"/>
      <c r="D54" s="23"/>
      <c r="E54" s="23"/>
      <c r="F54" s="313"/>
    </row>
  </sheetData>
  <conditionalFormatting sqref="A1:XFD1048576">
    <cfRule type="containsErrors" dxfId="4" priority="1">
      <formula>ISERROR(A1)</formula>
    </cfRule>
  </conditionalFormatting>
  <printOptions horizontalCentered="1"/>
  <pageMargins left="0.7" right="0.7" top="0.75" bottom="0.75" header="0.3" footer="0.3"/>
  <pageSetup scale="79" fitToHeight="0" orientation="landscape" horizontalDpi="1200" verticalDpi="1200" r:id="rId1"/>
  <headerFooter>
    <oddHeader>&amp;RPage &amp;P
Worksheet 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667"/>
  <sheetViews>
    <sheetView topLeftCell="A94" zoomScaleNormal="100" workbookViewId="0">
      <selection activeCell="G14" sqref="G14"/>
    </sheetView>
  </sheetViews>
  <sheetFormatPr defaultColWidth="9.19921875" defaultRowHeight="13.8"/>
  <cols>
    <col min="1" max="1" width="5.5" style="2" customWidth="1"/>
    <col min="2" max="2" width="9" style="2" bestFit="1" customWidth="1"/>
    <col min="3" max="3" width="41.19921875" style="2" customWidth="1"/>
    <col min="4" max="4" width="31.59765625" style="2" customWidth="1"/>
    <col min="5" max="5" width="17.19921875" style="23" customWidth="1"/>
    <col min="6" max="6" width="17.3984375" style="23" bestFit="1" customWidth="1"/>
    <col min="7" max="7" width="20.59765625" style="23" customWidth="1"/>
    <col min="8" max="8" width="5.59765625" style="2" customWidth="1"/>
    <col min="9" max="9" width="12.59765625" style="2" customWidth="1"/>
    <col min="10" max="10" width="1.59765625" style="2" customWidth="1"/>
    <col min="11" max="11" width="12.09765625" style="2" bestFit="1" customWidth="1"/>
    <col min="12" max="12" width="13.8984375" style="34" customWidth="1"/>
    <col min="13" max="13" width="9.19921875" style="2"/>
    <col min="14" max="14" width="11.59765625" style="2" customWidth="1"/>
    <col min="15" max="15" width="1.59765625" style="2" customWidth="1"/>
    <col min="16" max="16" width="56.59765625" style="2" customWidth="1"/>
    <col min="17" max="17" width="9.19921875" style="2"/>
    <col min="18" max="18" width="11.59765625" style="2" customWidth="1"/>
    <col min="19" max="19" width="1.59765625" style="2" customWidth="1"/>
    <col min="20" max="16384" width="9.19921875" style="2"/>
  </cols>
  <sheetData>
    <row r="1" spans="1:13">
      <c r="B1" s="23"/>
      <c r="C1" s="23"/>
      <c r="D1" s="23"/>
      <c r="I1" s="177" t="s">
        <v>1318</v>
      </c>
    </row>
    <row r="2" spans="1:13">
      <c r="A2" s="23"/>
      <c r="B2" s="23"/>
      <c r="C2" s="23"/>
      <c r="D2" s="23"/>
    </row>
    <row r="3" spans="1:13">
      <c r="A3" s="23"/>
      <c r="B3" s="23"/>
      <c r="C3" s="23"/>
      <c r="D3" s="23"/>
      <c r="G3" s="82"/>
    </row>
    <row r="4" spans="1:13">
      <c r="A4" s="267" t="str">
        <f>Index!B4</f>
        <v>Western Farmers Electric Cooperative, Inc.</v>
      </c>
      <c r="B4" s="267"/>
      <c r="C4" s="83"/>
      <c r="D4" s="83"/>
      <c r="E4" s="83"/>
      <c r="F4" s="83"/>
      <c r="G4" s="12"/>
    </row>
    <row r="5" spans="1:13">
      <c r="A5" s="224"/>
      <c r="B5" s="224"/>
      <c r="C5" s="23"/>
      <c r="D5" s="83"/>
      <c r="E5" s="83"/>
      <c r="F5" s="83"/>
      <c r="G5" s="12"/>
    </row>
    <row r="6" spans="1:13">
      <c r="A6" s="267" t="s">
        <v>197</v>
      </c>
      <c r="B6" s="267"/>
      <c r="C6" s="23"/>
      <c r="D6" s="83"/>
      <c r="E6" s="83"/>
      <c r="F6" s="83"/>
      <c r="G6" s="12"/>
    </row>
    <row r="7" spans="1:13">
      <c r="A7" s="224" t="str">
        <f>Index!B6</f>
        <v>Year Ending December 31, 2016</v>
      </c>
      <c r="B7" s="224"/>
      <c r="C7" s="23"/>
      <c r="D7" s="23"/>
      <c r="I7" s="23"/>
      <c r="J7" s="23"/>
      <c r="K7" s="23"/>
      <c r="L7" s="35"/>
      <c r="M7" s="23"/>
    </row>
    <row r="8" spans="1:13">
      <c r="A8" s="23"/>
      <c r="B8" s="23"/>
      <c r="C8" s="23"/>
      <c r="D8" s="23"/>
      <c r="I8" s="23"/>
      <c r="J8" s="23"/>
      <c r="K8" s="23"/>
      <c r="L8" s="35"/>
      <c r="M8" s="23"/>
    </row>
    <row r="9" spans="1:13">
      <c r="A9" s="84" t="s">
        <v>3</v>
      </c>
      <c r="B9" s="84" t="s">
        <v>4</v>
      </c>
      <c r="C9" s="84" t="s">
        <v>5</v>
      </c>
      <c r="D9" s="84" t="s">
        <v>9</v>
      </c>
      <c r="E9" s="84" t="s">
        <v>10</v>
      </c>
      <c r="F9" s="84" t="s">
        <v>11</v>
      </c>
      <c r="G9" s="84" t="s">
        <v>12</v>
      </c>
      <c r="I9" s="23"/>
      <c r="J9" s="23"/>
      <c r="K9" s="23"/>
      <c r="L9" s="35"/>
      <c r="M9" s="23"/>
    </row>
    <row r="10" spans="1:13" ht="27.6">
      <c r="A10" s="201" t="s">
        <v>16</v>
      </c>
      <c r="B10" s="201" t="s">
        <v>198</v>
      </c>
      <c r="C10" s="268" t="s">
        <v>7</v>
      </c>
      <c r="D10" s="201" t="s">
        <v>17</v>
      </c>
      <c r="E10" s="104" t="s">
        <v>199</v>
      </c>
      <c r="F10" s="104" t="s">
        <v>200</v>
      </c>
      <c r="G10" s="105" t="s">
        <v>201</v>
      </c>
      <c r="J10" s="23"/>
      <c r="K10" s="35"/>
      <c r="L10" s="35"/>
      <c r="M10" s="23"/>
    </row>
    <row r="11" spans="1:13">
      <c r="A11" s="23">
        <v>1</v>
      </c>
      <c r="B11" s="23"/>
      <c r="C11" s="27" t="s">
        <v>202</v>
      </c>
      <c r="D11" s="89" t="s">
        <v>1529</v>
      </c>
      <c r="G11" s="504">
        <v>45</v>
      </c>
      <c r="I11" s="269"/>
      <c r="K11" s="34"/>
    </row>
    <row r="12" spans="1:13">
      <c r="A12" s="23">
        <f t="shared" ref="A12:A26" si="0">A11+1</f>
        <v>2</v>
      </c>
      <c r="B12" s="23"/>
      <c r="C12" s="27" t="s">
        <v>1478</v>
      </c>
      <c r="D12" s="568" t="s">
        <v>1530</v>
      </c>
      <c r="G12" s="505">
        <v>0.5</v>
      </c>
      <c r="I12" s="269"/>
      <c r="K12" s="34"/>
    </row>
    <row r="13" spans="1:13">
      <c r="A13" s="23">
        <f t="shared" si="0"/>
        <v>3</v>
      </c>
      <c r="B13" s="23"/>
      <c r="C13" s="28" t="s">
        <v>1283</v>
      </c>
      <c r="D13" s="568" t="s">
        <v>1530</v>
      </c>
      <c r="G13" s="506">
        <f>0.005+0.0877</f>
        <v>9.2700000000000005E-2</v>
      </c>
      <c r="K13" s="34"/>
    </row>
    <row r="14" spans="1:13">
      <c r="A14" s="23">
        <f>A13+1</f>
        <v>4</v>
      </c>
      <c r="B14" s="23"/>
      <c r="C14" s="28" t="s">
        <v>1378</v>
      </c>
      <c r="D14" s="568" t="s">
        <v>1530</v>
      </c>
      <c r="G14" s="506">
        <v>0.35239999999999999</v>
      </c>
      <c r="K14" s="34"/>
    </row>
    <row r="15" spans="1:13">
      <c r="A15" s="23"/>
      <c r="B15" s="23"/>
      <c r="C15" s="28"/>
      <c r="D15" s="89"/>
      <c r="I15" s="269"/>
    </row>
    <row r="16" spans="1:13">
      <c r="A16" s="23"/>
      <c r="B16" s="23"/>
      <c r="C16" s="28"/>
      <c r="D16" s="23"/>
      <c r="G16" s="80" t="str">
        <f>"Year End "&amp;TRIM(RIGHT(Index!$B$6,5))</f>
        <v>Year End 2016</v>
      </c>
      <c r="I16" s="269"/>
    </row>
    <row r="17" spans="1:9">
      <c r="A17" s="23">
        <f>A14+1</f>
        <v>5</v>
      </c>
      <c r="B17" s="29">
        <v>561.6</v>
      </c>
      <c r="C17" s="2" t="s">
        <v>203</v>
      </c>
      <c r="D17" s="271" t="s">
        <v>1367</v>
      </c>
      <c r="G17" s="507">
        <v>0</v>
      </c>
      <c r="I17" s="269"/>
    </row>
    <row r="18" spans="1:9">
      <c r="A18" s="23">
        <f t="shared" si="0"/>
        <v>6</v>
      </c>
      <c r="B18" s="29">
        <v>561.70000000000005</v>
      </c>
      <c r="C18" s="2" t="s">
        <v>204</v>
      </c>
      <c r="D18" s="2" t="str">
        <f>D17</f>
        <v>Trial Balance Amount</v>
      </c>
      <c r="G18" s="507">
        <v>0</v>
      </c>
      <c r="I18" s="269"/>
    </row>
    <row r="19" spans="1:9">
      <c r="A19" s="23">
        <f t="shared" si="0"/>
        <v>7</v>
      </c>
      <c r="B19" s="29">
        <v>561.79999999999995</v>
      </c>
      <c r="C19" s="2" t="s">
        <v>205</v>
      </c>
      <c r="D19" s="2" t="str">
        <f>D18</f>
        <v>Trial Balance Amount</v>
      </c>
      <c r="G19" s="507">
        <v>0</v>
      </c>
      <c r="I19" s="269"/>
    </row>
    <row r="20" spans="1:9">
      <c r="A20" s="23">
        <f t="shared" si="0"/>
        <v>8</v>
      </c>
      <c r="B20" s="402" t="s">
        <v>0</v>
      </c>
      <c r="C20" s="28" t="s">
        <v>1362</v>
      </c>
      <c r="D20" s="2" t="str">
        <f t="shared" ref="D20:D23" si="1">D19</f>
        <v>Trial Balance Amount</v>
      </c>
      <c r="G20" s="507">
        <v>468263.72</v>
      </c>
      <c r="I20" s="269"/>
    </row>
    <row r="21" spans="1:9">
      <c r="A21" s="23">
        <f t="shared" si="0"/>
        <v>9</v>
      </c>
      <c r="B21" s="29"/>
      <c r="C21" s="28" t="s">
        <v>1363</v>
      </c>
      <c r="D21" s="2" t="str">
        <f t="shared" si="1"/>
        <v>Trial Balance Amount</v>
      </c>
      <c r="G21" s="507">
        <v>571955.48</v>
      </c>
      <c r="I21" s="269"/>
    </row>
    <row r="22" spans="1:9">
      <c r="A22" s="23">
        <f t="shared" si="0"/>
        <v>10</v>
      </c>
      <c r="B22" s="29"/>
      <c r="C22" s="28" t="s">
        <v>1364</v>
      </c>
      <c r="D22" s="2" t="str">
        <f t="shared" si="1"/>
        <v>Trial Balance Amount</v>
      </c>
      <c r="G22" s="507">
        <v>3827848.32</v>
      </c>
      <c r="I22" s="269"/>
    </row>
    <row r="23" spans="1:9">
      <c r="A23" s="23">
        <f t="shared" si="0"/>
        <v>11</v>
      </c>
      <c r="B23" s="402">
        <v>561.00400000000002</v>
      </c>
      <c r="C23" s="28" t="s">
        <v>1366</v>
      </c>
      <c r="D23" s="2" t="str">
        <f t="shared" si="1"/>
        <v>Trial Balance Amount</v>
      </c>
      <c r="G23" s="507">
        <v>4633901.0999999996</v>
      </c>
      <c r="I23" s="269"/>
    </row>
    <row r="24" spans="1:9">
      <c r="A24" s="23">
        <f t="shared" si="0"/>
        <v>12</v>
      </c>
      <c r="B24" s="29"/>
      <c r="C24" s="2" t="s">
        <v>206</v>
      </c>
      <c r="G24" s="507"/>
      <c r="I24" s="269"/>
    </row>
    <row r="25" spans="1:9" ht="27.6">
      <c r="A25" s="23">
        <f t="shared" si="0"/>
        <v>13</v>
      </c>
      <c r="B25" s="29"/>
      <c r="C25" s="495" t="s">
        <v>1370</v>
      </c>
      <c r="G25" s="507"/>
      <c r="I25" s="269"/>
    </row>
    <row r="26" spans="1:9">
      <c r="A26" s="23">
        <f t="shared" si="0"/>
        <v>14</v>
      </c>
      <c r="B26" s="29"/>
      <c r="C26" s="2" t="s">
        <v>56</v>
      </c>
      <c r="G26" s="507"/>
      <c r="I26" s="269"/>
    </row>
    <row r="27" spans="1:9">
      <c r="A27" s="23"/>
      <c r="B27" s="23"/>
      <c r="D27" s="23"/>
      <c r="I27" s="269"/>
    </row>
    <row r="28" spans="1:9">
      <c r="A28" s="23">
        <f>A26+1</f>
        <v>15</v>
      </c>
      <c r="C28" s="1" t="s">
        <v>1294</v>
      </c>
      <c r="G28" s="80" t="str">
        <f>"Year End "&amp;TRIM(RIGHT(Index!$B$6,5))</f>
        <v>Year End 2016</v>
      </c>
    </row>
    <row r="29" spans="1:9">
      <c r="A29" s="23">
        <f t="shared" ref="A29:A80" si="2">A28+1</f>
        <v>16</v>
      </c>
      <c r="B29" s="23"/>
      <c r="C29" s="28" t="s">
        <v>209</v>
      </c>
      <c r="D29" s="23" t="str">
        <f>'Worksheet S, Qualified Subs'!I2&amp;", Line "&amp;'Worksheet S, Qualified Subs'!A122&amp;", Col "&amp;'Worksheet S, Qualified Subs'!D9</f>
        <v>Worksheet S, Line 111, Col D</v>
      </c>
      <c r="G29" s="386">
        <f>'Worksheet S, Qualified Subs'!D122</f>
        <v>1</v>
      </c>
    </row>
    <row r="31" spans="1:9">
      <c r="A31" s="23"/>
      <c r="B31" s="23"/>
      <c r="C31" s="28"/>
      <c r="D31" s="23"/>
      <c r="I31" s="269"/>
    </row>
    <row r="32" spans="1:9">
      <c r="A32" s="23"/>
      <c r="B32" s="23"/>
      <c r="C32" s="28"/>
      <c r="D32" s="23"/>
      <c r="I32" s="269"/>
    </row>
    <row r="33" spans="1:9">
      <c r="A33" s="23">
        <f>A29+1</f>
        <v>17</v>
      </c>
      <c r="B33" s="23"/>
      <c r="C33" s="273" t="s">
        <v>210</v>
      </c>
      <c r="D33" s="23"/>
      <c r="I33" s="269"/>
    </row>
    <row r="34" spans="1:9">
      <c r="A34" s="23">
        <f t="shared" si="2"/>
        <v>18</v>
      </c>
      <c r="B34" s="23"/>
      <c r="C34" s="27" t="s">
        <v>211</v>
      </c>
      <c r="D34" s="20" t="s">
        <v>212</v>
      </c>
      <c r="G34" s="507">
        <v>615088099</v>
      </c>
      <c r="I34" s="269"/>
    </row>
    <row r="35" spans="1:9">
      <c r="A35" s="23">
        <f t="shared" si="2"/>
        <v>19</v>
      </c>
      <c r="B35" s="23"/>
      <c r="C35" s="27" t="s">
        <v>213</v>
      </c>
      <c r="D35" s="20" t="s">
        <v>214</v>
      </c>
      <c r="G35" s="507">
        <v>0</v>
      </c>
      <c r="I35" s="269"/>
    </row>
    <row r="36" spans="1:9">
      <c r="A36" s="23">
        <f>A35+1</f>
        <v>20</v>
      </c>
      <c r="B36" s="23"/>
      <c r="C36" s="27" t="s">
        <v>215</v>
      </c>
      <c r="D36" s="20" t="s">
        <v>216</v>
      </c>
      <c r="G36" s="507">
        <v>40049425</v>
      </c>
      <c r="I36" s="269"/>
    </row>
    <row r="37" spans="1:9">
      <c r="A37" s="23">
        <f>A36+1</f>
        <v>21</v>
      </c>
      <c r="B37" s="23"/>
      <c r="C37" s="27" t="s">
        <v>217</v>
      </c>
      <c r="D37" s="21" t="s">
        <v>37</v>
      </c>
      <c r="G37" s="387">
        <f>SUM(G34:G36)</f>
        <v>655137524</v>
      </c>
      <c r="I37" s="269"/>
    </row>
    <row r="38" spans="1:9">
      <c r="A38" s="23"/>
      <c r="B38" s="23"/>
      <c r="C38" s="27"/>
      <c r="D38" s="20"/>
      <c r="G38" s="86"/>
      <c r="I38" s="269"/>
    </row>
    <row r="39" spans="1:9">
      <c r="A39" s="23">
        <f>A37+1</f>
        <v>22</v>
      </c>
      <c r="B39" s="23"/>
      <c r="C39" s="172" t="s">
        <v>218</v>
      </c>
      <c r="D39" s="20"/>
      <c r="G39" s="86"/>
      <c r="I39" s="269"/>
    </row>
    <row r="40" spans="1:9">
      <c r="A40" s="23">
        <f>A39+1</f>
        <v>23</v>
      </c>
      <c r="B40" s="23"/>
      <c r="C40" s="22" t="s">
        <v>219</v>
      </c>
      <c r="D40" s="20"/>
      <c r="G40" s="86"/>
      <c r="I40" s="269"/>
    </row>
    <row r="41" spans="1:9">
      <c r="A41" s="23">
        <f>A40+1</f>
        <v>24</v>
      </c>
      <c r="B41" s="23"/>
      <c r="C41" s="27" t="s">
        <v>220</v>
      </c>
      <c r="D41" s="20" t="s">
        <v>221</v>
      </c>
      <c r="G41" s="507">
        <v>21461499</v>
      </c>
      <c r="I41" s="269"/>
    </row>
    <row r="42" spans="1:9">
      <c r="A42" s="23">
        <f t="shared" si="2"/>
        <v>25</v>
      </c>
      <c r="B42" s="23"/>
      <c r="C42" s="27" t="s">
        <v>222</v>
      </c>
      <c r="D42" s="20" t="s">
        <v>223</v>
      </c>
      <c r="G42" s="507">
        <v>110572423</v>
      </c>
      <c r="I42" s="269"/>
    </row>
    <row r="43" spans="1:9">
      <c r="A43" s="23">
        <f t="shared" si="2"/>
        <v>26</v>
      </c>
      <c r="B43" s="23"/>
      <c r="C43" s="27" t="s">
        <v>224</v>
      </c>
      <c r="D43" s="20" t="s">
        <v>225</v>
      </c>
      <c r="G43" s="507">
        <v>303460181</v>
      </c>
      <c r="I43" s="269"/>
    </row>
    <row r="44" spans="1:9">
      <c r="A44" s="23">
        <f t="shared" si="2"/>
        <v>27</v>
      </c>
      <c r="B44" s="23"/>
      <c r="C44" s="27" t="s">
        <v>226</v>
      </c>
      <c r="D44" s="20" t="s">
        <v>227</v>
      </c>
      <c r="G44" s="507">
        <v>70254210</v>
      </c>
      <c r="I44" s="269"/>
    </row>
    <row r="45" spans="1:9">
      <c r="A45" s="23">
        <f t="shared" si="2"/>
        <v>28</v>
      </c>
      <c r="B45" s="23"/>
      <c r="C45" s="27" t="s">
        <v>228</v>
      </c>
      <c r="D45" s="20" t="s">
        <v>229</v>
      </c>
      <c r="G45" s="507">
        <v>8461749</v>
      </c>
      <c r="I45" s="269"/>
    </row>
    <row r="46" spans="1:9">
      <c r="A46" s="23">
        <f t="shared" si="2"/>
        <v>29</v>
      </c>
      <c r="B46" s="23"/>
      <c r="C46" s="274" t="s">
        <v>230</v>
      </c>
      <c r="D46" s="20" t="s">
        <v>231</v>
      </c>
      <c r="E46" s="20"/>
      <c r="F46" s="20"/>
      <c r="G46" s="507">
        <v>6215660</v>
      </c>
    </row>
    <row r="47" spans="1:9">
      <c r="A47" s="23">
        <f t="shared" si="2"/>
        <v>30</v>
      </c>
      <c r="B47" s="23"/>
      <c r="C47" s="274" t="s">
        <v>232</v>
      </c>
      <c r="D47" s="20" t="s">
        <v>233</v>
      </c>
      <c r="E47" s="20"/>
      <c r="F47" s="20"/>
      <c r="G47" s="507">
        <v>287939</v>
      </c>
    </row>
    <row r="48" spans="1:9">
      <c r="A48" s="23">
        <f t="shared" si="2"/>
        <v>31</v>
      </c>
      <c r="B48" s="23"/>
      <c r="C48" s="274" t="s">
        <v>234</v>
      </c>
      <c r="D48" s="20" t="s">
        <v>235</v>
      </c>
      <c r="E48" s="20"/>
      <c r="F48" s="20"/>
      <c r="G48" s="507">
        <v>12598</v>
      </c>
    </row>
    <row r="49" spans="1:9">
      <c r="A49" s="23">
        <f t="shared" si="2"/>
        <v>32</v>
      </c>
      <c r="B49" s="23"/>
      <c r="C49" s="274" t="s">
        <v>236</v>
      </c>
      <c r="D49" s="20" t="s">
        <v>237</v>
      </c>
      <c r="E49" s="20"/>
      <c r="F49" s="20"/>
      <c r="G49" s="507">
        <v>2473606</v>
      </c>
    </row>
    <row r="50" spans="1:9">
      <c r="A50" s="23">
        <f t="shared" si="2"/>
        <v>33</v>
      </c>
      <c r="B50" s="23"/>
      <c r="C50" s="274" t="s">
        <v>238</v>
      </c>
      <c r="D50" s="20" t="s">
        <v>239</v>
      </c>
      <c r="E50" s="20"/>
      <c r="F50" s="20"/>
      <c r="G50" s="507">
        <v>10914173</v>
      </c>
    </row>
    <row r="51" spans="1:9">
      <c r="A51" s="23">
        <f t="shared" si="2"/>
        <v>34</v>
      </c>
      <c r="B51" s="23"/>
      <c r="C51" s="274" t="s">
        <v>240</v>
      </c>
      <c r="D51" s="21" t="s">
        <v>37</v>
      </c>
      <c r="E51" s="20"/>
      <c r="F51" s="20"/>
      <c r="G51" s="270">
        <f>SUM(G41:G50)</f>
        <v>534114038</v>
      </c>
    </row>
    <row r="52" spans="1:9">
      <c r="A52" s="23"/>
      <c r="B52" s="23"/>
      <c r="C52" s="274"/>
      <c r="D52" s="20"/>
      <c r="E52" s="20"/>
      <c r="F52" s="20"/>
      <c r="G52" s="86"/>
    </row>
    <row r="53" spans="1:9">
      <c r="A53" s="23">
        <f>A51+1</f>
        <v>35</v>
      </c>
      <c r="B53" s="23"/>
      <c r="C53" s="22" t="s">
        <v>241</v>
      </c>
      <c r="D53" s="20"/>
      <c r="E53" s="20"/>
      <c r="F53" s="20"/>
      <c r="G53" s="86"/>
    </row>
    <row r="54" spans="1:9">
      <c r="A54" s="23">
        <f>A53+1</f>
        <v>36</v>
      </c>
      <c r="B54" s="23"/>
      <c r="C54" s="274" t="s">
        <v>242</v>
      </c>
      <c r="D54" s="20" t="s">
        <v>243</v>
      </c>
      <c r="E54" s="20"/>
      <c r="F54" s="20"/>
      <c r="G54" s="507">
        <v>21178532</v>
      </c>
    </row>
    <row r="55" spans="1:9">
      <c r="A55" s="23">
        <f t="shared" si="2"/>
        <v>37</v>
      </c>
      <c r="B55" s="23"/>
      <c r="C55" s="274" t="s">
        <v>244</v>
      </c>
      <c r="D55" s="20" t="s">
        <v>245</v>
      </c>
      <c r="F55" s="20"/>
      <c r="G55" s="507">
        <v>2179569</v>
      </c>
    </row>
    <row r="56" spans="1:9">
      <c r="A56" s="23">
        <f t="shared" si="2"/>
        <v>38</v>
      </c>
      <c r="B56" s="23"/>
      <c r="C56" s="274" t="s">
        <v>246</v>
      </c>
      <c r="D56" s="20" t="s">
        <v>247</v>
      </c>
      <c r="E56" s="20"/>
      <c r="F56" s="20"/>
      <c r="G56" s="507">
        <v>0</v>
      </c>
    </row>
    <row r="57" spans="1:9">
      <c r="A57" s="23">
        <f t="shared" si="2"/>
        <v>39</v>
      </c>
      <c r="B57" s="23"/>
      <c r="C57" s="274" t="s">
        <v>248</v>
      </c>
      <c r="D57" s="20" t="s">
        <v>249</v>
      </c>
      <c r="E57" s="20"/>
      <c r="F57" s="20"/>
      <c r="G57" s="507">
        <v>1250440</v>
      </c>
    </row>
    <row r="58" spans="1:9">
      <c r="A58" s="23">
        <f t="shared" si="2"/>
        <v>40</v>
      </c>
      <c r="B58" s="23"/>
      <c r="C58" s="274" t="s">
        <v>250</v>
      </c>
      <c r="D58" s="20" t="s">
        <v>251</v>
      </c>
      <c r="E58" s="20"/>
      <c r="F58" s="20"/>
      <c r="G58" s="507">
        <v>856255</v>
      </c>
    </row>
    <row r="59" spans="1:9">
      <c r="A59" s="23">
        <f t="shared" si="2"/>
        <v>41</v>
      </c>
      <c r="B59" s="23"/>
      <c r="C59" s="274" t="s">
        <v>252</v>
      </c>
      <c r="D59" s="21" t="s">
        <v>37</v>
      </c>
      <c r="E59" s="20"/>
      <c r="F59" s="20"/>
      <c r="G59" s="270">
        <f>SUM(G54:G58)</f>
        <v>25464796</v>
      </c>
    </row>
    <row r="60" spans="1:9">
      <c r="A60" s="23"/>
      <c r="B60" s="23"/>
      <c r="C60" s="274"/>
      <c r="D60" s="20"/>
      <c r="E60" s="20"/>
      <c r="F60" s="20"/>
      <c r="G60" s="86"/>
    </row>
    <row r="61" spans="1:9">
      <c r="A61" s="23">
        <f>A59+1</f>
        <v>42</v>
      </c>
      <c r="B61" s="23"/>
      <c r="C61" s="22" t="s">
        <v>253</v>
      </c>
      <c r="D61" s="20"/>
      <c r="E61" s="20"/>
      <c r="F61" s="20"/>
      <c r="G61" s="86"/>
    </row>
    <row r="62" spans="1:9">
      <c r="A62" s="23">
        <f>A61+1</f>
        <v>43</v>
      </c>
      <c r="B62" s="23"/>
      <c r="C62" s="8" t="s">
        <v>254</v>
      </c>
      <c r="D62" s="20" t="s">
        <v>255</v>
      </c>
      <c r="E62" s="20"/>
      <c r="F62" s="20"/>
      <c r="G62" s="507">
        <v>40785918</v>
      </c>
      <c r="I62" s="269"/>
    </row>
    <row r="63" spans="1:9">
      <c r="A63" s="23">
        <f t="shared" ref="A63:A70" si="3">A62+1</f>
        <v>44</v>
      </c>
      <c r="B63" s="23"/>
      <c r="C63" s="8" t="s">
        <v>256</v>
      </c>
      <c r="D63" s="20" t="s">
        <v>257</v>
      </c>
      <c r="E63" s="20"/>
      <c r="F63" s="20"/>
      <c r="G63" s="507">
        <v>0</v>
      </c>
    </row>
    <row r="64" spans="1:9">
      <c r="A64" s="23">
        <f t="shared" si="3"/>
        <v>45</v>
      </c>
      <c r="B64" s="23"/>
      <c r="C64" s="8" t="s">
        <v>258</v>
      </c>
      <c r="D64" s="20" t="s">
        <v>259</v>
      </c>
      <c r="E64" s="20"/>
      <c r="F64" s="20"/>
      <c r="G64" s="507">
        <v>38774783</v>
      </c>
    </row>
    <row r="65" spans="1:11">
      <c r="A65" s="23">
        <f t="shared" si="3"/>
        <v>46</v>
      </c>
      <c r="B65" s="23"/>
      <c r="C65" s="8" t="s">
        <v>260</v>
      </c>
      <c r="D65" s="20" t="s">
        <v>261</v>
      </c>
      <c r="E65" s="20"/>
      <c r="F65" s="20"/>
      <c r="G65" s="507">
        <v>-1163322</v>
      </c>
    </row>
    <row r="66" spans="1:11">
      <c r="A66" s="23">
        <f t="shared" si="3"/>
        <v>47</v>
      </c>
      <c r="B66" s="23"/>
      <c r="C66" s="8" t="s">
        <v>163</v>
      </c>
      <c r="D66" s="20" t="s">
        <v>262</v>
      </c>
      <c r="E66" s="20"/>
      <c r="F66" s="20"/>
      <c r="G66" s="507">
        <v>0</v>
      </c>
    </row>
    <row r="67" spans="1:11">
      <c r="A67" s="23">
        <f t="shared" si="3"/>
        <v>48</v>
      </c>
      <c r="B67" s="23"/>
      <c r="C67" s="8" t="s">
        <v>263</v>
      </c>
      <c r="D67" s="20" t="s">
        <v>264</v>
      </c>
      <c r="E67" s="20"/>
      <c r="F67" s="20"/>
      <c r="G67" s="507">
        <v>551233</v>
      </c>
    </row>
    <row r="68" spans="1:11">
      <c r="A68" s="23">
        <f t="shared" si="3"/>
        <v>49</v>
      </c>
      <c r="B68" s="23"/>
      <c r="C68" s="8" t="s">
        <v>265</v>
      </c>
      <c r="D68" s="20" t="s">
        <v>266</v>
      </c>
      <c r="E68" s="20"/>
      <c r="F68" s="20"/>
      <c r="G68" s="507">
        <v>144341</v>
      </c>
    </row>
    <row r="69" spans="1:11">
      <c r="A69" s="23">
        <f t="shared" si="3"/>
        <v>50</v>
      </c>
      <c r="B69" s="23"/>
      <c r="C69" s="28" t="s">
        <v>267</v>
      </c>
      <c r="D69" s="21" t="s">
        <v>37</v>
      </c>
      <c r="E69" s="87"/>
      <c r="F69" s="87"/>
      <c r="G69" s="270">
        <f>SUM(G51,G59,G62:G68)</f>
        <v>638671787</v>
      </c>
      <c r="I69" s="269"/>
    </row>
    <row r="70" spans="1:11">
      <c r="A70" s="23">
        <f t="shared" si="3"/>
        <v>51</v>
      </c>
      <c r="B70" s="23"/>
      <c r="C70" s="28" t="s">
        <v>268</v>
      </c>
      <c r="D70" s="21" t="s">
        <v>269</v>
      </c>
      <c r="E70" s="87"/>
      <c r="F70" s="87"/>
      <c r="G70" s="270">
        <f>G37-G69</f>
        <v>16465737</v>
      </c>
      <c r="I70" s="269"/>
    </row>
    <row r="71" spans="1:11">
      <c r="A71" s="23"/>
      <c r="B71" s="23"/>
      <c r="C71" s="28"/>
      <c r="D71" s="20"/>
      <c r="E71" s="87"/>
      <c r="F71" s="87"/>
      <c r="G71" s="86"/>
      <c r="I71" s="269"/>
    </row>
    <row r="72" spans="1:11">
      <c r="A72" s="23"/>
      <c r="B72" s="23"/>
      <c r="C72" s="28"/>
      <c r="D72" s="20"/>
      <c r="E72" s="87"/>
      <c r="F72" s="87"/>
      <c r="G72" s="87"/>
      <c r="I72" s="269"/>
    </row>
    <row r="73" spans="1:11">
      <c r="A73" s="23">
        <f>+A70+1</f>
        <v>52</v>
      </c>
      <c r="B73" s="23"/>
      <c r="C73" s="8" t="s">
        <v>270</v>
      </c>
      <c r="D73" s="20" t="s">
        <v>271</v>
      </c>
      <c r="E73" s="20"/>
      <c r="F73" s="20"/>
      <c r="G73" s="507">
        <v>3968063</v>
      </c>
    </row>
    <row r="74" spans="1:11">
      <c r="A74" s="23">
        <f t="shared" si="2"/>
        <v>53</v>
      </c>
      <c r="B74" s="23"/>
      <c r="C74" s="8" t="s">
        <v>272</v>
      </c>
      <c r="D74" s="20" t="s">
        <v>273</v>
      </c>
      <c r="E74" s="20"/>
      <c r="F74" s="20"/>
      <c r="G74" s="507">
        <v>0</v>
      </c>
    </row>
    <row r="75" spans="1:11">
      <c r="A75" s="23">
        <f t="shared" si="2"/>
        <v>54</v>
      </c>
      <c r="B75" s="23"/>
      <c r="C75" s="8" t="s">
        <v>274</v>
      </c>
      <c r="D75" s="20" t="s">
        <v>275</v>
      </c>
      <c r="E75" s="20"/>
      <c r="F75" s="20"/>
      <c r="G75" s="507">
        <v>286381</v>
      </c>
    </row>
    <row r="76" spans="1:11">
      <c r="A76" s="23">
        <f t="shared" si="2"/>
        <v>55</v>
      </c>
      <c r="B76" s="23"/>
      <c r="C76" s="8" t="s">
        <v>276</v>
      </c>
      <c r="D76" s="20" t="s">
        <v>277</v>
      </c>
      <c r="E76" s="20"/>
      <c r="F76" s="20"/>
      <c r="G76" s="507">
        <v>157598</v>
      </c>
    </row>
    <row r="77" spans="1:11">
      <c r="A77" s="23">
        <f t="shared" si="2"/>
        <v>56</v>
      </c>
      <c r="B77" s="23"/>
      <c r="C77" s="8" t="s">
        <v>278</v>
      </c>
      <c r="D77" s="20" t="s">
        <v>279</v>
      </c>
      <c r="E77" s="20"/>
      <c r="F77" s="20"/>
      <c r="G77" s="507">
        <v>0</v>
      </c>
    </row>
    <row r="78" spans="1:11">
      <c r="A78" s="23">
        <f t="shared" si="2"/>
        <v>57</v>
      </c>
      <c r="B78" s="23"/>
      <c r="C78" s="8" t="s">
        <v>280</v>
      </c>
      <c r="D78" s="20" t="s">
        <v>279</v>
      </c>
      <c r="E78" s="87"/>
      <c r="F78" s="87"/>
      <c r="G78" s="507">
        <v>3146562</v>
      </c>
      <c r="I78" s="269"/>
    </row>
    <row r="79" spans="1:11">
      <c r="A79" s="23">
        <f t="shared" si="2"/>
        <v>58</v>
      </c>
      <c r="B79" s="23"/>
      <c r="C79" s="8" t="s">
        <v>281</v>
      </c>
      <c r="D79" s="20" t="s">
        <v>282</v>
      </c>
      <c r="E79" s="87"/>
      <c r="F79" s="87"/>
      <c r="G79" s="507">
        <v>0</v>
      </c>
      <c r="I79" s="269"/>
    </row>
    <row r="80" spans="1:11">
      <c r="A80" s="23">
        <f t="shared" si="2"/>
        <v>59</v>
      </c>
      <c r="B80" s="23"/>
      <c r="C80" s="22" t="s">
        <v>283</v>
      </c>
      <c r="D80" s="10" t="s">
        <v>269</v>
      </c>
      <c r="G80" s="270">
        <f>G70+SUM(G73:G79)</f>
        <v>24024341</v>
      </c>
      <c r="K80" s="306"/>
    </row>
    <row r="81" spans="1:9">
      <c r="A81" s="23"/>
      <c r="B81" s="23"/>
      <c r="C81" s="28"/>
      <c r="D81" s="20"/>
      <c r="E81" s="87"/>
      <c r="F81" s="87"/>
      <c r="I81" s="269"/>
    </row>
    <row r="82" spans="1:9">
      <c r="A82" s="23">
        <f>A80+1</f>
        <v>60</v>
      </c>
      <c r="B82" s="23"/>
      <c r="C82" s="172" t="s">
        <v>284</v>
      </c>
      <c r="D82" s="20"/>
      <c r="E82" s="87"/>
      <c r="F82" s="87"/>
      <c r="I82" s="269"/>
    </row>
    <row r="83" spans="1:9">
      <c r="A83" s="2">
        <f t="shared" ref="A83:A88" si="4">A82+1</f>
        <v>61</v>
      </c>
      <c r="C83" s="22" t="s">
        <v>285</v>
      </c>
      <c r="E83" s="86" t="s">
        <v>199</v>
      </c>
      <c r="F83" s="86" t="s">
        <v>200</v>
      </c>
      <c r="G83" s="85" t="s">
        <v>208</v>
      </c>
    </row>
    <row r="84" spans="1:9">
      <c r="A84" s="2">
        <f t="shared" si="4"/>
        <v>62</v>
      </c>
      <c r="C84" s="8" t="s">
        <v>92</v>
      </c>
      <c r="D84" s="89" t="s">
        <v>286</v>
      </c>
      <c r="E84" s="270"/>
      <c r="F84" s="507">
        <v>43240097</v>
      </c>
      <c r="G84" s="270">
        <f>F84</f>
        <v>43240097</v>
      </c>
    </row>
    <row r="85" spans="1:9">
      <c r="A85" s="23">
        <f t="shared" si="4"/>
        <v>63</v>
      </c>
      <c r="B85" s="23"/>
      <c r="C85" s="8" t="s">
        <v>287</v>
      </c>
      <c r="D85" s="89" t="s">
        <v>288</v>
      </c>
      <c r="E85" s="270"/>
      <c r="F85" s="507">
        <v>0</v>
      </c>
      <c r="G85" s="270">
        <f>F85</f>
        <v>0</v>
      </c>
    </row>
    <row r="86" spans="1:9" ht="14.4">
      <c r="A86" s="23">
        <f t="shared" si="4"/>
        <v>64</v>
      </c>
      <c r="B86" s="23"/>
      <c r="C86" s="8" t="s">
        <v>289</v>
      </c>
      <c r="D86" s="89" t="s">
        <v>290</v>
      </c>
      <c r="E86" s="507">
        <v>1753602</v>
      </c>
      <c r="F86" s="507">
        <v>1628501</v>
      </c>
      <c r="G86" s="270">
        <f>SUM(E86:F86)/2</f>
        <v>1691051.5</v>
      </c>
      <c r="I86" s="269"/>
    </row>
    <row r="87" spans="1:9">
      <c r="A87" s="23">
        <f t="shared" si="4"/>
        <v>65</v>
      </c>
      <c r="B87" s="23"/>
      <c r="C87" s="8" t="s">
        <v>291</v>
      </c>
      <c r="D87" s="89" t="s">
        <v>292</v>
      </c>
      <c r="E87" s="270"/>
      <c r="F87" s="507">
        <v>79523</v>
      </c>
      <c r="G87" s="270">
        <f t="shared" ref="G87:G88" si="5">F87</f>
        <v>79523</v>
      </c>
      <c r="I87" s="269"/>
    </row>
    <row r="88" spans="1:9" ht="14.4">
      <c r="A88" s="23">
        <f t="shared" si="4"/>
        <v>66</v>
      </c>
      <c r="B88" s="23"/>
      <c r="C88" s="8" t="s">
        <v>293</v>
      </c>
      <c r="D88" s="89" t="s">
        <v>294</v>
      </c>
      <c r="E88" s="270"/>
      <c r="F88" s="507">
        <v>0</v>
      </c>
      <c r="G88" s="270">
        <f t="shared" si="5"/>
        <v>0</v>
      </c>
      <c r="I88" s="269"/>
    </row>
    <row r="89" spans="1:9">
      <c r="A89" s="23"/>
      <c r="B89" s="23"/>
      <c r="C89" s="24"/>
      <c r="D89" s="89"/>
      <c r="E89" s="82"/>
      <c r="F89" s="88"/>
      <c r="G89" s="82"/>
      <c r="I89" s="269"/>
    </row>
    <row r="90" spans="1:9">
      <c r="A90" s="23">
        <f>A88+1</f>
        <v>67</v>
      </c>
      <c r="B90" s="23"/>
      <c r="C90" s="22" t="s">
        <v>295</v>
      </c>
      <c r="D90" s="89"/>
      <c r="E90" s="82"/>
      <c r="F90" s="276"/>
      <c r="G90" s="277" t="str">
        <f>$G$16</f>
        <v>Year End 2016</v>
      </c>
      <c r="I90" s="269"/>
    </row>
    <row r="91" spans="1:9">
      <c r="A91" s="23">
        <f>A90+1</f>
        <v>68</v>
      </c>
      <c r="B91" s="23"/>
      <c r="C91" s="8" t="s">
        <v>296</v>
      </c>
      <c r="D91" s="87" t="s">
        <v>1338</v>
      </c>
      <c r="E91" s="82"/>
      <c r="F91" s="270"/>
      <c r="G91" s="507">
        <v>297929426</v>
      </c>
      <c r="I91" s="269"/>
    </row>
    <row r="92" spans="1:9">
      <c r="A92" s="23">
        <f t="shared" ref="A92:A98" si="6">A91+1</f>
        <v>69</v>
      </c>
      <c r="B92" s="23"/>
      <c r="C92" s="8" t="s">
        <v>297</v>
      </c>
      <c r="D92" s="87" t="s">
        <v>298</v>
      </c>
      <c r="E92" s="82"/>
      <c r="F92" s="270"/>
      <c r="G92" s="507">
        <v>354643371</v>
      </c>
      <c r="I92" s="269"/>
    </row>
    <row r="93" spans="1:9">
      <c r="A93" s="23">
        <f t="shared" si="6"/>
        <v>70</v>
      </c>
      <c r="B93" s="23"/>
      <c r="C93" s="8" t="s">
        <v>164</v>
      </c>
      <c r="D93" s="20" t="s">
        <v>299</v>
      </c>
      <c r="E93" s="82"/>
      <c r="F93" s="270"/>
      <c r="G93" s="507">
        <v>745619880</v>
      </c>
      <c r="I93" s="269"/>
    </row>
    <row r="94" spans="1:9">
      <c r="A94" s="23">
        <f t="shared" si="6"/>
        <v>71</v>
      </c>
      <c r="B94" s="23"/>
      <c r="C94" s="8" t="s">
        <v>300</v>
      </c>
      <c r="D94" s="20" t="s">
        <v>301</v>
      </c>
      <c r="E94" s="82"/>
      <c r="F94" s="270"/>
      <c r="G94" s="507">
        <v>0</v>
      </c>
      <c r="I94" s="269"/>
    </row>
    <row r="95" spans="1:9">
      <c r="A95" s="23">
        <f t="shared" si="6"/>
        <v>72</v>
      </c>
      <c r="B95" s="23"/>
      <c r="C95" s="8" t="s">
        <v>165</v>
      </c>
      <c r="D95" s="20" t="s">
        <v>302</v>
      </c>
      <c r="E95" s="82"/>
      <c r="F95" s="270"/>
      <c r="G95" s="507">
        <v>0</v>
      </c>
      <c r="I95" s="269"/>
    </row>
    <row r="96" spans="1:9">
      <c r="A96" s="23">
        <f t="shared" si="6"/>
        <v>73</v>
      </c>
      <c r="B96" s="23"/>
      <c r="C96" s="8" t="s">
        <v>303</v>
      </c>
      <c r="D96" s="20" t="s">
        <v>1280</v>
      </c>
      <c r="E96" s="82"/>
      <c r="F96" s="270"/>
      <c r="G96" s="507">
        <v>41670417</v>
      </c>
      <c r="I96" s="269"/>
    </row>
    <row r="97" spans="1:9">
      <c r="A97" s="23">
        <f t="shared" si="6"/>
        <v>74</v>
      </c>
      <c r="B97" s="23"/>
      <c r="C97" s="8" t="s">
        <v>304</v>
      </c>
      <c r="D97" s="20" t="s">
        <v>1281</v>
      </c>
      <c r="E97" s="82"/>
      <c r="F97" s="270"/>
      <c r="G97" s="507">
        <v>0</v>
      </c>
      <c r="I97" s="269"/>
    </row>
    <row r="98" spans="1:9" ht="14.4">
      <c r="A98" s="23">
        <f t="shared" si="6"/>
        <v>75</v>
      </c>
      <c r="B98" s="23"/>
      <c r="C98" s="8" t="s">
        <v>305</v>
      </c>
      <c r="D98" s="20" t="s">
        <v>1282</v>
      </c>
      <c r="E98" s="82"/>
      <c r="F98" s="270"/>
      <c r="G98" s="507">
        <v>0</v>
      </c>
      <c r="I98" s="269"/>
    </row>
    <row r="99" spans="1:9">
      <c r="A99" s="23"/>
      <c r="B99" s="23"/>
      <c r="C99" s="23"/>
      <c r="D99" s="20"/>
      <c r="E99" s="82"/>
      <c r="F99" s="88"/>
      <c r="G99" s="82"/>
      <c r="I99" s="269"/>
    </row>
    <row r="100" spans="1:9">
      <c r="A100" s="23"/>
      <c r="B100" s="23"/>
      <c r="C100" s="23"/>
      <c r="D100" s="20"/>
      <c r="E100" s="20"/>
      <c r="F100" s="20"/>
      <c r="G100" s="82"/>
      <c r="I100" s="269"/>
    </row>
    <row r="101" spans="1:9">
      <c r="A101" s="23">
        <f>A98+1</f>
        <v>76</v>
      </c>
      <c r="B101" s="23"/>
      <c r="C101" s="22" t="s">
        <v>306</v>
      </c>
      <c r="D101" s="20"/>
      <c r="E101" s="85" t="s">
        <v>199</v>
      </c>
      <c r="F101" s="85" t="s">
        <v>200</v>
      </c>
      <c r="G101" s="85" t="s">
        <v>208</v>
      </c>
    </row>
    <row r="102" spans="1:9">
      <c r="A102" s="23">
        <f>A101+1</f>
        <v>77</v>
      </c>
      <c r="B102" s="272" t="s">
        <v>65</v>
      </c>
      <c r="C102" s="274" t="s">
        <v>66</v>
      </c>
      <c r="D102" s="20" t="s">
        <v>307</v>
      </c>
      <c r="E102" s="507">
        <v>1838530</v>
      </c>
      <c r="F102" s="507">
        <v>1838530</v>
      </c>
      <c r="G102" s="270">
        <f>SUM(E102:F102)/2</f>
        <v>1838530</v>
      </c>
    </row>
    <row r="103" spans="1:9">
      <c r="A103" s="272"/>
      <c r="B103" s="272"/>
      <c r="C103" s="8"/>
      <c r="D103" s="20"/>
      <c r="E103" s="270"/>
      <c r="F103" s="270"/>
      <c r="G103" s="278"/>
    </row>
    <row r="104" spans="1:9">
      <c r="A104" s="272">
        <f>A102+1</f>
        <v>78</v>
      </c>
      <c r="B104" s="272">
        <v>310</v>
      </c>
      <c r="C104" s="8" t="s">
        <v>308</v>
      </c>
      <c r="D104" s="20" t="s">
        <v>309</v>
      </c>
      <c r="E104" s="507">
        <v>543604916</v>
      </c>
      <c r="F104" s="507">
        <v>564122204</v>
      </c>
      <c r="G104" s="270">
        <f t="shared" ref="G104:G107" si="7">SUM(E104:F104)/2</f>
        <v>553863560</v>
      </c>
    </row>
    <row r="105" spans="1:9">
      <c r="A105" s="23">
        <f>A104+1</f>
        <v>79</v>
      </c>
      <c r="B105" s="23">
        <v>320</v>
      </c>
      <c r="C105" s="8" t="s">
        <v>310</v>
      </c>
      <c r="D105" s="20" t="s">
        <v>311</v>
      </c>
      <c r="E105" s="507">
        <v>0</v>
      </c>
      <c r="F105" s="507">
        <v>0</v>
      </c>
      <c r="G105" s="270">
        <f t="shared" si="7"/>
        <v>0</v>
      </c>
    </row>
    <row r="106" spans="1:9">
      <c r="A106" s="23">
        <f>A105+1</f>
        <v>80</v>
      </c>
      <c r="B106" s="23">
        <v>330</v>
      </c>
      <c r="C106" s="8" t="s">
        <v>312</v>
      </c>
      <c r="D106" s="20" t="s">
        <v>313</v>
      </c>
      <c r="E106" s="507">
        <v>0</v>
      </c>
      <c r="F106" s="507">
        <v>0</v>
      </c>
      <c r="G106" s="270">
        <f t="shared" si="7"/>
        <v>0</v>
      </c>
    </row>
    <row r="107" spans="1:9">
      <c r="A107" s="23">
        <f>A106+1</f>
        <v>81</v>
      </c>
      <c r="B107" s="23">
        <v>340</v>
      </c>
      <c r="C107" s="8" t="s">
        <v>314</v>
      </c>
      <c r="D107" s="20" t="s">
        <v>315</v>
      </c>
      <c r="E107" s="507">
        <v>328283635</v>
      </c>
      <c r="F107" s="507">
        <v>328605925</v>
      </c>
      <c r="G107" s="270">
        <f t="shared" si="7"/>
        <v>328444780</v>
      </c>
    </row>
    <row r="108" spans="1:9">
      <c r="A108" s="23">
        <f>A107+1</f>
        <v>82</v>
      </c>
      <c r="B108" s="23"/>
      <c r="C108" s="22" t="s">
        <v>71</v>
      </c>
      <c r="D108" s="21" t="s">
        <v>37</v>
      </c>
      <c r="E108" s="270">
        <f>SUM(E104:E107)</f>
        <v>871888551</v>
      </c>
      <c r="F108" s="270">
        <f>SUM(F104:F107)</f>
        <v>892728129</v>
      </c>
      <c r="G108" s="270">
        <f>SUM(G104:G107)</f>
        <v>882308340</v>
      </c>
    </row>
    <row r="109" spans="1:9">
      <c r="A109" s="272"/>
      <c r="B109" s="272"/>
      <c r="C109" s="8"/>
      <c r="D109" s="20"/>
      <c r="E109" s="270"/>
      <c r="F109" s="270" t="s">
        <v>0</v>
      </c>
      <c r="G109" s="278"/>
    </row>
    <row r="110" spans="1:9">
      <c r="A110" s="272">
        <f>A108+1</f>
        <v>83</v>
      </c>
      <c r="B110" s="272">
        <v>350</v>
      </c>
      <c r="C110" s="8" t="s">
        <v>316</v>
      </c>
      <c r="D110" s="20" t="s">
        <v>317</v>
      </c>
      <c r="E110" s="507">
        <v>26406560</v>
      </c>
      <c r="F110" s="507">
        <v>31100222</v>
      </c>
      <c r="G110" s="270">
        <f t="shared" ref="G110:G113" si="8">SUM(E110:F110)/2</f>
        <v>28753391</v>
      </c>
    </row>
    <row r="111" spans="1:9">
      <c r="A111" s="23">
        <f>A110+1</f>
        <v>84</v>
      </c>
      <c r="B111" s="23">
        <v>352</v>
      </c>
      <c r="C111" s="8" t="s">
        <v>74</v>
      </c>
      <c r="D111" s="20" t="s">
        <v>318</v>
      </c>
      <c r="E111" s="507">
        <v>3405</v>
      </c>
      <c r="F111" s="507">
        <v>3405</v>
      </c>
      <c r="G111" s="270">
        <f t="shared" si="8"/>
        <v>3405</v>
      </c>
    </row>
    <row r="112" spans="1:9">
      <c r="A112" s="23">
        <f>A111+1</f>
        <v>85</v>
      </c>
      <c r="B112" s="23">
        <v>353</v>
      </c>
      <c r="C112" s="8" t="s">
        <v>75</v>
      </c>
      <c r="D112" s="20" t="s">
        <v>319</v>
      </c>
      <c r="E112" s="507">
        <v>103067984</v>
      </c>
      <c r="F112" s="507">
        <v>113900493</v>
      </c>
      <c r="G112" s="270">
        <f t="shared" si="8"/>
        <v>108484238.5</v>
      </c>
    </row>
    <row r="113" spans="1:7">
      <c r="A113" s="23">
        <f>A112+1</f>
        <v>86</v>
      </c>
      <c r="B113" s="272" t="s">
        <v>320</v>
      </c>
      <c r="C113" s="274" t="s">
        <v>77</v>
      </c>
      <c r="D113" s="20" t="s">
        <v>321</v>
      </c>
      <c r="E113" s="507">
        <v>245326781</v>
      </c>
      <c r="F113" s="507">
        <v>283147689</v>
      </c>
      <c r="G113" s="270">
        <f t="shared" si="8"/>
        <v>264237235</v>
      </c>
    </row>
    <row r="114" spans="1:7">
      <c r="A114" s="23">
        <f>A113+1</f>
        <v>87</v>
      </c>
      <c r="B114" s="23"/>
      <c r="C114" s="280" t="s">
        <v>322</v>
      </c>
      <c r="D114" s="21" t="s">
        <v>37</v>
      </c>
      <c r="E114" s="270">
        <f>SUM(E110:E113)</f>
        <v>374804730</v>
      </c>
      <c r="F114" s="270">
        <f>SUM(F110:F113)</f>
        <v>428151809</v>
      </c>
      <c r="G114" s="270">
        <f>SUM(G110:G113)</f>
        <v>401478269.5</v>
      </c>
    </row>
    <row r="115" spans="1:7">
      <c r="A115" s="272"/>
      <c r="B115" s="272"/>
      <c r="C115" s="274"/>
      <c r="D115" s="20"/>
      <c r="E115" s="281"/>
      <c r="F115" s="281"/>
      <c r="G115" s="270"/>
    </row>
    <row r="116" spans="1:7">
      <c r="A116" s="272">
        <f>A114+1</f>
        <v>88</v>
      </c>
      <c r="B116" s="272">
        <v>360</v>
      </c>
      <c r="C116" s="8" t="s">
        <v>72</v>
      </c>
      <c r="D116" s="20" t="s">
        <v>323</v>
      </c>
      <c r="E116" s="507">
        <v>2616453</v>
      </c>
      <c r="F116" s="507">
        <v>3003190</v>
      </c>
      <c r="G116" s="270">
        <f t="shared" ref="G116:G119" si="9">SUM(E116:F116)/2</f>
        <v>2809821.5</v>
      </c>
    </row>
    <row r="117" spans="1:7">
      <c r="A117" s="272">
        <f t="shared" ref="A117:A134" si="10">A116+1</f>
        <v>89</v>
      </c>
      <c r="B117" s="272">
        <v>361</v>
      </c>
      <c r="C117" s="8" t="s">
        <v>74</v>
      </c>
      <c r="D117" s="20" t="s">
        <v>324</v>
      </c>
      <c r="E117" s="507">
        <v>0</v>
      </c>
      <c r="F117" s="507">
        <v>0</v>
      </c>
      <c r="G117" s="270">
        <f t="shared" si="9"/>
        <v>0</v>
      </c>
    </row>
    <row r="118" spans="1:7">
      <c r="A118" s="272">
        <f t="shared" si="10"/>
        <v>90</v>
      </c>
      <c r="B118" s="272">
        <v>362</v>
      </c>
      <c r="C118" s="8" t="s">
        <v>75</v>
      </c>
      <c r="D118" s="20" t="s">
        <v>325</v>
      </c>
      <c r="E118" s="507">
        <v>162544945</v>
      </c>
      <c r="F118" s="507">
        <v>184332665</v>
      </c>
      <c r="G118" s="270">
        <f t="shared" si="9"/>
        <v>173438805</v>
      </c>
    </row>
    <row r="119" spans="1:7">
      <c r="A119" s="272">
        <f t="shared" si="10"/>
        <v>91</v>
      </c>
      <c r="B119" s="272" t="s">
        <v>81</v>
      </c>
      <c r="C119" s="8" t="s">
        <v>82</v>
      </c>
      <c r="D119" s="20" t="s">
        <v>326</v>
      </c>
      <c r="E119" s="507">
        <v>1171781</v>
      </c>
      <c r="F119" s="507">
        <v>1171781</v>
      </c>
      <c r="G119" s="270">
        <f t="shared" si="9"/>
        <v>1171781</v>
      </c>
    </row>
    <row r="120" spans="1:7">
      <c r="A120" s="272">
        <f t="shared" si="10"/>
        <v>92</v>
      </c>
      <c r="B120" s="272"/>
      <c r="C120" s="280" t="s">
        <v>83</v>
      </c>
      <c r="D120" s="21" t="s">
        <v>37</v>
      </c>
      <c r="E120" s="270">
        <f>SUM(E116:E119)</f>
        <v>166333179</v>
      </c>
      <c r="F120" s="270">
        <f>SUM(F116:F119)</f>
        <v>188507636</v>
      </c>
      <c r="G120" s="270">
        <f>SUM(G116:G119)</f>
        <v>177420407.5</v>
      </c>
    </row>
    <row r="121" spans="1:7">
      <c r="A121" s="272"/>
      <c r="B121" s="272"/>
      <c r="C121" s="274"/>
      <c r="D121" s="20"/>
      <c r="E121" s="270"/>
      <c r="F121" s="270"/>
      <c r="G121" s="270"/>
    </row>
    <row r="122" spans="1:7">
      <c r="A122" s="272">
        <f>A120+1</f>
        <v>93</v>
      </c>
      <c r="B122" s="272" t="s">
        <v>84</v>
      </c>
      <c r="C122" s="274" t="s">
        <v>329</v>
      </c>
      <c r="D122" s="20" t="s">
        <v>330</v>
      </c>
      <c r="E122" s="507">
        <v>0</v>
      </c>
      <c r="F122" s="507">
        <v>0</v>
      </c>
      <c r="G122" s="270">
        <f t="shared" ref="G122:G123" si="11">SUM(E122:F122)/2</f>
        <v>0</v>
      </c>
    </row>
    <row r="123" spans="1:7">
      <c r="A123" s="272">
        <f t="shared" si="10"/>
        <v>94</v>
      </c>
      <c r="B123" s="272" t="s">
        <v>85</v>
      </c>
      <c r="C123" s="274" t="s">
        <v>86</v>
      </c>
      <c r="D123" s="20" t="s">
        <v>331</v>
      </c>
      <c r="E123" s="507">
        <v>87689753</v>
      </c>
      <c r="F123" s="507">
        <v>93180094</v>
      </c>
      <c r="G123" s="270">
        <f t="shared" si="11"/>
        <v>90434923.5</v>
      </c>
    </row>
    <row r="124" spans="1:7">
      <c r="A124" s="272">
        <f t="shared" si="10"/>
        <v>95</v>
      </c>
      <c r="B124" s="272"/>
      <c r="C124" s="280" t="s">
        <v>332</v>
      </c>
      <c r="D124" s="21" t="s">
        <v>37</v>
      </c>
      <c r="E124" s="270">
        <f>SUM(E102,E108,E114,E120,E122:E123)</f>
        <v>1502554743</v>
      </c>
      <c r="F124" s="270">
        <f>SUM(F102,F108,F114,F120,F122:F123)</f>
        <v>1604406198</v>
      </c>
      <c r="G124" s="270">
        <f>SUM(G102,G108,G114,G120,G122:G123)</f>
        <v>1553480470.5</v>
      </c>
    </row>
    <row r="125" spans="1:7">
      <c r="A125" s="272"/>
      <c r="B125" s="272"/>
      <c r="C125" s="274"/>
      <c r="D125" s="20"/>
      <c r="E125" s="281"/>
      <c r="F125" s="281"/>
      <c r="G125" s="270"/>
    </row>
    <row r="126" spans="1:7">
      <c r="A126" s="272">
        <f>A124+1</f>
        <v>96</v>
      </c>
      <c r="B126" s="272">
        <v>102</v>
      </c>
      <c r="C126" s="274" t="s">
        <v>333</v>
      </c>
      <c r="D126" s="20"/>
      <c r="E126" s="507">
        <v>0</v>
      </c>
      <c r="F126" s="507">
        <v>0</v>
      </c>
      <c r="G126" s="270">
        <f t="shared" ref="G126:G133" si="12">SUM(E126:F126)/2</f>
        <v>0</v>
      </c>
    </row>
    <row r="127" spans="1:7">
      <c r="A127" s="272">
        <f t="shared" si="10"/>
        <v>97</v>
      </c>
      <c r="B127" s="272">
        <v>104</v>
      </c>
      <c r="C127" s="274" t="s">
        <v>334</v>
      </c>
      <c r="D127" s="20"/>
      <c r="E127" s="507">
        <v>0</v>
      </c>
      <c r="F127" s="507">
        <v>0</v>
      </c>
      <c r="G127" s="270">
        <f t="shared" si="12"/>
        <v>0</v>
      </c>
    </row>
    <row r="128" spans="1:7">
      <c r="A128" s="272">
        <f t="shared" si="10"/>
        <v>98</v>
      </c>
      <c r="B128" s="272">
        <v>105</v>
      </c>
      <c r="C128" s="274" t="s">
        <v>88</v>
      </c>
      <c r="D128" s="20" t="s">
        <v>335</v>
      </c>
      <c r="E128" s="507">
        <v>0</v>
      </c>
      <c r="F128" s="507">
        <v>0</v>
      </c>
      <c r="G128" s="270">
        <f t="shared" si="12"/>
        <v>0</v>
      </c>
    </row>
    <row r="129" spans="1:12">
      <c r="A129" s="272">
        <f t="shared" si="10"/>
        <v>99</v>
      </c>
      <c r="B129" s="272">
        <v>106</v>
      </c>
      <c r="C129" s="274" t="s">
        <v>89</v>
      </c>
      <c r="D129" s="20" t="s">
        <v>336</v>
      </c>
      <c r="E129" s="507">
        <v>72801152</v>
      </c>
      <c r="F129" s="507">
        <v>23167102</v>
      </c>
      <c r="G129" s="270">
        <f t="shared" si="12"/>
        <v>47984127</v>
      </c>
    </row>
    <row r="130" spans="1:12">
      <c r="A130" s="272">
        <f t="shared" si="10"/>
        <v>100</v>
      </c>
      <c r="B130" s="272">
        <v>114</v>
      </c>
      <c r="C130" s="274" t="s">
        <v>91</v>
      </c>
      <c r="D130" s="20" t="s">
        <v>337</v>
      </c>
      <c r="E130" s="507">
        <v>6506590</v>
      </c>
      <c r="F130" s="507">
        <v>6506590</v>
      </c>
      <c r="G130" s="270">
        <f t="shared" si="12"/>
        <v>6506590</v>
      </c>
      <c r="L130" s="2"/>
    </row>
    <row r="131" spans="1:12">
      <c r="A131" s="272">
        <f t="shared" si="10"/>
        <v>101</v>
      </c>
      <c r="B131" s="272">
        <v>118</v>
      </c>
      <c r="C131" s="274" t="s">
        <v>338</v>
      </c>
      <c r="D131" s="20"/>
      <c r="E131" s="507">
        <v>0</v>
      </c>
      <c r="F131" s="507">
        <v>0</v>
      </c>
      <c r="G131" s="270">
        <f t="shared" si="12"/>
        <v>0</v>
      </c>
      <c r="L131" s="2"/>
    </row>
    <row r="132" spans="1:12">
      <c r="A132" s="272">
        <f t="shared" si="10"/>
        <v>102</v>
      </c>
      <c r="B132" s="272">
        <v>120</v>
      </c>
      <c r="C132" s="274" t="s">
        <v>339</v>
      </c>
      <c r="D132" s="20"/>
      <c r="E132" s="507">
        <v>0</v>
      </c>
      <c r="F132" s="507">
        <v>0</v>
      </c>
      <c r="G132" s="270">
        <f t="shared" si="12"/>
        <v>0</v>
      </c>
      <c r="L132" s="2"/>
    </row>
    <row r="133" spans="1:12">
      <c r="A133" s="272">
        <f t="shared" si="10"/>
        <v>103</v>
      </c>
      <c r="B133" s="272">
        <v>107</v>
      </c>
      <c r="C133" s="274" t="s">
        <v>340</v>
      </c>
      <c r="D133" s="20" t="s">
        <v>341</v>
      </c>
      <c r="E133" s="507">
        <v>43102358</v>
      </c>
      <c r="F133" s="507">
        <v>43240099</v>
      </c>
      <c r="G133" s="270">
        <f t="shared" si="12"/>
        <v>43171228.5</v>
      </c>
      <c r="L133" s="2"/>
    </row>
    <row r="134" spans="1:12">
      <c r="A134" s="272">
        <f t="shared" si="10"/>
        <v>104</v>
      </c>
      <c r="B134" s="272"/>
      <c r="C134" s="280" t="s">
        <v>342</v>
      </c>
      <c r="D134" s="21" t="s">
        <v>37</v>
      </c>
      <c r="E134" s="270">
        <f>SUM(E124,E126:E133)</f>
        <v>1624964843</v>
      </c>
      <c r="F134" s="270">
        <f>SUM(F124,F126:F133)</f>
        <v>1677319989</v>
      </c>
      <c r="G134" s="270">
        <f>SUM(G124,G126:G133)</f>
        <v>1651142416</v>
      </c>
      <c r="L134" s="2"/>
    </row>
    <row r="135" spans="1:12">
      <c r="A135" s="272"/>
      <c r="B135" s="272"/>
      <c r="C135" s="274"/>
      <c r="D135" s="20"/>
      <c r="E135" s="281"/>
      <c r="F135" s="281"/>
      <c r="G135" s="270"/>
      <c r="L135" s="2"/>
    </row>
    <row r="136" spans="1:12">
      <c r="A136" s="272">
        <f>A134+1</f>
        <v>105</v>
      </c>
      <c r="B136" s="272"/>
      <c r="C136" s="282" t="s">
        <v>343</v>
      </c>
      <c r="D136" s="20"/>
      <c r="E136" s="85" t="s">
        <v>199</v>
      </c>
      <c r="F136" s="85" t="s">
        <v>200</v>
      </c>
      <c r="G136" s="85" t="s">
        <v>208</v>
      </c>
      <c r="L136" s="2"/>
    </row>
    <row r="137" spans="1:12">
      <c r="A137" s="272">
        <f>A136+1</f>
        <v>106</v>
      </c>
      <c r="B137" s="272">
        <v>108.1</v>
      </c>
      <c r="C137" s="274" t="s">
        <v>344</v>
      </c>
      <c r="D137" s="20" t="s">
        <v>345</v>
      </c>
      <c r="E137" s="507">
        <v>291671251</v>
      </c>
      <c r="F137" s="507">
        <v>296110223</v>
      </c>
      <c r="G137" s="270">
        <f t="shared" ref="G137:G146" si="13">SUM(E137:F137)/2</f>
        <v>293890737</v>
      </c>
      <c r="L137" s="2"/>
    </row>
    <row r="138" spans="1:12">
      <c r="A138" s="272">
        <f>A137+1</f>
        <v>107</v>
      </c>
      <c r="B138" s="272">
        <v>108.2</v>
      </c>
      <c r="C138" s="274" t="s">
        <v>346</v>
      </c>
      <c r="D138" s="20"/>
      <c r="E138" s="507">
        <v>0</v>
      </c>
      <c r="F138" s="507">
        <v>0</v>
      </c>
      <c r="G138" s="270">
        <f t="shared" si="13"/>
        <v>0</v>
      </c>
      <c r="L138" s="2"/>
    </row>
    <row r="139" spans="1:12">
      <c r="A139" s="272">
        <f>A138+1</f>
        <v>108</v>
      </c>
      <c r="B139" s="272">
        <v>108.3</v>
      </c>
      <c r="C139" s="274" t="s">
        <v>347</v>
      </c>
      <c r="D139" s="20"/>
      <c r="E139" s="507">
        <v>0</v>
      </c>
      <c r="F139" s="507">
        <v>0</v>
      </c>
      <c r="G139" s="270">
        <f t="shared" si="13"/>
        <v>0</v>
      </c>
      <c r="L139" s="2"/>
    </row>
    <row r="140" spans="1:12">
      <c r="A140" s="272">
        <f>A139+1</f>
        <v>109</v>
      </c>
      <c r="B140" s="272">
        <v>108.4</v>
      </c>
      <c r="C140" s="274" t="s">
        <v>348</v>
      </c>
      <c r="D140" s="20" t="s">
        <v>349</v>
      </c>
      <c r="E140" s="507">
        <v>94411701</v>
      </c>
      <c r="F140" s="507">
        <v>102033103</v>
      </c>
      <c r="G140" s="270">
        <f t="shared" si="13"/>
        <v>98222402</v>
      </c>
      <c r="L140" s="2"/>
    </row>
    <row r="141" spans="1:12">
      <c r="A141" s="272">
        <f t="shared" ref="A141:A147" si="14">A140+1</f>
        <v>110</v>
      </c>
      <c r="B141" s="272">
        <v>108.5</v>
      </c>
      <c r="C141" s="274" t="s">
        <v>350</v>
      </c>
      <c r="D141" s="20" t="s">
        <v>351</v>
      </c>
      <c r="E141" s="507">
        <v>147914554</v>
      </c>
      <c r="F141" s="507">
        <v>151408340</v>
      </c>
      <c r="G141" s="270">
        <f t="shared" si="13"/>
        <v>149661447</v>
      </c>
      <c r="L141" s="2"/>
    </row>
    <row r="142" spans="1:12">
      <c r="A142" s="272">
        <f t="shared" si="14"/>
        <v>111</v>
      </c>
      <c r="B142" s="272">
        <v>108.6</v>
      </c>
      <c r="C142" s="274" t="s">
        <v>352</v>
      </c>
      <c r="D142" s="20" t="s">
        <v>353</v>
      </c>
      <c r="E142" s="507">
        <v>42831705</v>
      </c>
      <c r="F142" s="507">
        <v>45828881</v>
      </c>
      <c r="G142" s="270">
        <f t="shared" si="13"/>
        <v>44330293</v>
      </c>
      <c r="L142" s="2"/>
    </row>
    <row r="143" spans="1:12">
      <c r="A143" s="272">
        <f t="shared" si="14"/>
        <v>112</v>
      </c>
      <c r="B143" s="272">
        <v>108.7</v>
      </c>
      <c r="C143" s="274" t="s">
        <v>354</v>
      </c>
      <c r="D143" s="20" t="s">
        <v>355</v>
      </c>
      <c r="E143" s="507">
        <v>61270574</v>
      </c>
      <c r="F143" s="507">
        <v>64684661</v>
      </c>
      <c r="G143" s="270">
        <f t="shared" si="13"/>
        <v>62977617.5</v>
      </c>
      <c r="L143" s="2"/>
    </row>
    <row r="144" spans="1:12">
      <c r="A144" s="272">
        <f t="shared" si="14"/>
        <v>113</v>
      </c>
      <c r="B144" s="272">
        <v>108.8</v>
      </c>
      <c r="C144" s="274" t="s">
        <v>356</v>
      </c>
      <c r="D144" s="20" t="s">
        <v>357</v>
      </c>
      <c r="E144" s="507">
        <v>1878667</v>
      </c>
      <c r="F144" s="507">
        <v>3965612</v>
      </c>
      <c r="G144" s="270">
        <f t="shared" si="13"/>
        <v>2922139.5</v>
      </c>
      <c r="L144" s="2"/>
    </row>
    <row r="145" spans="1:12">
      <c r="A145" s="272">
        <f t="shared" si="14"/>
        <v>114</v>
      </c>
      <c r="B145" s="272">
        <v>111</v>
      </c>
      <c r="C145" s="274" t="s">
        <v>358</v>
      </c>
      <c r="D145" s="20" t="s">
        <v>359</v>
      </c>
      <c r="E145" s="507">
        <v>1229168</v>
      </c>
      <c r="F145" s="507">
        <v>1337827</v>
      </c>
      <c r="G145" s="270">
        <f t="shared" si="13"/>
        <v>1283497.5</v>
      </c>
      <c r="L145" s="2"/>
    </row>
    <row r="146" spans="1:12">
      <c r="A146" s="272">
        <f t="shared" si="14"/>
        <v>115</v>
      </c>
      <c r="B146" s="272">
        <v>115</v>
      </c>
      <c r="C146" s="274" t="s">
        <v>360</v>
      </c>
      <c r="D146" s="20" t="s">
        <v>361</v>
      </c>
      <c r="E146" s="507">
        <v>6506589</v>
      </c>
      <c r="F146" s="507">
        <v>6506589</v>
      </c>
      <c r="G146" s="270">
        <f t="shared" si="13"/>
        <v>6506589</v>
      </c>
      <c r="L146" s="2"/>
    </row>
    <row r="147" spans="1:12">
      <c r="A147" s="272">
        <f t="shared" si="14"/>
        <v>116</v>
      </c>
      <c r="B147" s="272"/>
      <c r="C147" s="280" t="s">
        <v>362</v>
      </c>
      <c r="D147" s="21" t="s">
        <v>37</v>
      </c>
      <c r="E147" s="270">
        <f>SUM(E137:E146)</f>
        <v>647714209</v>
      </c>
      <c r="F147" s="270">
        <f>SUM(F137:F146)</f>
        <v>671875236</v>
      </c>
      <c r="G147" s="270">
        <f>SUM(G137:G146)</f>
        <v>659794722.5</v>
      </c>
    </row>
    <row r="148" spans="1:12">
      <c r="A148" s="272"/>
      <c r="B148" s="272"/>
      <c r="C148" s="274"/>
      <c r="D148" s="20"/>
      <c r="E148" s="12"/>
      <c r="F148" s="12"/>
      <c r="G148" s="82"/>
    </row>
    <row r="149" spans="1:12">
      <c r="A149" s="272"/>
      <c r="B149" s="272"/>
      <c r="C149" s="274"/>
      <c r="D149" s="20"/>
      <c r="E149" s="283"/>
      <c r="F149" s="283"/>
      <c r="G149" s="284"/>
    </row>
    <row r="150" spans="1:12">
      <c r="A150" s="23">
        <f>A147+1</f>
        <v>117</v>
      </c>
      <c r="B150" s="23"/>
      <c r="C150" s="285" t="s">
        <v>363</v>
      </c>
      <c r="D150" s="86"/>
      <c r="E150" s="85" t="s">
        <v>199</v>
      </c>
      <c r="F150" s="85" t="s">
        <v>200</v>
      </c>
      <c r="G150" s="85" t="s">
        <v>208</v>
      </c>
      <c r="I150" s="269"/>
    </row>
    <row r="151" spans="1:12">
      <c r="A151" s="23">
        <f>A150+1</f>
        <v>118</v>
      </c>
      <c r="B151" s="23"/>
      <c r="C151" s="24" t="s">
        <v>364</v>
      </c>
      <c r="D151" s="89" t="s">
        <v>365</v>
      </c>
      <c r="E151" s="507">
        <v>22836143</v>
      </c>
      <c r="F151" s="507">
        <v>21718181</v>
      </c>
      <c r="G151" s="270">
        <f t="shared" ref="G151:G156" si="15">SUM(E151:F151)/2</f>
        <v>22277162</v>
      </c>
      <c r="I151" s="269"/>
    </row>
    <row r="152" spans="1:12">
      <c r="A152" s="272">
        <f t="shared" ref="A152:A157" si="16">A151+1</f>
        <v>119</v>
      </c>
      <c r="B152" s="272"/>
      <c r="C152" s="24" t="s">
        <v>366</v>
      </c>
      <c r="D152" s="89" t="s">
        <v>367</v>
      </c>
      <c r="E152" s="507">
        <v>197403</v>
      </c>
      <c r="F152" s="507">
        <v>164661</v>
      </c>
      <c r="G152" s="270">
        <f t="shared" si="15"/>
        <v>181032</v>
      </c>
      <c r="I152" s="269"/>
    </row>
    <row r="153" spans="1:12">
      <c r="A153" s="272">
        <f t="shared" si="16"/>
        <v>120</v>
      </c>
      <c r="B153" s="272"/>
      <c r="C153" s="24" t="s">
        <v>368</v>
      </c>
      <c r="D153" s="89" t="s">
        <v>369</v>
      </c>
      <c r="E153" s="507">
        <v>29502635</v>
      </c>
      <c r="F153" s="507">
        <v>29574435</v>
      </c>
      <c r="G153" s="270">
        <f t="shared" si="15"/>
        <v>29538535</v>
      </c>
      <c r="I153" s="269"/>
    </row>
    <row r="154" spans="1:12">
      <c r="A154" s="272">
        <f t="shared" si="16"/>
        <v>121</v>
      </c>
      <c r="B154" s="272"/>
      <c r="C154" s="24" t="s">
        <v>370</v>
      </c>
      <c r="D154" s="89" t="s">
        <v>371</v>
      </c>
      <c r="E154" s="507">
        <v>0</v>
      </c>
      <c r="F154" s="507">
        <v>0</v>
      </c>
      <c r="G154" s="270">
        <f t="shared" si="15"/>
        <v>0</v>
      </c>
      <c r="I154" s="269"/>
    </row>
    <row r="155" spans="1:12">
      <c r="A155" s="272">
        <f t="shared" si="16"/>
        <v>122</v>
      </c>
      <c r="B155" s="272"/>
      <c r="C155" s="24" t="s">
        <v>372</v>
      </c>
      <c r="D155" s="89" t="s">
        <v>373</v>
      </c>
      <c r="E155" s="507">
        <v>28799938</v>
      </c>
      <c r="F155" s="507">
        <v>28559621</v>
      </c>
      <c r="G155" s="270">
        <f t="shared" si="15"/>
        <v>28679779.5</v>
      </c>
      <c r="I155" s="269"/>
    </row>
    <row r="156" spans="1:12">
      <c r="A156" s="272">
        <f t="shared" si="16"/>
        <v>123</v>
      </c>
      <c r="B156" s="272"/>
      <c r="C156" s="24" t="s">
        <v>374</v>
      </c>
      <c r="D156" s="89" t="s">
        <v>375</v>
      </c>
      <c r="E156" s="507">
        <v>0</v>
      </c>
      <c r="F156" s="507">
        <v>0</v>
      </c>
      <c r="G156" s="270">
        <f t="shared" si="15"/>
        <v>0</v>
      </c>
      <c r="I156" s="269"/>
    </row>
    <row r="157" spans="1:12">
      <c r="A157" s="272">
        <f t="shared" si="16"/>
        <v>124</v>
      </c>
      <c r="B157" s="272"/>
      <c r="C157" s="2" t="s">
        <v>122</v>
      </c>
      <c r="D157" s="21" t="s">
        <v>37</v>
      </c>
      <c r="E157" s="270">
        <f>SUM(E151:E156)</f>
        <v>81336119</v>
      </c>
      <c r="F157" s="270">
        <f>SUM(F151:F156)</f>
        <v>80016898</v>
      </c>
      <c r="G157" s="270">
        <f>SUM(G151:G156)</f>
        <v>80676508.5</v>
      </c>
      <c r="I157" s="269"/>
    </row>
    <row r="158" spans="1:12">
      <c r="E158" s="12"/>
      <c r="F158" s="12"/>
      <c r="G158" s="12"/>
    </row>
    <row r="159" spans="1:12">
      <c r="A159" s="23">
        <f>A157+1</f>
        <v>125</v>
      </c>
      <c r="B159" s="23"/>
      <c r="C159" s="285" t="s">
        <v>376</v>
      </c>
      <c r="E159" s="12"/>
      <c r="F159" s="12"/>
      <c r="G159" s="277" t="str">
        <f>$G$16</f>
        <v>Year End 2016</v>
      </c>
    </row>
    <row r="160" spans="1:12" ht="14.4" customHeight="1">
      <c r="A160" s="272">
        <f t="shared" ref="A160" si="17">A159+1</f>
        <v>126</v>
      </c>
      <c r="B160" s="272"/>
      <c r="C160" s="27" t="s">
        <v>377</v>
      </c>
      <c r="D160" s="87" t="s">
        <v>1339</v>
      </c>
      <c r="E160" s="88"/>
      <c r="F160" s="88"/>
      <c r="G160" s="507">
        <v>818742</v>
      </c>
      <c r="I160" s="269"/>
    </row>
    <row r="161" spans="1:9">
      <c r="A161" s="272">
        <f>A160+1</f>
        <v>127</v>
      </c>
      <c r="B161" s="272"/>
      <c r="C161" s="274" t="s">
        <v>378</v>
      </c>
      <c r="D161" s="87" t="s">
        <v>1340</v>
      </c>
      <c r="E161" s="286"/>
      <c r="F161" s="286"/>
      <c r="G161" s="507">
        <v>41357328</v>
      </c>
      <c r="I161" s="269"/>
    </row>
    <row r="162" spans="1:9">
      <c r="A162" s="272">
        <f t="shared" ref="A162:A164" si="18">A161+1</f>
        <v>128</v>
      </c>
    </row>
    <row r="163" spans="1:9">
      <c r="A163" s="272">
        <f t="shared" si="18"/>
        <v>129</v>
      </c>
      <c r="B163" s="23" t="s">
        <v>1306</v>
      </c>
      <c r="C163" s="24"/>
      <c r="D163" s="86"/>
      <c r="E163" s="86"/>
      <c r="F163" s="86"/>
      <c r="G163" s="90"/>
      <c r="I163" s="269"/>
    </row>
    <row r="164" spans="1:9">
      <c r="A164" s="272">
        <f t="shared" si="18"/>
        <v>130</v>
      </c>
      <c r="B164" s="23" t="s">
        <v>1488</v>
      </c>
      <c r="C164" s="24"/>
      <c r="D164" s="86"/>
      <c r="E164" s="86"/>
      <c r="F164" s="86"/>
      <c r="G164" s="90"/>
      <c r="I164" s="269"/>
    </row>
    <row r="165" spans="1:9">
      <c r="A165" s="272"/>
      <c r="B165" s="23"/>
      <c r="C165" s="287"/>
      <c r="D165" s="288"/>
      <c r="E165" s="91"/>
      <c r="F165" s="91"/>
      <c r="G165" s="12"/>
      <c r="I165" s="269"/>
    </row>
    <row r="166" spans="1:9">
      <c r="A166" s="23"/>
      <c r="B166" s="23"/>
      <c r="C166" s="287"/>
      <c r="D166" s="288"/>
      <c r="E166" s="91"/>
      <c r="F166" s="91"/>
      <c r="G166" s="12"/>
      <c r="I166" s="269"/>
    </row>
    <row r="167" spans="1:9">
      <c r="A167" s="23"/>
      <c r="B167" s="23"/>
      <c r="C167" s="287"/>
      <c r="D167" s="288"/>
      <c r="E167" s="91"/>
      <c r="F167" s="91"/>
      <c r="G167" s="82"/>
      <c r="I167" s="269"/>
    </row>
    <row r="168" spans="1:9">
      <c r="A168" s="23"/>
      <c r="B168" s="23"/>
      <c r="C168" s="289"/>
      <c r="D168" s="20"/>
      <c r="E168" s="20"/>
      <c r="F168" s="20"/>
      <c r="G168" s="82"/>
      <c r="I168" s="269"/>
    </row>
    <row r="169" spans="1:9">
      <c r="A169" s="23"/>
      <c r="B169" s="23"/>
      <c r="C169" s="290"/>
      <c r="D169" s="20"/>
      <c r="E169" s="20"/>
      <c r="F169" s="20"/>
      <c r="G169" s="82"/>
      <c r="I169" s="269"/>
    </row>
    <row r="172" spans="1:9">
      <c r="A172" s="23"/>
      <c r="B172" s="23"/>
      <c r="C172" s="23"/>
      <c r="D172" s="87"/>
      <c r="E172" s="87"/>
      <c r="F172" s="87"/>
      <c r="G172" s="81"/>
      <c r="I172" s="269"/>
    </row>
    <row r="177" spans="1:12">
      <c r="A177" s="23"/>
      <c r="B177" s="23"/>
      <c r="I177" s="269"/>
    </row>
    <row r="178" spans="1:12">
      <c r="A178" s="23"/>
      <c r="B178" s="23"/>
      <c r="C178" s="27"/>
      <c r="D178" s="87"/>
      <c r="G178" s="82"/>
      <c r="I178" s="269"/>
    </row>
    <row r="180" spans="1:12">
      <c r="A180" s="23"/>
      <c r="B180" s="23"/>
      <c r="C180" s="24"/>
      <c r="D180" s="86"/>
      <c r="E180" s="86"/>
      <c r="F180" s="86"/>
      <c r="I180" s="269"/>
    </row>
    <row r="181" spans="1:12">
      <c r="A181" s="23"/>
      <c r="B181" s="23"/>
      <c r="C181" s="24"/>
      <c r="D181" s="89"/>
      <c r="E181" s="89"/>
      <c r="F181" s="89"/>
      <c r="G181" s="82"/>
      <c r="I181" s="269"/>
    </row>
    <row r="182" spans="1:12">
      <c r="A182" s="23"/>
      <c r="B182" s="23"/>
      <c r="C182" s="24"/>
      <c r="D182" s="89"/>
      <c r="E182" s="89"/>
      <c r="F182" s="89"/>
      <c r="G182" s="82"/>
      <c r="I182" s="269"/>
    </row>
    <row r="183" spans="1:12">
      <c r="A183" s="23"/>
      <c r="B183" s="23"/>
      <c r="C183" s="24"/>
      <c r="D183" s="89"/>
      <c r="E183" s="89"/>
      <c r="F183" s="89"/>
      <c r="G183" s="82"/>
      <c r="I183" s="269"/>
    </row>
    <row r="184" spans="1:12">
      <c r="A184" s="23"/>
      <c r="B184" s="23"/>
      <c r="C184" s="24"/>
      <c r="D184" s="89"/>
      <c r="E184" s="89"/>
      <c r="F184" s="89"/>
      <c r="G184" s="82"/>
      <c r="I184" s="269"/>
    </row>
    <row r="185" spans="1:12">
      <c r="A185" s="23"/>
      <c r="B185" s="23"/>
      <c r="C185" s="23"/>
      <c r="D185" s="89"/>
      <c r="E185" s="89"/>
      <c r="F185" s="89"/>
      <c r="G185" s="12"/>
      <c r="I185" s="269"/>
    </row>
    <row r="186" spans="1:12">
      <c r="A186" s="23"/>
      <c r="B186" s="23"/>
      <c r="C186" s="24"/>
      <c r="D186" s="89"/>
      <c r="E186" s="89"/>
      <c r="F186" s="89"/>
      <c r="G186" s="12"/>
      <c r="I186" s="269"/>
    </row>
    <row r="187" spans="1:12">
      <c r="A187" s="23"/>
      <c r="B187" s="23"/>
      <c r="C187" s="23"/>
      <c r="D187" s="89"/>
      <c r="E187" s="89"/>
      <c r="F187" s="89"/>
      <c r="G187" s="12"/>
      <c r="I187" s="269"/>
    </row>
    <row r="188" spans="1:12">
      <c r="A188" s="23"/>
      <c r="B188" s="23"/>
      <c r="C188" s="23"/>
      <c r="D188" s="89"/>
      <c r="E188" s="89"/>
      <c r="F188" s="89"/>
      <c r="G188" s="12"/>
      <c r="I188" s="269"/>
    </row>
    <row r="189" spans="1:12">
      <c r="A189" s="23"/>
      <c r="B189" s="23"/>
      <c r="C189" s="23"/>
      <c r="D189" s="89"/>
      <c r="E189" s="89"/>
      <c r="F189" s="89"/>
      <c r="G189" s="12"/>
      <c r="I189" s="269"/>
    </row>
    <row r="190" spans="1:12" s="4" customFormat="1">
      <c r="A190" s="23"/>
      <c r="B190" s="23"/>
      <c r="C190" s="89"/>
      <c r="D190" s="89"/>
      <c r="E190" s="89"/>
      <c r="F190" s="89"/>
      <c r="G190" s="12"/>
      <c r="I190" s="291"/>
      <c r="L190" s="292"/>
    </row>
    <row r="191" spans="1:12">
      <c r="A191" s="23"/>
      <c r="B191" s="23"/>
      <c r="C191" s="23"/>
      <c r="D191" s="23"/>
      <c r="G191" s="12"/>
      <c r="I191" s="269"/>
    </row>
    <row r="192" spans="1:12">
      <c r="A192" s="23"/>
      <c r="B192" s="23"/>
      <c r="C192" s="23"/>
      <c r="D192" s="23"/>
      <c r="G192" s="12"/>
      <c r="I192" s="269"/>
    </row>
    <row r="193" spans="1:9">
      <c r="A193" s="23"/>
      <c r="B193" s="23"/>
      <c r="C193" s="23"/>
      <c r="D193" s="23"/>
      <c r="I193" s="269"/>
    </row>
    <row r="194" spans="1:9">
      <c r="A194" s="23"/>
      <c r="B194" s="23"/>
      <c r="C194" s="28"/>
      <c r="D194" s="23"/>
      <c r="G194" s="12"/>
      <c r="I194" s="269"/>
    </row>
    <row r="195" spans="1:9">
      <c r="A195" s="23"/>
      <c r="B195" s="23"/>
      <c r="C195" s="27"/>
      <c r="D195" s="23"/>
      <c r="G195" s="12"/>
      <c r="I195" s="269"/>
    </row>
    <row r="196" spans="1:9">
      <c r="A196" s="23"/>
      <c r="B196" s="23"/>
      <c r="C196" s="28"/>
      <c r="D196" s="23"/>
      <c r="G196" s="12"/>
      <c r="I196" s="269"/>
    </row>
    <row r="197" spans="1:9">
      <c r="A197" s="23"/>
      <c r="B197" s="23"/>
      <c r="C197" s="27"/>
      <c r="D197" s="23"/>
      <c r="G197" s="12"/>
      <c r="I197" s="269"/>
    </row>
    <row r="198" spans="1:9">
      <c r="A198" s="23"/>
      <c r="B198" s="23"/>
      <c r="C198" s="24"/>
      <c r="D198" s="23"/>
      <c r="G198" s="12"/>
      <c r="I198" s="269"/>
    </row>
    <row r="199" spans="1:9">
      <c r="A199" s="23"/>
      <c r="B199" s="23"/>
      <c r="C199" s="24"/>
      <c r="D199" s="23"/>
      <c r="G199" s="12"/>
      <c r="I199" s="269"/>
    </row>
    <row r="200" spans="1:9">
      <c r="A200" s="23"/>
      <c r="B200" s="23"/>
      <c r="C200" s="24"/>
      <c r="D200" s="23"/>
      <c r="G200" s="12"/>
      <c r="I200" s="269"/>
    </row>
    <row r="201" spans="1:9">
      <c r="A201" s="23"/>
      <c r="B201" s="23"/>
      <c r="C201" s="27"/>
      <c r="D201" s="23"/>
      <c r="G201" s="12"/>
      <c r="I201" s="269"/>
    </row>
    <row r="202" spans="1:9">
      <c r="A202" s="23"/>
      <c r="B202" s="23"/>
      <c r="C202" s="27"/>
      <c r="D202" s="23"/>
      <c r="G202" s="12"/>
      <c r="I202" s="269"/>
    </row>
    <row r="203" spans="1:9">
      <c r="A203" s="23"/>
      <c r="B203" s="23"/>
      <c r="C203" s="24"/>
      <c r="D203" s="86"/>
      <c r="E203" s="86"/>
      <c r="F203" s="86"/>
      <c r="G203" s="90"/>
      <c r="I203" s="269"/>
    </row>
    <row r="204" spans="1:9">
      <c r="A204" s="23"/>
      <c r="B204" s="23"/>
      <c r="C204" s="24"/>
      <c r="D204" s="86"/>
      <c r="E204" s="86"/>
      <c r="F204" s="86"/>
      <c r="G204" s="90"/>
      <c r="I204" s="269"/>
    </row>
    <row r="205" spans="1:9">
      <c r="A205" s="23"/>
      <c r="B205" s="23"/>
      <c r="C205" s="24"/>
      <c r="D205" s="86"/>
      <c r="E205" s="86"/>
      <c r="F205" s="86"/>
      <c r="G205" s="90"/>
      <c r="I205" s="269"/>
    </row>
    <row r="211" spans="1:9">
      <c r="A211" s="23"/>
      <c r="B211" s="23"/>
      <c r="C211" s="28"/>
      <c r="D211" s="23"/>
      <c r="I211" s="269"/>
    </row>
    <row r="214" spans="1:9">
      <c r="A214" s="23"/>
      <c r="B214" s="23"/>
      <c r="C214" s="27"/>
      <c r="D214" s="23"/>
      <c r="I214" s="269"/>
    </row>
    <row r="215" spans="1:9">
      <c r="A215" s="23"/>
      <c r="B215" s="23"/>
      <c r="C215" s="27"/>
      <c r="D215" s="23"/>
      <c r="I215" s="269"/>
    </row>
    <row r="216" spans="1:9">
      <c r="A216" s="23"/>
      <c r="B216" s="23"/>
      <c r="C216" s="27"/>
      <c r="D216" s="23"/>
      <c r="I216" s="269"/>
    </row>
    <row r="217" spans="1:9">
      <c r="A217" s="23"/>
      <c r="B217" s="23"/>
      <c r="C217" s="28"/>
      <c r="D217" s="23"/>
      <c r="I217" s="269"/>
    </row>
    <row r="218" spans="1:9">
      <c r="A218" s="23"/>
      <c r="B218" s="23"/>
      <c r="C218" s="28"/>
      <c r="D218" s="23"/>
      <c r="I218" s="269"/>
    </row>
    <row r="219" spans="1:9">
      <c r="A219" s="23"/>
      <c r="B219" s="23"/>
      <c r="C219" s="27"/>
      <c r="D219" s="23"/>
      <c r="I219" s="269"/>
    </row>
    <row r="220" spans="1:9">
      <c r="A220" s="23"/>
      <c r="B220" s="23"/>
      <c r="C220" s="24"/>
      <c r="D220" s="23"/>
      <c r="I220" s="269"/>
    </row>
    <row r="221" spans="1:9">
      <c r="A221" s="23"/>
      <c r="B221" s="23"/>
      <c r="C221" s="27"/>
      <c r="D221" s="23"/>
      <c r="I221" s="269"/>
    </row>
    <row r="222" spans="1:9">
      <c r="A222" s="23"/>
      <c r="B222" s="23"/>
      <c r="C222" s="27"/>
      <c r="D222" s="23"/>
      <c r="I222" s="269"/>
    </row>
    <row r="223" spans="1:9">
      <c r="A223" s="23"/>
      <c r="B223" s="23"/>
      <c r="C223" s="27"/>
      <c r="D223" s="23"/>
      <c r="I223" s="269"/>
    </row>
    <row r="224" spans="1:9">
      <c r="A224" s="23"/>
      <c r="B224" s="23"/>
      <c r="C224" s="27"/>
      <c r="D224" s="23"/>
      <c r="I224" s="269"/>
    </row>
    <row r="225" spans="1:12">
      <c r="A225" s="23"/>
      <c r="B225" s="23"/>
      <c r="C225" s="27"/>
      <c r="D225" s="23"/>
      <c r="I225" s="269"/>
    </row>
    <row r="226" spans="1:12">
      <c r="A226" s="23"/>
      <c r="B226" s="23"/>
      <c r="C226" s="28"/>
      <c r="D226" s="23"/>
      <c r="H226" s="4"/>
      <c r="I226" s="29"/>
      <c r="J226" s="26"/>
    </row>
    <row r="227" spans="1:12">
      <c r="A227" s="23"/>
      <c r="B227" s="23"/>
      <c r="C227" s="24"/>
      <c r="D227" s="23"/>
      <c r="H227" s="4"/>
      <c r="I227" s="29"/>
      <c r="J227" s="26"/>
    </row>
    <row r="228" spans="1:12">
      <c r="A228" s="23"/>
      <c r="B228" s="23"/>
      <c r="C228" s="24"/>
      <c r="D228" s="23"/>
      <c r="H228" s="4"/>
      <c r="I228" s="29"/>
      <c r="J228" s="26"/>
    </row>
    <row r="229" spans="1:12">
      <c r="A229" s="23"/>
      <c r="B229" s="23"/>
      <c r="C229" s="24"/>
      <c r="D229" s="23"/>
      <c r="H229" s="4"/>
      <c r="I229" s="29"/>
      <c r="J229" s="26"/>
    </row>
    <row r="230" spans="1:12">
      <c r="A230" s="23"/>
      <c r="B230" s="23"/>
      <c r="C230" s="24"/>
      <c r="D230" s="23"/>
      <c r="H230" s="4"/>
      <c r="I230" s="29"/>
      <c r="J230" s="26"/>
    </row>
    <row r="231" spans="1:12">
      <c r="A231" s="23"/>
      <c r="B231" s="23"/>
      <c r="C231" s="24"/>
      <c r="D231" s="86"/>
      <c r="E231" s="86"/>
      <c r="F231" s="86"/>
      <c r="G231" s="82"/>
      <c r="I231" s="269"/>
    </row>
    <row r="232" spans="1:12">
      <c r="A232" s="23"/>
      <c r="B232" s="23"/>
      <c r="C232" s="24"/>
      <c r="D232" s="86"/>
      <c r="E232" s="86"/>
      <c r="F232" s="86"/>
      <c r="G232" s="82"/>
      <c r="I232" s="269"/>
    </row>
    <row r="233" spans="1:12">
      <c r="A233" s="23"/>
      <c r="B233" s="23"/>
      <c r="C233" s="24"/>
      <c r="D233" s="86"/>
      <c r="E233" s="86"/>
      <c r="F233" s="86"/>
      <c r="G233" s="82"/>
      <c r="I233" s="269"/>
    </row>
    <row r="234" spans="1:12">
      <c r="A234" s="23"/>
      <c r="B234" s="23"/>
      <c r="C234" s="23"/>
      <c r="D234" s="83"/>
      <c r="E234" s="83"/>
      <c r="F234" s="83"/>
      <c r="G234" s="12"/>
      <c r="I234" s="269"/>
    </row>
    <row r="235" spans="1:12">
      <c r="A235" s="23"/>
      <c r="B235" s="23"/>
      <c r="C235" s="23"/>
      <c r="D235" s="83"/>
      <c r="E235" s="83"/>
      <c r="F235" s="83"/>
      <c r="G235" s="12"/>
      <c r="I235" s="269"/>
    </row>
    <row r="236" spans="1:12">
      <c r="A236" s="83"/>
      <c r="B236" s="83"/>
      <c r="C236" s="23"/>
      <c r="D236" s="83"/>
      <c r="E236" s="83"/>
      <c r="F236" s="83"/>
      <c r="G236" s="12"/>
      <c r="I236" s="269"/>
    </row>
    <row r="237" spans="1:12">
      <c r="A237" s="23"/>
      <c r="B237" s="23"/>
      <c r="C237" s="23"/>
      <c r="D237" s="23"/>
      <c r="I237" s="269"/>
    </row>
    <row r="238" spans="1:12">
      <c r="A238" s="23"/>
      <c r="B238" s="23"/>
      <c r="C238" s="23"/>
      <c r="D238" s="23"/>
      <c r="I238" s="269"/>
    </row>
    <row r="239" spans="1:12" s="4" customFormat="1">
      <c r="A239" s="86"/>
      <c r="B239" s="86"/>
      <c r="C239" s="86"/>
      <c r="D239" s="86"/>
      <c r="E239" s="86"/>
      <c r="F239" s="86"/>
      <c r="G239" s="86"/>
      <c r="I239" s="291"/>
      <c r="L239" s="292"/>
    </row>
    <row r="240" spans="1:12">
      <c r="A240" s="23"/>
      <c r="B240" s="23"/>
      <c r="C240" s="23"/>
      <c r="D240" s="23"/>
      <c r="G240" s="82"/>
      <c r="I240" s="269"/>
    </row>
    <row r="241" spans="1:12">
      <c r="A241" s="23"/>
      <c r="B241" s="23"/>
      <c r="C241" s="24"/>
      <c r="D241" s="23"/>
      <c r="G241" s="82"/>
      <c r="I241" s="269"/>
    </row>
    <row r="242" spans="1:12">
      <c r="A242" s="23"/>
      <c r="B242" s="23"/>
      <c r="C242" s="23"/>
      <c r="D242" s="23"/>
      <c r="G242" s="82"/>
      <c r="I242" s="269"/>
    </row>
    <row r="243" spans="1:12">
      <c r="A243" s="23"/>
      <c r="B243" s="23"/>
      <c r="C243" s="28"/>
      <c r="D243" s="23"/>
      <c r="I243" s="269"/>
    </row>
    <row r="244" spans="1:12">
      <c r="A244" s="23"/>
      <c r="B244" s="23"/>
      <c r="C244" s="28"/>
      <c r="D244" s="23"/>
      <c r="I244" s="269"/>
    </row>
    <row r="245" spans="1:12">
      <c r="A245" s="23"/>
      <c r="B245" s="23"/>
      <c r="C245" s="28"/>
      <c r="D245" s="23"/>
      <c r="I245" s="269"/>
    </row>
    <row r="246" spans="1:12">
      <c r="A246" s="23"/>
      <c r="B246" s="23"/>
      <c r="C246" s="27"/>
      <c r="D246" s="23"/>
      <c r="I246" s="269"/>
    </row>
    <row r="247" spans="1:12">
      <c r="A247" s="23"/>
      <c r="B247" s="23"/>
      <c r="C247" s="27"/>
      <c r="D247" s="23"/>
      <c r="I247" s="269"/>
    </row>
    <row r="248" spans="1:12">
      <c r="A248" s="23"/>
      <c r="B248" s="23"/>
      <c r="C248" s="27"/>
      <c r="D248" s="23"/>
      <c r="I248" s="269"/>
    </row>
    <row r="249" spans="1:12">
      <c r="A249" s="23"/>
      <c r="B249" s="23"/>
      <c r="C249" s="28"/>
      <c r="D249" s="23"/>
      <c r="I249" s="269"/>
    </row>
    <row r="250" spans="1:12">
      <c r="A250" s="23"/>
      <c r="B250" s="23"/>
      <c r="C250" s="28"/>
      <c r="D250" s="23"/>
      <c r="H250" s="4"/>
      <c r="I250" s="29"/>
      <c r="J250" s="26"/>
      <c r="L250" s="2"/>
    </row>
    <row r="251" spans="1:12">
      <c r="A251" s="23"/>
      <c r="B251" s="23"/>
      <c r="C251" s="28"/>
      <c r="D251" s="23"/>
      <c r="I251" s="269"/>
    </row>
    <row r="252" spans="1:12">
      <c r="A252" s="23"/>
      <c r="B252" s="23"/>
      <c r="C252" s="28"/>
      <c r="D252" s="23"/>
      <c r="I252" s="269"/>
    </row>
    <row r="253" spans="1:12">
      <c r="A253" s="23"/>
      <c r="B253" s="23"/>
      <c r="C253" s="24"/>
      <c r="D253" s="23"/>
      <c r="I253" s="269"/>
    </row>
    <row r="254" spans="1:12">
      <c r="A254" s="23"/>
      <c r="B254" s="23"/>
      <c r="C254" s="24"/>
      <c r="D254" s="23"/>
      <c r="I254" s="269"/>
    </row>
    <row r="255" spans="1:12">
      <c r="A255" s="23"/>
      <c r="B255" s="23"/>
      <c r="C255" s="24"/>
      <c r="D255" s="23"/>
      <c r="I255" s="269"/>
    </row>
    <row r="256" spans="1:12">
      <c r="A256" s="23"/>
      <c r="B256" s="23"/>
      <c r="C256" s="24"/>
      <c r="D256" s="23"/>
      <c r="I256" s="269"/>
    </row>
    <row r="257" spans="1:12">
      <c r="A257" s="23"/>
      <c r="B257" s="23"/>
      <c r="C257" s="24"/>
      <c r="D257" s="86"/>
      <c r="E257" s="86"/>
      <c r="F257" s="86"/>
      <c r="G257" s="82"/>
      <c r="I257" s="269"/>
    </row>
    <row r="258" spans="1:12">
      <c r="A258" s="23"/>
      <c r="B258" s="23"/>
      <c r="C258" s="24"/>
      <c r="D258" s="86"/>
      <c r="E258" s="86"/>
      <c r="F258" s="86"/>
      <c r="G258" s="82"/>
      <c r="I258" s="269"/>
    </row>
    <row r="259" spans="1:12">
      <c r="A259" s="23"/>
      <c r="B259" s="23"/>
      <c r="C259" s="24"/>
      <c r="D259" s="86"/>
      <c r="E259" s="86"/>
      <c r="F259" s="86"/>
      <c r="G259" s="82"/>
      <c r="I259" s="269"/>
    </row>
    <row r="260" spans="1:12">
      <c r="A260" s="23"/>
      <c r="B260" s="23"/>
      <c r="C260" s="23"/>
      <c r="D260" s="83"/>
      <c r="E260" s="83"/>
      <c r="F260" s="83"/>
      <c r="G260" s="12"/>
      <c r="I260" s="269"/>
    </row>
    <row r="261" spans="1:12">
      <c r="A261" s="23"/>
      <c r="B261" s="23"/>
      <c r="C261" s="23"/>
      <c r="D261" s="83"/>
      <c r="E261" s="83"/>
      <c r="F261" s="83"/>
      <c r="G261" s="12"/>
      <c r="I261" s="269"/>
    </row>
    <row r="262" spans="1:12">
      <c r="A262" s="83"/>
      <c r="B262" s="83"/>
      <c r="C262" s="23"/>
      <c r="D262" s="83"/>
      <c r="E262" s="83"/>
      <c r="F262" s="83"/>
      <c r="G262" s="12"/>
      <c r="I262" s="269"/>
    </row>
    <row r="263" spans="1:12">
      <c r="A263" s="23"/>
      <c r="B263" s="23"/>
      <c r="C263" s="23"/>
      <c r="D263" s="23"/>
      <c r="I263" s="269"/>
    </row>
    <row r="264" spans="1:12">
      <c r="A264" s="23"/>
      <c r="B264" s="23"/>
      <c r="C264" s="23"/>
      <c r="D264" s="23"/>
      <c r="I264" s="269"/>
    </row>
    <row r="265" spans="1:12" s="4" customFormat="1">
      <c r="A265" s="86"/>
      <c r="B265" s="86"/>
      <c r="C265" s="86"/>
      <c r="D265" s="86"/>
      <c r="E265" s="86"/>
      <c r="F265" s="86"/>
      <c r="G265" s="86"/>
      <c r="I265" s="291"/>
      <c r="L265" s="292"/>
    </row>
    <row r="266" spans="1:12">
      <c r="A266" s="23"/>
      <c r="B266" s="23"/>
      <c r="C266" s="23"/>
      <c r="D266" s="23"/>
      <c r="I266" s="269"/>
    </row>
    <row r="267" spans="1:12">
      <c r="A267" s="23"/>
      <c r="B267" s="23"/>
      <c r="C267" s="24"/>
      <c r="D267" s="23"/>
      <c r="I267" s="269"/>
    </row>
    <row r="268" spans="1:12">
      <c r="A268" s="23"/>
      <c r="B268" s="23"/>
      <c r="C268" s="23"/>
      <c r="D268" s="23"/>
      <c r="I268" s="269"/>
    </row>
    <row r="269" spans="1:12">
      <c r="A269" s="23"/>
      <c r="B269" s="23"/>
      <c r="C269" s="28"/>
      <c r="D269" s="23"/>
      <c r="I269" s="269"/>
    </row>
    <row r="270" spans="1:12">
      <c r="A270" s="23"/>
      <c r="B270" s="23"/>
      <c r="C270" s="27"/>
      <c r="D270" s="23"/>
      <c r="I270" s="269"/>
    </row>
    <row r="271" spans="1:12">
      <c r="A271" s="23"/>
      <c r="B271" s="23"/>
      <c r="C271" s="28"/>
      <c r="D271" s="23"/>
      <c r="I271" s="269"/>
    </row>
    <row r="272" spans="1:12">
      <c r="A272" s="23"/>
      <c r="B272" s="23"/>
      <c r="C272" s="27"/>
      <c r="D272" s="23"/>
      <c r="I272" s="269"/>
    </row>
    <row r="273" spans="1:12">
      <c r="A273" s="23"/>
      <c r="B273" s="23"/>
      <c r="C273" s="27"/>
      <c r="D273" s="23"/>
      <c r="I273" s="269"/>
    </row>
    <row r="274" spans="1:12">
      <c r="A274" s="23"/>
      <c r="B274" s="23"/>
      <c r="C274" s="27"/>
      <c r="D274" s="23"/>
      <c r="H274" s="4"/>
      <c r="I274" s="29"/>
      <c r="J274" s="26"/>
      <c r="L274" s="2"/>
    </row>
    <row r="275" spans="1:12">
      <c r="A275" s="23"/>
      <c r="B275" s="23"/>
      <c r="C275" s="27"/>
      <c r="D275" s="23"/>
      <c r="I275" s="269"/>
    </row>
    <row r="276" spans="1:12">
      <c r="A276" s="23"/>
      <c r="B276" s="23"/>
      <c r="C276" s="27"/>
      <c r="D276" s="23"/>
      <c r="I276" s="269"/>
    </row>
    <row r="277" spans="1:12">
      <c r="A277" s="23"/>
      <c r="B277" s="23"/>
      <c r="C277" s="28"/>
      <c r="D277" s="23"/>
      <c r="I277" s="269"/>
    </row>
    <row r="278" spans="1:12">
      <c r="A278" s="23"/>
      <c r="B278" s="23"/>
      <c r="C278" s="24"/>
      <c r="D278" s="23"/>
      <c r="I278" s="269"/>
    </row>
    <row r="279" spans="1:12">
      <c r="A279" s="23"/>
      <c r="B279" s="23"/>
      <c r="C279" s="24"/>
      <c r="D279" s="23"/>
      <c r="I279" s="269"/>
    </row>
    <row r="280" spans="1:12">
      <c r="A280" s="23"/>
      <c r="B280" s="23"/>
      <c r="C280" s="24"/>
      <c r="D280" s="23"/>
      <c r="I280" s="269"/>
    </row>
    <row r="281" spans="1:12">
      <c r="A281" s="23"/>
      <c r="B281" s="23"/>
      <c r="C281" s="24"/>
      <c r="D281" s="23"/>
      <c r="I281" s="269"/>
    </row>
    <row r="282" spans="1:12">
      <c r="A282" s="23"/>
      <c r="B282" s="23"/>
      <c r="C282" s="24"/>
      <c r="D282" s="86"/>
      <c r="E282" s="86"/>
      <c r="F282" s="86"/>
      <c r="G282" s="82"/>
      <c r="I282" s="269"/>
    </row>
    <row r="283" spans="1:12">
      <c r="A283" s="23"/>
      <c r="B283" s="23"/>
      <c r="C283" s="24"/>
      <c r="D283" s="86"/>
      <c r="E283" s="86"/>
      <c r="F283" s="86"/>
      <c r="G283" s="82"/>
      <c r="I283" s="269"/>
    </row>
    <row r="284" spans="1:12">
      <c r="A284" s="23"/>
      <c r="B284" s="23"/>
      <c r="C284" s="24"/>
      <c r="D284" s="86"/>
      <c r="E284" s="86"/>
      <c r="F284" s="86"/>
      <c r="G284" s="82"/>
      <c r="I284" s="269"/>
    </row>
    <row r="285" spans="1:12">
      <c r="A285" s="23"/>
      <c r="B285" s="23"/>
      <c r="C285" s="23"/>
      <c r="D285" s="83"/>
      <c r="E285" s="83"/>
      <c r="F285" s="83"/>
      <c r="G285" s="12"/>
      <c r="I285" s="269"/>
    </row>
    <row r="286" spans="1:12">
      <c r="A286" s="23"/>
      <c r="B286" s="23"/>
      <c r="C286" s="23"/>
      <c r="D286" s="83"/>
      <c r="E286" s="83"/>
      <c r="F286" s="83"/>
      <c r="G286" s="12"/>
      <c r="I286" s="269"/>
    </row>
    <row r="287" spans="1:12">
      <c r="A287" s="83"/>
      <c r="B287" s="83"/>
      <c r="C287" s="23"/>
      <c r="D287" s="83"/>
      <c r="E287" s="83"/>
      <c r="F287" s="83"/>
      <c r="G287" s="12"/>
      <c r="I287" s="269"/>
    </row>
    <row r="288" spans="1:12">
      <c r="A288" s="23"/>
      <c r="B288" s="23"/>
      <c r="C288" s="23"/>
      <c r="D288" s="23"/>
      <c r="I288" s="269"/>
    </row>
    <row r="289" spans="1:12">
      <c r="A289" s="23"/>
      <c r="B289" s="23"/>
      <c r="C289" s="23"/>
      <c r="D289" s="23"/>
      <c r="I289" s="269"/>
    </row>
    <row r="290" spans="1:12" s="4" customFormat="1">
      <c r="A290" s="86"/>
      <c r="B290" s="86"/>
      <c r="C290" s="86"/>
      <c r="D290" s="86"/>
      <c r="E290" s="86"/>
      <c r="F290" s="86"/>
      <c r="G290" s="86"/>
      <c r="I290" s="291"/>
      <c r="L290" s="292"/>
    </row>
    <row r="291" spans="1:12">
      <c r="A291" s="23"/>
      <c r="B291" s="23"/>
      <c r="C291" s="23"/>
      <c r="D291" s="23"/>
      <c r="I291" s="269"/>
    </row>
    <row r="292" spans="1:12">
      <c r="A292" s="23"/>
      <c r="B292" s="23"/>
      <c r="C292" s="24"/>
      <c r="D292" s="23"/>
      <c r="I292" s="269"/>
    </row>
    <row r="293" spans="1:12">
      <c r="A293" s="23"/>
      <c r="B293" s="23"/>
      <c r="C293" s="23"/>
      <c r="D293" s="23"/>
      <c r="I293" s="269"/>
    </row>
    <row r="294" spans="1:12">
      <c r="A294" s="23"/>
      <c r="B294" s="23"/>
      <c r="C294" s="28"/>
      <c r="D294" s="23"/>
      <c r="I294" s="269"/>
    </row>
    <row r="295" spans="1:12">
      <c r="A295" s="23"/>
      <c r="B295" s="23"/>
      <c r="C295" s="24"/>
      <c r="D295" s="23"/>
      <c r="I295" s="269"/>
    </row>
    <row r="296" spans="1:12">
      <c r="A296" s="23"/>
      <c r="B296" s="23"/>
      <c r="C296" s="24"/>
      <c r="D296" s="23"/>
      <c r="I296" s="269"/>
    </row>
    <row r="297" spans="1:12">
      <c r="A297" s="23"/>
      <c r="B297" s="23"/>
      <c r="C297" s="24"/>
      <c r="D297" s="23"/>
      <c r="I297" s="269"/>
    </row>
    <row r="298" spans="1:12">
      <c r="A298" s="23"/>
      <c r="B298" s="23"/>
      <c r="C298" s="24"/>
      <c r="D298" s="23"/>
      <c r="I298" s="269"/>
    </row>
    <row r="299" spans="1:12">
      <c r="A299" s="23"/>
      <c r="B299" s="23"/>
      <c r="C299" s="24"/>
      <c r="D299" s="23"/>
      <c r="I299" s="269"/>
    </row>
    <row r="300" spans="1:12">
      <c r="A300" s="23"/>
      <c r="B300" s="23"/>
      <c r="C300" s="24"/>
      <c r="D300" s="23"/>
      <c r="I300" s="269"/>
    </row>
    <row r="301" spans="1:12">
      <c r="A301" s="23"/>
      <c r="B301" s="23"/>
      <c r="C301" s="24"/>
      <c r="D301" s="23"/>
      <c r="I301" s="269"/>
    </row>
    <row r="302" spans="1:12">
      <c r="A302" s="23"/>
      <c r="B302" s="23"/>
      <c r="C302" s="24"/>
      <c r="D302" s="23"/>
      <c r="I302" s="269"/>
    </row>
    <row r="303" spans="1:12">
      <c r="A303" s="23"/>
      <c r="B303" s="23"/>
      <c r="C303" s="24"/>
      <c r="D303" s="23"/>
      <c r="I303" s="269"/>
    </row>
    <row r="304" spans="1:12">
      <c r="A304" s="23"/>
      <c r="B304" s="23"/>
      <c r="C304" s="24"/>
      <c r="D304" s="23"/>
      <c r="I304" s="269"/>
    </row>
    <row r="305" spans="1:12">
      <c r="A305" s="23"/>
      <c r="B305" s="23"/>
      <c r="C305" s="24"/>
      <c r="D305" s="23"/>
      <c r="I305" s="269"/>
    </row>
    <row r="306" spans="1:12">
      <c r="A306" s="23"/>
      <c r="B306" s="23"/>
      <c r="C306" s="24"/>
      <c r="D306" s="23"/>
      <c r="I306" s="269"/>
    </row>
    <row r="307" spans="1:12">
      <c r="A307" s="23"/>
      <c r="B307" s="23"/>
      <c r="C307" s="24"/>
      <c r="D307" s="23"/>
      <c r="I307" s="269"/>
    </row>
    <row r="308" spans="1:12">
      <c r="A308" s="23"/>
      <c r="B308" s="23"/>
      <c r="C308" s="24"/>
      <c r="D308" s="86"/>
      <c r="E308" s="86"/>
      <c r="F308" s="86"/>
      <c r="G308" s="82"/>
      <c r="I308" s="269"/>
    </row>
    <row r="309" spans="1:12">
      <c r="A309" s="23"/>
      <c r="B309" s="23"/>
      <c r="C309" s="24"/>
      <c r="D309" s="86"/>
      <c r="E309" s="86"/>
      <c r="F309" s="86"/>
      <c r="G309" s="82"/>
      <c r="I309" s="269"/>
    </row>
    <row r="310" spans="1:12">
      <c r="A310" s="23"/>
      <c r="B310" s="23"/>
      <c r="C310" s="24"/>
      <c r="D310" s="86"/>
      <c r="E310" s="86"/>
      <c r="F310" s="86"/>
      <c r="G310" s="82"/>
      <c r="I310" s="269"/>
    </row>
    <row r="311" spans="1:12">
      <c r="A311" s="23"/>
      <c r="B311" s="23"/>
      <c r="C311" s="23"/>
      <c r="D311" s="83"/>
      <c r="E311" s="83"/>
      <c r="F311" s="83"/>
      <c r="G311" s="12"/>
      <c r="I311" s="269"/>
    </row>
    <row r="312" spans="1:12">
      <c r="A312" s="23"/>
      <c r="B312" s="23"/>
      <c r="C312" s="23"/>
      <c r="D312" s="83"/>
      <c r="E312" s="83"/>
      <c r="F312" s="83"/>
      <c r="G312" s="12"/>
      <c r="I312" s="269"/>
    </row>
    <row r="313" spans="1:12">
      <c r="A313" s="83"/>
      <c r="B313" s="83"/>
      <c r="C313" s="23"/>
      <c r="D313" s="83"/>
      <c r="E313" s="83"/>
      <c r="F313" s="83"/>
      <c r="G313" s="12"/>
      <c r="I313" s="269"/>
    </row>
    <row r="314" spans="1:12">
      <c r="A314" s="23"/>
      <c r="B314" s="23"/>
      <c r="C314" s="23"/>
      <c r="D314" s="23"/>
      <c r="I314" s="269"/>
    </row>
    <row r="315" spans="1:12">
      <c r="A315" s="23"/>
      <c r="B315" s="23"/>
      <c r="C315" s="23"/>
      <c r="D315" s="23"/>
      <c r="I315" s="269"/>
    </row>
    <row r="316" spans="1:12" s="4" customFormat="1">
      <c r="A316" s="86"/>
      <c r="B316" s="86"/>
      <c r="C316" s="86"/>
      <c r="D316" s="86"/>
      <c r="E316" s="86"/>
      <c r="F316" s="86"/>
      <c r="G316" s="86"/>
      <c r="I316" s="291"/>
      <c r="L316" s="292"/>
    </row>
    <row r="317" spans="1:12">
      <c r="A317" s="23"/>
      <c r="B317" s="23"/>
      <c r="C317" s="23"/>
      <c r="D317" s="23"/>
      <c r="I317" s="269"/>
    </row>
    <row r="318" spans="1:12">
      <c r="A318" s="23"/>
      <c r="B318" s="23"/>
      <c r="C318" s="23"/>
      <c r="D318" s="23"/>
      <c r="I318" s="269"/>
    </row>
    <row r="319" spans="1:12">
      <c r="A319" s="23"/>
      <c r="B319" s="23"/>
      <c r="C319" s="23"/>
      <c r="D319" s="23"/>
      <c r="I319" s="269"/>
    </row>
    <row r="320" spans="1:12">
      <c r="A320" s="23"/>
      <c r="B320" s="23"/>
      <c r="C320" s="23"/>
      <c r="D320" s="23"/>
      <c r="G320" s="82"/>
      <c r="I320" s="269"/>
    </row>
    <row r="321" spans="1:12">
      <c r="A321" s="23"/>
      <c r="B321" s="23"/>
      <c r="C321" s="23"/>
      <c r="D321" s="23"/>
      <c r="I321" s="269"/>
    </row>
    <row r="322" spans="1:12">
      <c r="A322" s="23"/>
      <c r="B322" s="23"/>
      <c r="C322" s="23"/>
      <c r="D322" s="23"/>
      <c r="G322" s="82"/>
      <c r="I322" s="269"/>
    </row>
    <row r="323" spans="1:12">
      <c r="A323" s="23"/>
      <c r="B323" s="23"/>
      <c r="C323" s="23"/>
      <c r="D323" s="23"/>
      <c r="G323" s="82"/>
      <c r="I323" s="269"/>
    </row>
    <row r="324" spans="1:12">
      <c r="A324" s="23"/>
      <c r="B324" s="23"/>
      <c r="C324" s="23"/>
      <c r="D324" s="23"/>
      <c r="G324" s="82"/>
      <c r="I324" s="269"/>
    </row>
    <row r="325" spans="1:12">
      <c r="A325" s="23"/>
      <c r="B325" s="23"/>
      <c r="C325" s="23"/>
      <c r="D325" s="23"/>
      <c r="G325" s="82"/>
      <c r="I325" s="269"/>
    </row>
    <row r="326" spans="1:12">
      <c r="A326" s="23"/>
      <c r="B326" s="23"/>
      <c r="C326" s="23"/>
      <c r="D326" s="23"/>
      <c r="G326" s="82"/>
      <c r="I326" s="269"/>
    </row>
    <row r="327" spans="1:12">
      <c r="A327" s="23"/>
      <c r="B327" s="23"/>
      <c r="C327" s="24"/>
      <c r="D327" s="86"/>
      <c r="E327" s="86"/>
      <c r="F327" s="86"/>
      <c r="G327" s="82"/>
      <c r="I327" s="269"/>
    </row>
    <row r="328" spans="1:12">
      <c r="A328" s="23"/>
      <c r="B328" s="23"/>
      <c r="C328" s="24"/>
      <c r="D328" s="86"/>
      <c r="E328" s="86"/>
      <c r="F328" s="86"/>
      <c r="G328" s="82"/>
      <c r="I328" s="269"/>
    </row>
    <row r="329" spans="1:12">
      <c r="A329" s="23"/>
      <c r="B329" s="23"/>
      <c r="C329" s="24"/>
      <c r="D329" s="86"/>
      <c r="E329" s="86"/>
      <c r="F329" s="86"/>
      <c r="G329" s="82"/>
      <c r="I329" s="269"/>
    </row>
    <row r="330" spans="1:12">
      <c r="A330" s="23"/>
      <c r="B330" s="23"/>
      <c r="C330" s="23"/>
      <c r="D330" s="83"/>
      <c r="E330" s="83"/>
      <c r="F330" s="83"/>
      <c r="G330" s="12"/>
      <c r="I330" s="269"/>
    </row>
    <row r="331" spans="1:12">
      <c r="A331" s="23"/>
      <c r="B331" s="23"/>
      <c r="C331" s="23"/>
      <c r="D331" s="83"/>
      <c r="E331" s="83"/>
      <c r="F331" s="83"/>
      <c r="G331" s="12"/>
      <c r="I331" s="269"/>
    </row>
    <row r="332" spans="1:12">
      <c r="A332" s="83"/>
      <c r="B332" s="83"/>
      <c r="C332" s="23"/>
      <c r="D332" s="83"/>
      <c r="E332" s="83"/>
      <c r="F332" s="83"/>
      <c r="G332" s="12"/>
      <c r="I332" s="269"/>
    </row>
    <row r="333" spans="1:12">
      <c r="A333" s="23"/>
      <c r="B333" s="23"/>
      <c r="C333" s="23"/>
      <c r="D333" s="23"/>
      <c r="I333" s="269"/>
    </row>
    <row r="334" spans="1:12">
      <c r="A334" s="23"/>
      <c r="B334" s="23"/>
      <c r="C334" s="23"/>
      <c r="D334" s="23"/>
      <c r="I334" s="269"/>
    </row>
    <row r="335" spans="1:12" s="4" customFormat="1">
      <c r="A335" s="86"/>
      <c r="B335" s="86"/>
      <c r="C335" s="86"/>
      <c r="D335" s="86"/>
      <c r="E335" s="86"/>
      <c r="F335" s="86"/>
      <c r="G335" s="86"/>
      <c r="I335" s="291"/>
      <c r="L335" s="292"/>
    </row>
    <row r="336" spans="1:12">
      <c r="A336" s="23"/>
      <c r="B336" s="23"/>
      <c r="C336" s="23"/>
      <c r="D336" s="23"/>
      <c r="I336" s="269"/>
    </row>
    <row r="337" spans="1:9">
      <c r="A337" s="23"/>
      <c r="B337" s="23"/>
      <c r="C337" s="24"/>
      <c r="D337" s="23"/>
      <c r="I337" s="269"/>
    </row>
    <row r="338" spans="1:9">
      <c r="A338" s="23"/>
      <c r="B338" s="23"/>
      <c r="C338" s="23"/>
      <c r="D338" s="23"/>
      <c r="I338" s="269"/>
    </row>
    <row r="339" spans="1:9">
      <c r="A339" s="23"/>
      <c r="B339" s="23"/>
      <c r="C339" s="28"/>
      <c r="D339" s="23"/>
      <c r="I339" s="269"/>
    </row>
    <row r="340" spans="1:9">
      <c r="A340" s="23"/>
      <c r="B340" s="23"/>
      <c r="C340" s="24"/>
      <c r="D340" s="23"/>
      <c r="I340" s="269"/>
    </row>
    <row r="341" spans="1:9">
      <c r="A341" s="23"/>
      <c r="B341" s="23"/>
      <c r="C341" s="24"/>
      <c r="D341" s="23"/>
      <c r="I341" s="269"/>
    </row>
    <row r="342" spans="1:9">
      <c r="A342" s="23"/>
      <c r="B342" s="23"/>
      <c r="C342" s="24"/>
      <c r="D342" s="23"/>
      <c r="I342" s="269"/>
    </row>
    <row r="343" spans="1:9">
      <c r="A343" s="23"/>
      <c r="B343" s="23"/>
      <c r="C343" s="24"/>
      <c r="D343" s="23"/>
      <c r="I343" s="269"/>
    </row>
    <row r="344" spans="1:9">
      <c r="A344" s="23"/>
      <c r="B344" s="23"/>
      <c r="C344" s="24"/>
      <c r="D344" s="23"/>
      <c r="I344" s="269"/>
    </row>
    <row r="345" spans="1:9">
      <c r="A345" s="23"/>
      <c r="B345" s="23"/>
      <c r="C345" s="24"/>
      <c r="D345" s="23"/>
      <c r="I345" s="269"/>
    </row>
    <row r="346" spans="1:9">
      <c r="A346" s="23"/>
      <c r="B346" s="23"/>
      <c r="C346" s="24"/>
      <c r="D346" s="23"/>
      <c r="I346" s="269"/>
    </row>
    <row r="347" spans="1:9">
      <c r="A347" s="23"/>
      <c r="B347" s="23"/>
      <c r="C347" s="24"/>
      <c r="D347" s="23"/>
      <c r="I347" s="269"/>
    </row>
    <row r="348" spans="1:9">
      <c r="A348" s="23"/>
      <c r="B348" s="23"/>
      <c r="C348" s="24"/>
      <c r="D348" s="23"/>
      <c r="I348" s="269"/>
    </row>
    <row r="349" spans="1:9">
      <c r="A349" s="23"/>
      <c r="B349" s="23"/>
      <c r="C349" s="24"/>
      <c r="D349" s="23"/>
      <c r="I349" s="269"/>
    </row>
    <row r="350" spans="1:9">
      <c r="A350" s="23"/>
      <c r="B350" s="23"/>
      <c r="C350" s="24"/>
      <c r="D350" s="23"/>
      <c r="I350" s="269"/>
    </row>
    <row r="351" spans="1:9">
      <c r="A351" s="23"/>
      <c r="B351" s="23"/>
      <c r="C351" s="28"/>
      <c r="D351" s="23"/>
      <c r="I351" s="269"/>
    </row>
    <row r="352" spans="1:9">
      <c r="A352" s="23"/>
      <c r="B352" s="23"/>
      <c r="C352" s="27"/>
      <c r="D352" s="23"/>
      <c r="I352" s="269"/>
    </row>
    <row r="353" spans="1:16">
      <c r="A353" s="23"/>
      <c r="B353" s="23"/>
      <c r="C353" s="24"/>
      <c r="D353" s="23"/>
      <c r="I353" s="269"/>
    </row>
    <row r="354" spans="1:16">
      <c r="A354" s="23"/>
      <c r="B354" s="23"/>
      <c r="C354" s="24"/>
      <c r="D354" s="23"/>
      <c r="I354" s="269"/>
    </row>
    <row r="355" spans="1:16">
      <c r="A355" s="23"/>
      <c r="B355" s="23"/>
      <c r="C355" s="24"/>
      <c r="D355" s="23"/>
      <c r="I355" s="269"/>
    </row>
    <row r="356" spans="1:16">
      <c r="A356" s="23"/>
      <c r="B356" s="23"/>
      <c r="C356" s="24"/>
      <c r="D356" s="23"/>
      <c r="I356" s="269"/>
    </row>
    <row r="357" spans="1:16">
      <c r="A357" s="23"/>
      <c r="B357" s="23"/>
      <c r="C357" s="24"/>
      <c r="D357" s="23"/>
      <c r="H357" s="4"/>
      <c r="I357" s="29"/>
      <c r="J357" s="26"/>
      <c r="L357" s="2"/>
    </row>
    <row r="358" spans="1:16">
      <c r="A358" s="23"/>
      <c r="B358" s="23"/>
      <c r="C358" s="24"/>
      <c r="D358" s="23"/>
      <c r="I358" s="269"/>
    </row>
    <row r="359" spans="1:16">
      <c r="A359" s="23"/>
      <c r="B359" s="23"/>
      <c r="C359" s="27"/>
      <c r="D359" s="23"/>
      <c r="I359" s="269"/>
    </row>
    <row r="360" spans="1:16">
      <c r="A360" s="23"/>
      <c r="B360" s="23"/>
      <c r="C360" s="28"/>
      <c r="D360" s="23"/>
      <c r="I360" s="269"/>
    </row>
    <row r="361" spans="1:16">
      <c r="A361" s="23"/>
      <c r="B361" s="23"/>
      <c r="C361" s="28"/>
      <c r="D361" s="23"/>
      <c r="I361" s="269"/>
    </row>
    <row r="362" spans="1:16">
      <c r="A362" s="23"/>
      <c r="B362" s="23"/>
      <c r="C362" s="28"/>
      <c r="D362" s="23"/>
      <c r="I362" s="269"/>
    </row>
    <row r="363" spans="1:16">
      <c r="A363" s="23"/>
      <c r="B363" s="23"/>
      <c r="C363" s="28"/>
      <c r="D363" s="23"/>
      <c r="I363" s="269"/>
    </row>
    <row r="364" spans="1:16">
      <c r="A364" s="23"/>
      <c r="B364" s="23"/>
      <c r="C364" s="27"/>
      <c r="D364" s="23"/>
      <c r="I364" s="269"/>
    </row>
    <row r="365" spans="1:16">
      <c r="A365" s="23"/>
      <c r="B365" s="23"/>
      <c r="C365" s="27"/>
      <c r="D365" s="23"/>
      <c r="I365" s="269"/>
    </row>
    <row r="366" spans="1:16">
      <c r="A366" s="23"/>
      <c r="B366" s="23"/>
      <c r="C366" s="27"/>
      <c r="D366" s="23"/>
      <c r="I366" s="269"/>
    </row>
    <row r="367" spans="1:16">
      <c r="A367" s="23"/>
      <c r="B367" s="23"/>
      <c r="C367" s="27"/>
      <c r="D367" s="23"/>
      <c r="I367" s="269"/>
    </row>
    <row r="368" spans="1:16">
      <c r="A368" s="23"/>
      <c r="B368" s="23"/>
      <c r="C368" s="27"/>
      <c r="D368" s="23"/>
      <c r="H368" s="4"/>
      <c r="I368" s="29"/>
      <c r="J368" s="26"/>
      <c r="N368" s="23"/>
      <c r="O368" s="23"/>
      <c r="P368" s="23"/>
    </row>
    <row r="369" spans="1:18">
      <c r="A369" s="23"/>
      <c r="B369" s="23"/>
      <c r="C369" s="24"/>
      <c r="D369" s="23"/>
      <c r="I369" s="269"/>
      <c r="N369" s="23"/>
      <c r="O369" s="23"/>
      <c r="P369" s="23"/>
    </row>
    <row r="370" spans="1:18">
      <c r="A370" s="23"/>
      <c r="B370" s="23"/>
      <c r="C370" s="27"/>
      <c r="D370" s="23"/>
      <c r="I370" s="269"/>
      <c r="N370" s="293"/>
      <c r="O370" s="23"/>
      <c r="P370" s="23"/>
    </row>
    <row r="371" spans="1:18">
      <c r="A371" s="23"/>
      <c r="B371" s="23"/>
      <c r="C371" s="24"/>
      <c r="D371" s="23"/>
      <c r="I371" s="269"/>
      <c r="N371" s="293"/>
      <c r="O371" s="23"/>
      <c r="P371" s="23"/>
    </row>
    <row r="372" spans="1:18">
      <c r="A372" s="23"/>
      <c r="B372" s="23"/>
      <c r="C372" s="24"/>
      <c r="D372" s="23"/>
      <c r="I372" s="269"/>
      <c r="N372" s="293"/>
      <c r="O372" s="23"/>
      <c r="P372" s="23"/>
    </row>
    <row r="373" spans="1:18">
      <c r="A373" s="23"/>
      <c r="B373" s="23"/>
      <c r="C373" s="24"/>
      <c r="D373" s="23"/>
      <c r="I373" s="269"/>
      <c r="N373" s="293"/>
      <c r="O373" s="23"/>
      <c r="P373" s="23"/>
    </row>
    <row r="374" spans="1:18">
      <c r="A374" s="23"/>
      <c r="B374" s="23"/>
      <c r="C374" s="24"/>
      <c r="D374" s="23"/>
      <c r="I374" s="269"/>
      <c r="N374" s="293"/>
      <c r="O374" s="23"/>
      <c r="P374" s="23"/>
    </row>
    <row r="375" spans="1:18">
      <c r="A375" s="23"/>
      <c r="B375" s="23"/>
      <c r="C375" s="28"/>
      <c r="D375" s="23"/>
      <c r="I375" s="269"/>
      <c r="N375" s="269"/>
      <c r="R375" s="269"/>
    </row>
    <row r="376" spans="1:18">
      <c r="A376" s="23"/>
      <c r="B376" s="23"/>
      <c r="C376" s="28"/>
      <c r="D376" s="23"/>
      <c r="I376" s="269"/>
    </row>
    <row r="377" spans="1:18">
      <c r="A377" s="23"/>
      <c r="B377" s="23"/>
      <c r="C377" s="27"/>
      <c r="D377" s="23"/>
      <c r="H377" s="4"/>
      <c r="I377" s="29"/>
      <c r="J377" s="26"/>
      <c r="K377" s="23"/>
      <c r="L377" s="2"/>
    </row>
    <row r="378" spans="1:18">
      <c r="A378" s="23"/>
      <c r="B378" s="23"/>
      <c r="C378" s="27"/>
      <c r="D378" s="23"/>
      <c r="I378" s="269"/>
    </row>
    <row r="379" spans="1:18">
      <c r="A379" s="23"/>
      <c r="B379" s="23"/>
      <c r="C379" s="27"/>
      <c r="D379" s="23"/>
      <c r="I379" s="269"/>
    </row>
    <row r="380" spans="1:18">
      <c r="A380" s="23"/>
      <c r="B380" s="23"/>
      <c r="C380" s="27"/>
      <c r="D380" s="23"/>
      <c r="I380" s="269"/>
    </row>
    <row r="381" spans="1:18">
      <c r="A381" s="23"/>
      <c r="B381" s="23"/>
      <c r="C381" s="24"/>
      <c r="D381" s="23"/>
      <c r="I381" s="269"/>
    </row>
    <row r="382" spans="1:18">
      <c r="A382" s="23"/>
      <c r="B382" s="23"/>
      <c r="C382" s="24"/>
      <c r="D382" s="23"/>
      <c r="I382" s="269"/>
    </row>
    <row r="383" spans="1:18">
      <c r="A383" s="23"/>
      <c r="B383" s="23"/>
      <c r="C383" s="24"/>
      <c r="D383" s="23"/>
      <c r="I383" s="269"/>
    </row>
    <row r="384" spans="1:18">
      <c r="A384" s="23"/>
      <c r="B384" s="23"/>
      <c r="C384" s="24"/>
      <c r="D384" s="23"/>
      <c r="I384" s="269"/>
    </row>
    <row r="385" spans="1:13">
      <c r="A385" s="23"/>
      <c r="B385" s="23"/>
      <c r="C385" s="24"/>
      <c r="D385" s="86"/>
      <c r="E385" s="86"/>
      <c r="F385" s="86"/>
      <c r="G385" s="82"/>
      <c r="I385" s="269"/>
    </row>
    <row r="386" spans="1:13">
      <c r="A386" s="23"/>
      <c r="B386" s="23"/>
      <c r="C386" s="24"/>
      <c r="D386" s="86"/>
      <c r="E386" s="86"/>
      <c r="F386" s="86"/>
      <c r="G386" s="82"/>
      <c r="I386" s="269"/>
    </row>
    <row r="387" spans="1:13">
      <c r="A387" s="23"/>
      <c r="B387" s="23"/>
      <c r="C387" s="24"/>
      <c r="D387" s="86"/>
      <c r="E387" s="86"/>
      <c r="F387" s="86"/>
      <c r="G387" s="82"/>
      <c r="I387" s="269"/>
    </row>
    <row r="388" spans="1:13">
      <c r="A388" s="23"/>
      <c r="B388" s="23"/>
      <c r="C388" s="23"/>
      <c r="D388" s="83"/>
      <c r="E388" s="83"/>
      <c r="F388" s="83"/>
      <c r="G388" s="12"/>
      <c r="I388" s="269"/>
    </row>
    <row r="389" spans="1:13">
      <c r="A389" s="23"/>
      <c r="B389" s="23"/>
      <c r="C389" s="23"/>
      <c r="D389" s="83"/>
      <c r="E389" s="83"/>
      <c r="F389" s="83"/>
      <c r="G389" s="12"/>
      <c r="I389" s="269"/>
    </row>
    <row r="390" spans="1:13">
      <c r="A390" s="83"/>
      <c r="B390" s="83"/>
      <c r="C390" s="23"/>
      <c r="D390" s="83"/>
      <c r="E390" s="83"/>
      <c r="F390" s="83"/>
      <c r="G390" s="12"/>
      <c r="I390" s="269"/>
    </row>
    <row r="391" spans="1:13">
      <c r="A391" s="23"/>
      <c r="B391" s="23"/>
      <c r="C391" s="23"/>
      <c r="D391" s="23"/>
      <c r="I391" s="269"/>
    </row>
    <row r="392" spans="1:13">
      <c r="A392" s="23"/>
      <c r="B392" s="23"/>
      <c r="C392" s="23"/>
      <c r="D392" s="23"/>
      <c r="I392" s="269"/>
    </row>
    <row r="393" spans="1:13" s="4" customFormat="1">
      <c r="A393" s="86"/>
      <c r="B393" s="86"/>
      <c r="C393" s="86"/>
      <c r="D393" s="86"/>
      <c r="E393" s="86"/>
      <c r="F393" s="86"/>
      <c r="G393" s="86"/>
      <c r="I393" s="291"/>
      <c r="L393" s="292"/>
    </row>
    <row r="394" spans="1:13">
      <c r="A394" s="23"/>
      <c r="B394" s="23"/>
      <c r="C394" s="23"/>
      <c r="D394" s="23"/>
      <c r="I394" s="269"/>
    </row>
    <row r="395" spans="1:13">
      <c r="A395" s="23"/>
      <c r="B395" s="23"/>
      <c r="C395" s="24"/>
      <c r="D395" s="23"/>
      <c r="H395" s="23"/>
      <c r="I395" s="23"/>
      <c r="J395" s="23"/>
      <c r="K395" s="23"/>
      <c r="L395" s="35"/>
      <c r="M395" s="23"/>
    </row>
    <row r="396" spans="1:13">
      <c r="A396" s="23"/>
      <c r="B396" s="23"/>
      <c r="C396" s="23"/>
      <c r="D396" s="23"/>
      <c r="H396" s="86"/>
      <c r="I396" s="23"/>
      <c r="J396" s="279"/>
      <c r="K396" s="23"/>
      <c r="L396" s="35"/>
      <c r="M396" s="23"/>
    </row>
    <row r="397" spans="1:13">
      <c r="A397" s="23"/>
      <c r="B397" s="23"/>
      <c r="C397" s="27"/>
      <c r="D397" s="23"/>
      <c r="H397" s="23"/>
      <c r="I397" s="23"/>
      <c r="J397" s="23"/>
      <c r="K397" s="23"/>
      <c r="L397" s="35"/>
      <c r="M397" s="23"/>
    </row>
    <row r="398" spans="1:13">
      <c r="A398" s="23"/>
      <c r="B398" s="23"/>
      <c r="C398" s="27"/>
      <c r="D398" s="23"/>
      <c r="H398" s="23"/>
      <c r="I398" s="23"/>
      <c r="J398" s="23"/>
      <c r="K398" s="23"/>
      <c r="L398" s="35"/>
      <c r="M398" s="23"/>
    </row>
    <row r="399" spans="1:13">
      <c r="A399" s="23"/>
      <c r="B399" s="23"/>
      <c r="C399" s="27"/>
      <c r="D399" s="23"/>
      <c r="H399" s="23"/>
      <c r="I399" s="23"/>
      <c r="J399" s="23"/>
      <c r="K399" s="23"/>
      <c r="L399" s="35"/>
      <c r="M399" s="23"/>
    </row>
    <row r="400" spans="1:13">
      <c r="A400" s="23"/>
      <c r="B400" s="23"/>
      <c r="C400" s="27"/>
      <c r="D400" s="23"/>
      <c r="H400" s="23"/>
      <c r="I400" s="23"/>
      <c r="J400" s="23"/>
      <c r="K400" s="23"/>
      <c r="L400" s="35"/>
      <c r="M400" s="23"/>
    </row>
    <row r="401" spans="1:13">
      <c r="A401" s="23"/>
      <c r="B401" s="23"/>
      <c r="C401" s="28"/>
      <c r="D401" s="23"/>
      <c r="H401" s="23"/>
      <c r="I401" s="23"/>
      <c r="J401" s="23"/>
      <c r="K401" s="23"/>
      <c r="L401" s="35"/>
      <c r="M401" s="23"/>
    </row>
    <row r="402" spans="1:13">
      <c r="A402" s="23"/>
      <c r="B402" s="23"/>
      <c r="C402" s="28"/>
      <c r="D402" s="23"/>
      <c r="H402" s="23"/>
      <c r="I402" s="23"/>
      <c r="J402" s="23"/>
      <c r="K402" s="23"/>
      <c r="L402" s="35"/>
      <c r="M402" s="23"/>
    </row>
    <row r="403" spans="1:13">
      <c r="A403" s="23"/>
      <c r="B403" s="23"/>
      <c r="C403" s="24"/>
      <c r="D403" s="23"/>
      <c r="H403" s="23"/>
      <c r="I403" s="23"/>
      <c r="J403" s="23"/>
      <c r="K403" s="23"/>
      <c r="L403" s="35"/>
      <c r="M403" s="23"/>
    </row>
    <row r="404" spans="1:13">
      <c r="A404" s="23"/>
      <c r="B404" s="23"/>
      <c r="C404" s="23"/>
      <c r="D404" s="23"/>
      <c r="H404" s="23"/>
      <c r="I404" s="23"/>
      <c r="J404" s="23"/>
      <c r="K404" s="23"/>
      <c r="L404" s="35"/>
      <c r="M404" s="23"/>
    </row>
    <row r="405" spans="1:13">
      <c r="A405" s="23"/>
      <c r="B405" s="23"/>
      <c r="C405" s="23"/>
      <c r="D405" s="23"/>
      <c r="H405" s="23"/>
      <c r="I405" s="23"/>
      <c r="J405" s="23"/>
      <c r="K405" s="23"/>
      <c r="L405" s="35"/>
      <c r="M405" s="23"/>
    </row>
    <row r="406" spans="1:13">
      <c r="A406" s="23"/>
      <c r="B406" s="23"/>
      <c r="C406" s="23"/>
      <c r="D406" s="23"/>
      <c r="H406" s="23"/>
      <c r="I406" s="23"/>
      <c r="J406" s="23"/>
      <c r="K406" s="23"/>
      <c r="L406" s="35"/>
      <c r="M406" s="23"/>
    </row>
    <row r="407" spans="1:13">
      <c r="A407" s="23"/>
      <c r="B407" s="23"/>
      <c r="C407" s="24"/>
      <c r="D407" s="86"/>
      <c r="E407" s="86"/>
      <c r="F407" s="86"/>
      <c r="G407" s="82"/>
      <c r="I407" s="269"/>
    </row>
    <row r="408" spans="1:13">
      <c r="A408" s="23"/>
      <c r="B408" s="23"/>
      <c r="C408" s="24"/>
      <c r="D408" s="86"/>
      <c r="E408" s="86"/>
      <c r="F408" s="86"/>
      <c r="G408" s="82"/>
      <c r="I408" s="269"/>
    </row>
    <row r="409" spans="1:13">
      <c r="A409" s="23"/>
      <c r="B409" s="23"/>
      <c r="C409" s="24"/>
      <c r="D409" s="86"/>
      <c r="E409" s="86"/>
      <c r="F409" s="86"/>
      <c r="G409" s="82"/>
      <c r="I409" s="269"/>
    </row>
    <row r="410" spans="1:13">
      <c r="A410" s="23"/>
      <c r="B410" s="23"/>
      <c r="C410" s="23"/>
      <c r="D410" s="83"/>
      <c r="E410" s="83"/>
      <c r="F410" s="83"/>
      <c r="G410" s="12"/>
      <c r="I410" s="269"/>
    </row>
    <row r="411" spans="1:13">
      <c r="A411" s="23"/>
      <c r="B411" s="23"/>
      <c r="C411" s="23"/>
      <c r="D411" s="83"/>
      <c r="E411" s="83"/>
      <c r="F411" s="83"/>
      <c r="G411" s="12"/>
      <c r="I411" s="269"/>
    </row>
    <row r="412" spans="1:13">
      <c r="A412" s="83"/>
      <c r="B412" s="83"/>
      <c r="C412" s="23"/>
      <c r="D412" s="83"/>
      <c r="E412" s="83"/>
      <c r="F412" s="83"/>
      <c r="G412" s="12"/>
      <c r="I412" s="269"/>
    </row>
    <row r="413" spans="1:13">
      <c r="A413" s="23"/>
      <c r="B413" s="23"/>
      <c r="C413" s="23"/>
      <c r="D413" s="23"/>
      <c r="I413" s="269"/>
    </row>
    <row r="414" spans="1:13">
      <c r="A414" s="23"/>
      <c r="B414" s="23"/>
      <c r="C414" s="23"/>
      <c r="D414" s="23"/>
      <c r="I414" s="269"/>
    </row>
    <row r="415" spans="1:13" s="4" customFormat="1">
      <c r="A415" s="86"/>
      <c r="B415" s="86"/>
      <c r="C415" s="86"/>
      <c r="D415" s="86"/>
      <c r="E415" s="86"/>
      <c r="F415" s="86"/>
      <c r="G415" s="86"/>
      <c r="I415" s="291"/>
      <c r="L415" s="292"/>
    </row>
    <row r="416" spans="1:13">
      <c r="A416" s="23"/>
      <c r="B416" s="23"/>
      <c r="C416" s="23"/>
      <c r="D416" s="23"/>
      <c r="H416" s="23"/>
      <c r="I416" s="23"/>
      <c r="J416" s="23"/>
      <c r="K416" s="23"/>
      <c r="L416" s="35"/>
      <c r="M416" s="23"/>
    </row>
    <row r="417" spans="1:13">
      <c r="A417" s="23"/>
      <c r="B417" s="23"/>
      <c r="C417" s="24"/>
      <c r="D417" s="23"/>
      <c r="H417" s="23"/>
      <c r="I417" s="23"/>
      <c r="J417" s="23"/>
      <c r="K417" s="23"/>
      <c r="L417" s="35"/>
      <c r="M417" s="23"/>
    </row>
    <row r="418" spans="1:13">
      <c r="A418" s="23"/>
      <c r="B418" s="23"/>
      <c r="C418" s="23"/>
      <c r="D418" s="23"/>
      <c r="H418" s="23"/>
      <c r="I418" s="23"/>
      <c r="J418" s="23"/>
      <c r="K418" s="23"/>
      <c r="L418" s="35"/>
      <c r="M418" s="23"/>
    </row>
    <row r="419" spans="1:13">
      <c r="A419" s="23"/>
      <c r="B419" s="23"/>
      <c r="C419" s="27"/>
      <c r="D419" s="23"/>
      <c r="H419" s="23"/>
      <c r="I419" s="23"/>
      <c r="J419" s="23"/>
      <c r="K419" s="23"/>
      <c r="L419" s="35"/>
      <c r="M419" s="23"/>
    </row>
    <row r="420" spans="1:13">
      <c r="A420" s="23"/>
      <c r="B420" s="23"/>
      <c r="C420" s="28"/>
      <c r="D420" s="23"/>
      <c r="H420" s="23"/>
      <c r="I420" s="23"/>
      <c r="J420" s="23"/>
      <c r="K420" s="23"/>
      <c r="L420" s="35"/>
      <c r="M420" s="23"/>
    </row>
    <row r="421" spans="1:13">
      <c r="A421" s="23"/>
      <c r="B421" s="23"/>
      <c r="C421" s="28"/>
      <c r="D421" s="23"/>
      <c r="H421" s="23"/>
      <c r="I421" s="23"/>
      <c r="J421" s="23"/>
      <c r="K421" s="23"/>
      <c r="L421" s="35"/>
      <c r="M421" s="23"/>
    </row>
    <row r="422" spans="1:13">
      <c r="A422" s="23"/>
      <c r="B422" s="23"/>
      <c r="C422" s="28"/>
      <c r="D422" s="23"/>
      <c r="H422" s="23"/>
      <c r="I422" s="23"/>
      <c r="J422" s="23"/>
      <c r="K422" s="23"/>
      <c r="L422" s="35"/>
      <c r="M422" s="23"/>
    </row>
    <row r="423" spans="1:13">
      <c r="A423" s="23"/>
      <c r="B423" s="23"/>
      <c r="C423" s="24"/>
      <c r="D423" s="23"/>
      <c r="H423" s="23"/>
      <c r="I423" s="23"/>
      <c r="J423" s="23"/>
      <c r="K423" s="23"/>
      <c r="L423" s="35"/>
      <c r="M423" s="23"/>
    </row>
    <row r="424" spans="1:13">
      <c r="A424" s="23"/>
      <c r="B424" s="23"/>
      <c r="C424" s="24"/>
      <c r="D424" s="23"/>
      <c r="H424" s="23"/>
      <c r="I424" s="23"/>
      <c r="J424" s="23"/>
      <c r="K424" s="23"/>
      <c r="L424" s="35"/>
      <c r="M424" s="23"/>
    </row>
    <row r="425" spans="1:13">
      <c r="A425" s="23"/>
      <c r="B425" s="23"/>
      <c r="C425" s="24"/>
      <c r="D425" s="23"/>
      <c r="H425" s="23"/>
      <c r="I425" s="23"/>
      <c r="J425" s="23"/>
      <c r="K425" s="23"/>
      <c r="L425" s="35"/>
      <c r="M425" s="23"/>
    </row>
    <row r="426" spans="1:13">
      <c r="A426" s="23"/>
      <c r="B426" s="23"/>
      <c r="C426" s="24"/>
      <c r="D426" s="23"/>
      <c r="H426" s="23"/>
      <c r="I426" s="23"/>
      <c r="J426" s="23"/>
      <c r="K426" s="23"/>
      <c r="L426" s="35"/>
      <c r="M426" s="23"/>
    </row>
    <row r="427" spans="1:13">
      <c r="A427" s="23"/>
      <c r="B427" s="23"/>
      <c r="C427" s="23"/>
      <c r="D427" s="23"/>
      <c r="H427" s="23"/>
      <c r="I427" s="23"/>
      <c r="J427" s="23"/>
      <c r="K427" s="23"/>
      <c r="L427" s="35"/>
      <c r="M427" s="23"/>
    </row>
    <row r="428" spans="1:13">
      <c r="A428" s="23"/>
      <c r="B428" s="23"/>
      <c r="C428" s="23"/>
      <c r="D428" s="23"/>
      <c r="H428" s="23"/>
      <c r="I428" s="23"/>
      <c r="J428" s="23"/>
      <c r="K428" s="23"/>
      <c r="L428" s="35"/>
      <c r="M428" s="23"/>
    </row>
    <row r="429" spans="1:13">
      <c r="A429" s="23"/>
      <c r="B429" s="23"/>
      <c r="C429" s="23"/>
      <c r="D429" s="23"/>
      <c r="H429" s="23"/>
      <c r="I429" s="23"/>
      <c r="J429" s="23"/>
      <c r="K429" s="23"/>
      <c r="L429" s="35"/>
      <c r="M429" s="23"/>
    </row>
    <row r="430" spans="1:13">
      <c r="A430" s="23"/>
      <c r="B430" s="23"/>
      <c r="C430" s="35"/>
      <c r="D430" s="23"/>
      <c r="H430" s="23"/>
      <c r="I430" s="293"/>
      <c r="J430" s="23"/>
      <c r="K430" s="23"/>
      <c r="L430" s="35"/>
      <c r="M430" s="23"/>
    </row>
    <row r="431" spans="1:13">
      <c r="A431" s="23"/>
      <c r="B431" s="23"/>
      <c r="C431" s="35"/>
      <c r="D431" s="23"/>
      <c r="H431" s="23"/>
      <c r="I431" s="23"/>
      <c r="J431" s="23"/>
      <c r="K431" s="23"/>
      <c r="L431" s="35"/>
      <c r="M431" s="23"/>
    </row>
    <row r="432" spans="1:13">
      <c r="A432" s="23"/>
      <c r="B432" s="23"/>
      <c r="C432" s="35"/>
      <c r="D432" s="23"/>
      <c r="H432" s="23"/>
      <c r="I432" s="23"/>
      <c r="J432" s="23"/>
      <c r="K432" s="23"/>
      <c r="L432" s="35"/>
      <c r="M432" s="23"/>
    </row>
    <row r="433" spans="1:13">
      <c r="A433" s="23"/>
      <c r="B433" s="23"/>
      <c r="C433" s="35"/>
      <c r="D433" s="23"/>
      <c r="H433" s="23"/>
      <c r="I433" s="23"/>
      <c r="J433" s="23"/>
      <c r="K433" s="23"/>
      <c r="L433" s="35"/>
      <c r="M433" s="23"/>
    </row>
    <row r="434" spans="1:13">
      <c r="A434" s="23"/>
      <c r="B434" s="23"/>
      <c r="C434" s="23"/>
      <c r="D434" s="23"/>
      <c r="H434" s="4"/>
      <c r="J434" s="26"/>
      <c r="L434" s="2"/>
    </row>
    <row r="435" spans="1:13">
      <c r="A435" s="23"/>
      <c r="B435" s="23"/>
      <c r="C435" s="23"/>
      <c r="D435" s="23"/>
      <c r="H435" s="4"/>
      <c r="J435" s="26"/>
      <c r="L435" s="2"/>
    </row>
    <row r="436" spans="1:13">
      <c r="A436" s="23"/>
      <c r="B436" s="23"/>
      <c r="C436" s="23"/>
      <c r="D436" s="23"/>
      <c r="H436" s="4"/>
      <c r="J436" s="26"/>
      <c r="L436" s="2"/>
    </row>
    <row r="437" spans="1:13">
      <c r="A437" s="23"/>
      <c r="B437" s="23"/>
      <c r="C437" s="35"/>
      <c r="D437" s="23"/>
      <c r="H437" s="4"/>
      <c r="J437" s="26"/>
      <c r="L437" s="2"/>
    </row>
    <row r="438" spans="1:13">
      <c r="A438" s="23"/>
      <c r="B438" s="23"/>
      <c r="C438" s="35"/>
      <c r="D438" s="23"/>
      <c r="H438" s="4"/>
      <c r="J438" s="26"/>
      <c r="L438" s="2"/>
    </row>
    <row r="439" spans="1:13">
      <c r="A439" s="23"/>
      <c r="B439" s="23"/>
      <c r="C439" s="35"/>
      <c r="D439" s="23"/>
      <c r="H439" s="4"/>
      <c r="J439" s="26"/>
      <c r="L439" s="2"/>
    </row>
    <row r="440" spans="1:13">
      <c r="A440" s="23"/>
      <c r="B440" s="23"/>
      <c r="C440" s="35"/>
      <c r="D440" s="23"/>
      <c r="H440" s="4"/>
      <c r="J440" s="26"/>
      <c r="L440" s="2"/>
    </row>
    <row r="441" spans="1:13">
      <c r="A441" s="23"/>
      <c r="B441" s="23"/>
      <c r="C441" s="35"/>
      <c r="D441" s="23"/>
      <c r="H441" s="4"/>
      <c r="J441" s="26"/>
      <c r="L441" s="2"/>
    </row>
    <row r="442" spans="1:13">
      <c r="A442" s="23"/>
      <c r="B442" s="23"/>
      <c r="C442" s="35"/>
      <c r="D442" s="23"/>
      <c r="H442" s="4"/>
      <c r="J442" s="26"/>
      <c r="L442" s="2"/>
    </row>
    <row r="443" spans="1:13">
      <c r="A443" s="23"/>
      <c r="B443" s="23"/>
      <c r="C443" s="293"/>
      <c r="D443" s="23"/>
      <c r="H443" s="4"/>
      <c r="J443" s="26"/>
      <c r="L443" s="2"/>
    </row>
    <row r="444" spans="1:13">
      <c r="A444" s="23"/>
      <c r="B444" s="23"/>
      <c r="C444" s="23"/>
      <c r="D444" s="23"/>
      <c r="H444" s="4"/>
      <c r="J444" s="26"/>
      <c r="L444" s="2"/>
    </row>
    <row r="445" spans="1:13">
      <c r="A445" s="23"/>
      <c r="B445" s="23"/>
      <c r="C445" s="23"/>
      <c r="D445" s="23"/>
      <c r="H445" s="4"/>
      <c r="J445" s="26"/>
      <c r="L445" s="2"/>
    </row>
    <row r="446" spans="1:13">
      <c r="A446" s="23"/>
      <c r="B446" s="23"/>
      <c r="C446" s="23"/>
      <c r="D446" s="23"/>
      <c r="H446" s="4"/>
      <c r="J446" s="26"/>
      <c r="L446" s="2"/>
    </row>
    <row r="447" spans="1:13">
      <c r="A447" s="23"/>
      <c r="B447" s="23"/>
      <c r="C447" s="23"/>
      <c r="D447" s="23"/>
      <c r="H447" s="4"/>
      <c r="J447" s="26"/>
      <c r="L447" s="2"/>
    </row>
    <row r="448" spans="1:13">
      <c r="A448" s="23"/>
      <c r="B448" s="23"/>
      <c r="C448" s="23"/>
      <c r="D448" s="23"/>
      <c r="H448" s="4"/>
      <c r="J448" s="26"/>
      <c r="L448" s="2"/>
    </row>
    <row r="449" spans="1:12">
      <c r="A449" s="23"/>
      <c r="B449" s="23"/>
      <c r="C449" s="23"/>
      <c r="D449" s="23"/>
      <c r="H449" s="4"/>
      <c r="J449" s="26"/>
      <c r="L449" s="2"/>
    </row>
    <row r="450" spans="1:12">
      <c r="A450" s="23"/>
      <c r="B450" s="23"/>
      <c r="C450" s="23"/>
      <c r="D450" s="23"/>
      <c r="H450" s="4"/>
      <c r="J450" s="26"/>
      <c r="L450" s="2"/>
    </row>
    <row r="451" spans="1:12">
      <c r="A451" s="23"/>
      <c r="B451" s="23"/>
      <c r="C451" s="23"/>
      <c r="D451" s="23"/>
      <c r="H451" s="4"/>
      <c r="J451" s="26"/>
      <c r="L451" s="2"/>
    </row>
    <row r="452" spans="1:12">
      <c r="A452" s="23"/>
      <c r="B452" s="23"/>
      <c r="C452" s="23"/>
      <c r="D452" s="23"/>
      <c r="H452" s="4"/>
      <c r="J452" s="26"/>
      <c r="L452" s="2"/>
    </row>
    <row r="453" spans="1:12">
      <c r="A453" s="23"/>
      <c r="B453" s="23"/>
      <c r="C453" s="23"/>
      <c r="D453" s="23"/>
    </row>
    <row r="454" spans="1:12">
      <c r="A454" s="23"/>
      <c r="B454" s="23"/>
      <c r="C454" s="23"/>
      <c r="D454" s="23"/>
    </row>
    <row r="455" spans="1:12">
      <c r="A455" s="23"/>
      <c r="B455" s="23"/>
      <c r="C455" s="23"/>
      <c r="D455" s="23"/>
    </row>
    <row r="456" spans="1:12">
      <c r="A456" s="23"/>
      <c r="B456" s="23"/>
      <c r="C456" s="23"/>
      <c r="D456" s="23"/>
    </row>
    <row r="457" spans="1:12">
      <c r="A457" s="23"/>
      <c r="B457" s="23"/>
      <c r="C457" s="23"/>
      <c r="D457" s="23"/>
    </row>
    <row r="458" spans="1:12">
      <c r="A458" s="23"/>
      <c r="B458" s="23"/>
      <c r="C458" s="23"/>
      <c r="D458" s="23"/>
    </row>
    <row r="459" spans="1:12">
      <c r="A459" s="23"/>
      <c r="B459" s="23"/>
      <c r="C459" s="23"/>
      <c r="D459" s="23"/>
    </row>
    <row r="460" spans="1:12">
      <c r="A460" s="23"/>
      <c r="B460" s="23"/>
      <c r="C460" s="23"/>
      <c r="D460" s="23"/>
    </row>
    <row r="461" spans="1:12">
      <c r="A461" s="23"/>
      <c r="B461" s="23"/>
      <c r="C461" s="23"/>
      <c r="D461" s="23"/>
    </row>
    <row r="462" spans="1:12">
      <c r="A462" s="23"/>
      <c r="B462" s="23"/>
      <c r="C462" s="23"/>
      <c r="D462" s="23"/>
    </row>
    <row r="463" spans="1:12">
      <c r="A463" s="23"/>
      <c r="B463" s="23"/>
      <c r="C463" s="24"/>
      <c r="D463" s="86"/>
      <c r="E463" s="86"/>
      <c r="F463" s="86"/>
      <c r="G463" s="82"/>
      <c r="I463" s="269"/>
    </row>
    <row r="464" spans="1:12">
      <c r="A464" s="23"/>
      <c r="B464" s="23"/>
      <c r="C464" s="24"/>
      <c r="D464" s="86"/>
      <c r="E464" s="86"/>
      <c r="F464" s="86"/>
      <c r="G464" s="82"/>
      <c r="I464" s="269"/>
    </row>
    <row r="465" spans="1:12">
      <c r="A465" s="23"/>
      <c r="B465" s="23"/>
      <c r="C465" s="24"/>
      <c r="D465" s="86"/>
      <c r="E465" s="86"/>
      <c r="F465" s="86"/>
      <c r="G465" s="82"/>
      <c r="I465" s="269"/>
    </row>
    <row r="466" spans="1:12">
      <c r="A466" s="23"/>
      <c r="B466" s="23"/>
      <c r="C466" s="23"/>
      <c r="D466" s="83"/>
      <c r="E466" s="83"/>
      <c r="F466" s="83"/>
      <c r="I466" s="269"/>
    </row>
    <row r="467" spans="1:12">
      <c r="A467" s="23"/>
      <c r="B467" s="23"/>
      <c r="C467" s="23"/>
      <c r="D467" s="83"/>
      <c r="E467" s="83"/>
      <c r="F467" s="83"/>
      <c r="G467" s="12"/>
      <c r="I467" s="269"/>
    </row>
    <row r="468" spans="1:12">
      <c r="A468" s="83"/>
      <c r="B468" s="83"/>
      <c r="C468" s="23"/>
      <c r="D468" s="83"/>
      <c r="E468" s="83"/>
      <c r="F468" s="83"/>
      <c r="G468" s="12"/>
      <c r="I468" s="269"/>
    </row>
    <row r="469" spans="1:12">
      <c r="A469" s="23"/>
      <c r="B469" s="23"/>
      <c r="C469" s="23"/>
      <c r="D469" s="23"/>
      <c r="I469" s="269"/>
    </row>
    <row r="470" spans="1:12">
      <c r="A470" s="23"/>
      <c r="B470" s="23"/>
      <c r="C470" s="23"/>
      <c r="D470" s="23"/>
      <c r="I470" s="269"/>
    </row>
    <row r="471" spans="1:12" s="4" customFormat="1">
      <c r="A471" s="86"/>
      <c r="B471" s="86"/>
      <c r="C471" s="86"/>
      <c r="D471" s="86"/>
      <c r="E471" s="86"/>
      <c r="F471" s="86"/>
      <c r="G471" s="86"/>
      <c r="I471" s="291"/>
      <c r="L471" s="292"/>
    </row>
    <row r="472" spans="1:12">
      <c r="A472" s="23"/>
      <c r="B472" s="23"/>
      <c r="C472" s="23"/>
      <c r="D472" s="23"/>
    </row>
    <row r="473" spans="1:12">
      <c r="A473" s="23"/>
      <c r="B473" s="23"/>
      <c r="C473" s="24"/>
      <c r="D473" s="23"/>
    </row>
    <row r="474" spans="1:12">
      <c r="A474" s="23"/>
      <c r="B474" s="23"/>
      <c r="C474" s="23"/>
      <c r="D474" s="23"/>
    </row>
    <row r="475" spans="1:12">
      <c r="A475" s="23"/>
      <c r="B475" s="23"/>
      <c r="C475" s="27"/>
      <c r="D475" s="23"/>
    </row>
    <row r="476" spans="1:12">
      <c r="A476" s="23"/>
      <c r="B476" s="23"/>
      <c r="C476" s="27"/>
      <c r="D476" s="23"/>
    </row>
    <row r="477" spans="1:12">
      <c r="A477" s="23"/>
      <c r="B477" s="23"/>
      <c r="C477" s="27"/>
      <c r="D477" s="23"/>
    </row>
    <row r="478" spans="1:12">
      <c r="A478" s="23"/>
      <c r="B478" s="23"/>
      <c r="C478" s="24"/>
      <c r="D478" s="23"/>
    </row>
    <row r="479" spans="1:12">
      <c r="A479" s="23"/>
      <c r="B479" s="23"/>
      <c r="C479" s="24"/>
      <c r="D479" s="23"/>
    </row>
    <row r="480" spans="1:12">
      <c r="A480" s="23"/>
      <c r="B480" s="23"/>
      <c r="C480" s="24"/>
      <c r="D480" s="23"/>
    </row>
    <row r="481" spans="1:12">
      <c r="A481" s="23"/>
      <c r="B481" s="23"/>
      <c r="C481" s="24"/>
      <c r="D481" s="23"/>
    </row>
    <row r="482" spans="1:12">
      <c r="A482" s="23"/>
      <c r="B482" s="23"/>
      <c r="C482" s="24"/>
      <c r="D482" s="86"/>
      <c r="E482" s="86"/>
      <c r="F482" s="86"/>
      <c r="G482" s="82"/>
      <c r="I482" s="269"/>
    </row>
    <row r="483" spans="1:12">
      <c r="A483" s="23"/>
      <c r="B483" s="23"/>
      <c r="C483" s="24"/>
      <c r="D483" s="86"/>
      <c r="E483" s="86"/>
      <c r="F483" s="86"/>
      <c r="G483" s="82"/>
      <c r="I483" s="269"/>
    </row>
    <row r="484" spans="1:12">
      <c r="A484" s="23"/>
      <c r="B484" s="23"/>
      <c r="C484" s="24"/>
      <c r="D484" s="86"/>
      <c r="E484" s="86"/>
      <c r="F484" s="86"/>
      <c r="G484" s="82"/>
      <c r="I484" s="269"/>
    </row>
    <row r="485" spans="1:12">
      <c r="A485" s="23"/>
      <c r="B485" s="23"/>
      <c r="C485" s="23"/>
      <c r="D485" s="83"/>
      <c r="E485" s="83"/>
      <c r="F485" s="83"/>
      <c r="I485" s="269"/>
    </row>
    <row r="486" spans="1:12">
      <c r="A486" s="23"/>
      <c r="B486" s="23"/>
      <c r="C486" s="23"/>
      <c r="D486" s="83"/>
      <c r="E486" s="83"/>
      <c r="F486" s="83"/>
      <c r="G486" s="12"/>
      <c r="I486" s="269"/>
    </row>
    <row r="487" spans="1:12">
      <c r="A487" s="83"/>
      <c r="B487" s="83"/>
      <c r="C487" s="23"/>
      <c r="D487" s="83"/>
      <c r="E487" s="83"/>
      <c r="F487" s="83"/>
      <c r="G487" s="12"/>
      <c r="I487" s="269"/>
    </row>
    <row r="488" spans="1:12">
      <c r="A488" s="23"/>
      <c r="B488" s="23"/>
      <c r="C488" s="23"/>
      <c r="D488" s="23"/>
      <c r="I488" s="269"/>
    </row>
    <row r="489" spans="1:12">
      <c r="A489" s="23"/>
      <c r="B489" s="23"/>
      <c r="C489" s="23"/>
      <c r="D489" s="23"/>
      <c r="I489" s="269"/>
    </row>
    <row r="490" spans="1:12" s="4" customFormat="1">
      <c r="A490" s="86"/>
      <c r="B490" s="86"/>
      <c r="C490" s="86"/>
      <c r="D490" s="86"/>
      <c r="E490" s="86"/>
      <c r="F490" s="86"/>
      <c r="G490" s="86"/>
      <c r="I490" s="291"/>
      <c r="L490" s="292"/>
    </row>
    <row r="491" spans="1:12">
      <c r="A491" s="23"/>
      <c r="B491" s="23"/>
      <c r="C491" s="23"/>
      <c r="D491" s="23"/>
    </row>
    <row r="492" spans="1:12">
      <c r="A492" s="23"/>
      <c r="B492" s="23"/>
      <c r="C492" s="23"/>
      <c r="D492" s="23"/>
    </row>
    <row r="493" spans="1:12">
      <c r="A493" s="23"/>
      <c r="B493" s="23"/>
      <c r="C493" s="23"/>
      <c r="D493" s="23"/>
    </row>
    <row r="494" spans="1:12">
      <c r="A494" s="23"/>
      <c r="B494" s="23"/>
      <c r="C494" s="27"/>
      <c r="D494" s="23"/>
    </row>
    <row r="495" spans="1:12">
      <c r="A495" s="23"/>
      <c r="B495" s="23"/>
      <c r="C495" s="27"/>
      <c r="D495" s="23"/>
    </row>
    <row r="496" spans="1:12">
      <c r="A496" s="23"/>
      <c r="B496" s="23"/>
      <c r="C496" s="27"/>
      <c r="D496" s="23"/>
    </row>
    <row r="497" spans="1:8">
      <c r="A497" s="23"/>
      <c r="B497" s="23"/>
      <c r="C497" s="28"/>
      <c r="D497" s="23"/>
    </row>
    <row r="498" spans="1:8">
      <c r="A498" s="23"/>
      <c r="B498" s="23"/>
      <c r="C498" s="27"/>
      <c r="D498" s="23"/>
    </row>
    <row r="499" spans="1:8">
      <c r="A499" s="23"/>
      <c r="B499" s="23"/>
      <c r="C499" s="27"/>
      <c r="D499" s="23"/>
    </row>
    <row r="500" spans="1:8">
      <c r="A500" s="23"/>
      <c r="B500" s="23"/>
      <c r="C500" s="24"/>
      <c r="D500" s="23"/>
    </row>
    <row r="501" spans="1:8">
      <c r="A501" s="23"/>
      <c r="B501" s="23"/>
      <c r="C501" s="27"/>
      <c r="D501" s="23"/>
      <c r="H501" s="25"/>
    </row>
    <row r="502" spans="1:8">
      <c r="A502" s="23"/>
      <c r="B502" s="23"/>
      <c r="C502" s="28"/>
      <c r="D502" s="23"/>
      <c r="H502" s="25"/>
    </row>
    <row r="503" spans="1:8">
      <c r="A503" s="23"/>
      <c r="B503" s="23"/>
      <c r="C503" s="28"/>
      <c r="D503" s="23"/>
      <c r="H503" s="25"/>
    </row>
    <row r="504" spans="1:8">
      <c r="A504" s="23"/>
      <c r="B504" s="23"/>
      <c r="C504" s="27"/>
      <c r="D504" s="23"/>
      <c r="H504" s="25"/>
    </row>
    <row r="505" spans="1:8">
      <c r="A505" s="23"/>
      <c r="B505" s="23"/>
      <c r="C505" s="24"/>
      <c r="D505" s="23"/>
      <c r="H505" s="25"/>
    </row>
    <row r="506" spans="1:8">
      <c r="A506" s="23"/>
      <c r="B506" s="23"/>
      <c r="C506" s="28"/>
      <c r="D506" s="23"/>
      <c r="H506" s="25"/>
    </row>
    <row r="507" spans="1:8">
      <c r="A507" s="23"/>
      <c r="B507" s="23"/>
      <c r="C507" s="28"/>
      <c r="D507" s="23"/>
      <c r="H507" s="25"/>
    </row>
    <row r="508" spans="1:8">
      <c r="A508" s="23"/>
      <c r="B508" s="23"/>
      <c r="C508" s="28"/>
      <c r="D508" s="23"/>
      <c r="H508" s="25"/>
    </row>
    <row r="509" spans="1:8">
      <c r="A509" s="23"/>
      <c r="B509" s="23"/>
      <c r="C509" s="28"/>
      <c r="D509" s="23"/>
      <c r="H509" s="25"/>
    </row>
    <row r="510" spans="1:8">
      <c r="A510" s="23"/>
      <c r="B510" s="23"/>
      <c r="C510" s="28"/>
      <c r="D510" s="23"/>
      <c r="H510" s="25"/>
    </row>
    <row r="511" spans="1:8">
      <c r="A511" s="23"/>
      <c r="B511" s="23"/>
      <c r="C511" s="28"/>
      <c r="D511" s="23"/>
    </row>
    <row r="512" spans="1:8">
      <c r="A512" s="23"/>
      <c r="B512" s="23"/>
      <c r="C512" s="24"/>
      <c r="D512" s="23"/>
    </row>
    <row r="513" spans="1:12">
      <c r="A513" s="23"/>
      <c r="B513" s="23"/>
      <c r="C513" s="24"/>
      <c r="D513" s="23"/>
    </row>
    <row r="514" spans="1:12">
      <c r="A514" s="23"/>
      <c r="B514" s="23"/>
      <c r="C514" s="24"/>
      <c r="D514" s="23"/>
    </row>
    <row r="515" spans="1:12">
      <c r="A515" s="23"/>
      <c r="B515" s="23"/>
      <c r="C515" s="24"/>
      <c r="D515" s="23"/>
    </row>
    <row r="516" spans="1:12">
      <c r="A516" s="23"/>
      <c r="B516" s="23"/>
      <c r="C516" s="24"/>
      <c r="D516" s="86"/>
      <c r="E516" s="86"/>
      <c r="F516" s="86"/>
      <c r="G516" s="82"/>
      <c r="I516" s="269"/>
    </row>
    <row r="517" spans="1:12">
      <c r="A517" s="23"/>
      <c r="B517" s="23"/>
      <c r="C517" s="24"/>
      <c r="D517" s="86"/>
      <c r="E517" s="86"/>
      <c r="F517" s="86"/>
      <c r="G517" s="82"/>
      <c r="I517" s="269"/>
    </row>
    <row r="518" spans="1:12">
      <c r="A518" s="23"/>
      <c r="B518" s="23"/>
      <c r="C518" s="24"/>
      <c r="D518" s="86"/>
      <c r="E518" s="86"/>
      <c r="F518" s="86"/>
      <c r="G518" s="82"/>
      <c r="I518" s="269"/>
    </row>
    <row r="519" spans="1:12">
      <c r="A519" s="23"/>
      <c r="B519" s="23"/>
      <c r="C519" s="23"/>
      <c r="D519" s="83"/>
      <c r="E519" s="83"/>
      <c r="F519" s="83"/>
      <c r="I519" s="269"/>
    </row>
    <row r="520" spans="1:12">
      <c r="A520" s="23"/>
      <c r="B520" s="23"/>
      <c r="C520" s="23"/>
      <c r="D520" s="83"/>
      <c r="E520" s="83"/>
      <c r="F520" s="83"/>
      <c r="G520" s="12"/>
      <c r="I520" s="269"/>
    </row>
    <row r="521" spans="1:12">
      <c r="A521" s="83"/>
      <c r="B521" s="83"/>
      <c r="C521" s="23"/>
      <c r="D521" s="83"/>
      <c r="E521" s="83"/>
      <c r="F521" s="83"/>
      <c r="G521" s="12"/>
      <c r="I521" s="269"/>
    </row>
    <row r="522" spans="1:12">
      <c r="A522" s="23"/>
      <c r="B522" s="23"/>
      <c r="C522" s="23"/>
      <c r="D522" s="23"/>
      <c r="I522" s="269"/>
    </row>
    <row r="523" spans="1:12">
      <c r="A523" s="23"/>
      <c r="B523" s="23"/>
      <c r="C523" s="23"/>
      <c r="D523" s="23"/>
      <c r="I523" s="269"/>
    </row>
    <row r="524" spans="1:12" s="4" customFormat="1">
      <c r="A524" s="86"/>
      <c r="B524" s="86"/>
      <c r="C524" s="86"/>
      <c r="D524" s="86"/>
      <c r="E524" s="86"/>
      <c r="F524" s="86"/>
      <c r="G524" s="86"/>
      <c r="I524" s="291"/>
      <c r="L524" s="292"/>
    </row>
    <row r="525" spans="1:12">
      <c r="A525" s="23"/>
      <c r="B525" s="23"/>
      <c r="C525" s="23"/>
      <c r="D525" s="23"/>
    </row>
    <row r="526" spans="1:12">
      <c r="A526" s="23"/>
      <c r="B526" s="23"/>
      <c r="C526" s="24"/>
      <c r="D526" s="23"/>
    </row>
    <row r="527" spans="1:12">
      <c r="A527" s="23"/>
      <c r="B527" s="23"/>
      <c r="C527" s="23"/>
      <c r="D527" s="23"/>
    </row>
    <row r="528" spans="1:12">
      <c r="A528" s="23"/>
      <c r="B528" s="23"/>
      <c r="C528" s="27"/>
      <c r="D528" s="23"/>
    </row>
    <row r="529" spans="1:4">
      <c r="A529" s="23"/>
      <c r="B529" s="23"/>
      <c r="C529" s="27"/>
      <c r="D529" s="23"/>
    </row>
    <row r="530" spans="1:4">
      <c r="A530" s="23"/>
      <c r="B530" s="23"/>
      <c r="C530" s="27"/>
      <c r="D530" s="23"/>
    </row>
    <row r="531" spans="1:4">
      <c r="A531" s="23"/>
      <c r="B531" s="23"/>
      <c r="C531" s="28"/>
      <c r="D531" s="23"/>
    </row>
    <row r="532" spans="1:4">
      <c r="A532" s="23"/>
      <c r="B532" s="23"/>
      <c r="C532" s="27"/>
      <c r="D532" s="23"/>
    </row>
    <row r="533" spans="1:4">
      <c r="A533" s="23"/>
      <c r="B533" s="23"/>
      <c r="C533" s="27"/>
      <c r="D533" s="23"/>
    </row>
    <row r="534" spans="1:4">
      <c r="A534" s="23"/>
      <c r="B534" s="23"/>
      <c r="C534" s="24"/>
      <c r="D534" s="23"/>
    </row>
    <row r="535" spans="1:4">
      <c r="A535" s="23"/>
      <c r="B535" s="23"/>
      <c r="C535" s="27"/>
      <c r="D535" s="23"/>
    </row>
    <row r="536" spans="1:4">
      <c r="A536" s="23"/>
      <c r="B536" s="23"/>
      <c r="C536" s="28"/>
      <c r="D536" s="23"/>
    </row>
    <row r="537" spans="1:4">
      <c r="A537" s="23"/>
      <c r="B537" s="23"/>
      <c r="C537" s="28"/>
      <c r="D537" s="23"/>
    </row>
    <row r="538" spans="1:4">
      <c r="A538" s="23"/>
      <c r="B538" s="23"/>
      <c r="C538" s="27"/>
      <c r="D538" s="23"/>
    </row>
    <row r="539" spans="1:4">
      <c r="A539" s="23"/>
      <c r="B539" s="23"/>
      <c r="C539" s="24"/>
      <c r="D539" s="23"/>
    </row>
    <row r="540" spans="1:4">
      <c r="A540" s="23"/>
      <c r="B540" s="23"/>
      <c r="C540" s="28"/>
      <c r="D540" s="23"/>
    </row>
    <row r="541" spans="1:4">
      <c r="A541" s="23"/>
      <c r="B541" s="23"/>
      <c r="C541" s="28"/>
      <c r="D541" s="23"/>
    </row>
    <row r="542" spans="1:4">
      <c r="A542" s="23"/>
      <c r="B542" s="23"/>
      <c r="C542" s="28"/>
      <c r="D542" s="23"/>
    </row>
    <row r="543" spans="1:4">
      <c r="A543" s="23"/>
      <c r="B543" s="23"/>
      <c r="C543" s="28"/>
      <c r="D543" s="23"/>
    </row>
    <row r="544" spans="1:4">
      <c r="A544" s="23"/>
      <c r="B544" s="23"/>
      <c r="C544" s="28"/>
      <c r="D544" s="23"/>
    </row>
    <row r="545" spans="1:4">
      <c r="A545" s="23"/>
      <c r="B545" s="23"/>
      <c r="C545" s="28"/>
      <c r="D545" s="23"/>
    </row>
    <row r="546" spans="1:4">
      <c r="A546" s="23"/>
      <c r="B546" s="23"/>
      <c r="C546" s="28"/>
      <c r="D546" s="23"/>
    </row>
    <row r="547" spans="1:4">
      <c r="A547" s="23"/>
      <c r="B547" s="23"/>
      <c r="C547" s="28"/>
      <c r="D547" s="23"/>
    </row>
    <row r="548" spans="1:4">
      <c r="A548" s="23"/>
      <c r="B548" s="23"/>
      <c r="C548" s="28"/>
      <c r="D548" s="23"/>
    </row>
    <row r="549" spans="1:4">
      <c r="A549" s="23"/>
      <c r="B549" s="23"/>
      <c r="C549" s="28"/>
      <c r="D549" s="23"/>
    </row>
    <row r="550" spans="1:4">
      <c r="A550" s="23"/>
      <c r="B550" s="23"/>
      <c r="C550" s="27"/>
      <c r="D550" s="23"/>
    </row>
    <row r="551" spans="1:4">
      <c r="A551" s="23"/>
      <c r="B551" s="23"/>
      <c r="C551" s="27"/>
      <c r="D551" s="23"/>
    </row>
    <row r="552" spans="1:4">
      <c r="A552" s="23"/>
      <c r="B552" s="23"/>
      <c r="C552" s="27"/>
      <c r="D552" s="23"/>
    </row>
    <row r="553" spans="1:4">
      <c r="A553" s="23"/>
      <c r="B553" s="23"/>
      <c r="C553" s="28"/>
      <c r="D553" s="23"/>
    </row>
    <row r="554" spans="1:4">
      <c r="A554" s="23"/>
      <c r="B554" s="23"/>
      <c r="C554" s="27"/>
      <c r="D554" s="23"/>
    </row>
    <row r="555" spans="1:4">
      <c r="A555" s="23"/>
      <c r="B555" s="23"/>
      <c r="C555" s="28"/>
      <c r="D555" s="23"/>
    </row>
    <row r="556" spans="1:4">
      <c r="A556" s="23"/>
      <c r="B556" s="23"/>
      <c r="C556" s="27"/>
      <c r="D556" s="23"/>
    </row>
    <row r="557" spans="1:4">
      <c r="A557" s="23"/>
      <c r="B557" s="23"/>
      <c r="C557" s="24"/>
      <c r="D557" s="23"/>
    </row>
    <row r="558" spans="1:4">
      <c r="A558" s="23"/>
      <c r="B558" s="23"/>
      <c r="C558" s="24"/>
      <c r="D558" s="23"/>
    </row>
    <row r="559" spans="1:4">
      <c r="A559" s="23"/>
      <c r="B559" s="23"/>
      <c r="C559" s="24"/>
      <c r="D559" s="23"/>
    </row>
    <row r="560" spans="1:4">
      <c r="A560" s="23"/>
      <c r="B560" s="23"/>
      <c r="C560" s="27"/>
      <c r="D560" s="23"/>
    </row>
    <row r="561" spans="1:4">
      <c r="A561" s="23"/>
      <c r="B561" s="23"/>
      <c r="C561" s="28"/>
      <c r="D561" s="23"/>
    </row>
    <row r="562" spans="1:4">
      <c r="A562" s="23"/>
      <c r="B562" s="23"/>
      <c r="C562" s="27"/>
      <c r="D562" s="23"/>
    </row>
    <row r="563" spans="1:4">
      <c r="A563" s="23"/>
      <c r="B563" s="23"/>
      <c r="C563" s="28"/>
      <c r="D563" s="23"/>
    </row>
    <row r="564" spans="1:4">
      <c r="A564" s="23"/>
      <c r="B564" s="23"/>
      <c r="C564" s="28"/>
      <c r="D564" s="23"/>
    </row>
    <row r="565" spans="1:4">
      <c r="A565" s="23"/>
      <c r="B565" s="23"/>
      <c r="C565" s="27"/>
      <c r="D565" s="23"/>
    </row>
    <row r="566" spans="1:4">
      <c r="A566" s="23"/>
      <c r="B566" s="23"/>
      <c r="C566" s="27"/>
      <c r="D566" s="23"/>
    </row>
    <row r="567" spans="1:4">
      <c r="A567" s="23"/>
      <c r="B567" s="23"/>
      <c r="C567" s="27"/>
      <c r="D567" s="23"/>
    </row>
    <row r="568" spans="1:4">
      <c r="A568" s="23"/>
      <c r="B568" s="23"/>
      <c r="C568" s="27"/>
      <c r="D568" s="23"/>
    </row>
    <row r="569" spans="1:4">
      <c r="A569" s="23"/>
      <c r="B569" s="23"/>
      <c r="C569" s="27"/>
      <c r="D569" s="23"/>
    </row>
    <row r="570" spans="1:4">
      <c r="A570" s="23"/>
      <c r="B570" s="23"/>
      <c r="C570" s="27"/>
      <c r="D570" s="23"/>
    </row>
    <row r="571" spans="1:4">
      <c r="A571" s="23"/>
      <c r="B571" s="23"/>
      <c r="C571" s="28"/>
      <c r="D571" s="23"/>
    </row>
    <row r="572" spans="1:4">
      <c r="A572" s="23"/>
      <c r="B572" s="23"/>
      <c r="C572" s="28"/>
      <c r="D572" s="23"/>
    </row>
    <row r="573" spans="1:4">
      <c r="A573" s="23"/>
      <c r="B573" s="23"/>
      <c r="C573" s="27"/>
      <c r="D573" s="23"/>
    </row>
    <row r="574" spans="1:4">
      <c r="A574" s="23"/>
      <c r="B574" s="23"/>
      <c r="C574" s="24"/>
      <c r="D574" s="23"/>
    </row>
    <row r="575" spans="1:4">
      <c r="A575" s="23"/>
      <c r="B575" s="23"/>
      <c r="C575" s="27"/>
      <c r="D575" s="23"/>
    </row>
    <row r="576" spans="1:4">
      <c r="A576" s="23"/>
      <c r="B576" s="23"/>
      <c r="C576" s="27"/>
      <c r="D576" s="23"/>
    </row>
    <row r="577" spans="1:4">
      <c r="A577" s="23"/>
      <c r="B577" s="23"/>
      <c r="C577" s="27"/>
      <c r="D577" s="23"/>
    </row>
    <row r="578" spans="1:4">
      <c r="A578" s="23"/>
      <c r="B578" s="23"/>
      <c r="C578" s="27"/>
      <c r="D578" s="23"/>
    </row>
    <row r="579" spans="1:4">
      <c r="A579" s="23"/>
      <c r="B579" s="23"/>
      <c r="C579" s="27"/>
      <c r="D579" s="23"/>
    </row>
    <row r="580" spans="1:4">
      <c r="A580" s="23"/>
      <c r="B580" s="23"/>
      <c r="C580" s="28"/>
      <c r="D580" s="23"/>
    </row>
    <row r="581" spans="1:4">
      <c r="A581" s="23"/>
      <c r="B581" s="23"/>
      <c r="C581" s="28"/>
      <c r="D581" s="23"/>
    </row>
    <row r="582" spans="1:4">
      <c r="A582" s="23"/>
      <c r="B582" s="23"/>
      <c r="C582" s="28"/>
      <c r="D582" s="23"/>
    </row>
    <row r="583" spans="1:4">
      <c r="A583" s="23"/>
      <c r="B583" s="23"/>
      <c r="C583" s="28"/>
      <c r="D583" s="23"/>
    </row>
    <row r="584" spans="1:4">
      <c r="A584" s="23"/>
      <c r="B584" s="23"/>
      <c r="C584" s="27"/>
      <c r="D584" s="23"/>
    </row>
    <row r="585" spans="1:4">
      <c r="A585" s="23"/>
      <c r="B585" s="23"/>
      <c r="C585" s="27"/>
      <c r="D585" s="23"/>
    </row>
    <row r="586" spans="1:4">
      <c r="A586" s="23"/>
      <c r="B586" s="23"/>
      <c r="C586" s="27"/>
      <c r="D586" s="23"/>
    </row>
    <row r="587" spans="1:4">
      <c r="A587" s="23"/>
      <c r="B587" s="23"/>
      <c r="C587" s="28"/>
      <c r="D587" s="23"/>
    </row>
    <row r="588" spans="1:4">
      <c r="A588" s="23"/>
      <c r="B588" s="23"/>
      <c r="C588" s="28"/>
      <c r="D588" s="23"/>
    </row>
    <row r="589" spans="1:4">
      <c r="A589" s="23"/>
      <c r="B589" s="23"/>
      <c r="C589" s="28"/>
      <c r="D589" s="23"/>
    </row>
    <row r="590" spans="1:4">
      <c r="A590" s="23"/>
      <c r="B590" s="23"/>
      <c r="C590" s="28"/>
      <c r="D590" s="23"/>
    </row>
    <row r="591" spans="1:4">
      <c r="A591" s="23"/>
      <c r="B591" s="23"/>
      <c r="C591" s="28"/>
      <c r="D591" s="23"/>
    </row>
    <row r="592" spans="1:4">
      <c r="A592" s="23"/>
      <c r="B592" s="23"/>
      <c r="C592" s="27"/>
      <c r="D592" s="23"/>
    </row>
    <row r="593" spans="1:4">
      <c r="A593" s="23"/>
      <c r="B593" s="23"/>
      <c r="C593" s="28"/>
      <c r="D593" s="23"/>
    </row>
    <row r="594" spans="1:4">
      <c r="A594" s="23"/>
      <c r="B594" s="23"/>
      <c r="C594" s="27"/>
      <c r="D594" s="23"/>
    </row>
    <row r="595" spans="1:4">
      <c r="A595" s="23"/>
      <c r="B595" s="23"/>
      <c r="C595" s="27"/>
      <c r="D595" s="23"/>
    </row>
    <row r="596" spans="1:4">
      <c r="A596" s="23"/>
      <c r="B596" s="23"/>
      <c r="C596" s="27"/>
      <c r="D596" s="23"/>
    </row>
    <row r="597" spans="1:4">
      <c r="A597" s="23"/>
      <c r="B597" s="23"/>
      <c r="C597" s="27"/>
      <c r="D597" s="23"/>
    </row>
    <row r="598" spans="1:4">
      <c r="A598" s="23"/>
      <c r="B598" s="23"/>
      <c r="C598" s="27"/>
      <c r="D598" s="23"/>
    </row>
    <row r="599" spans="1:4">
      <c r="A599" s="23"/>
      <c r="B599" s="23"/>
      <c r="C599" s="28"/>
      <c r="D599" s="23"/>
    </row>
    <row r="600" spans="1:4">
      <c r="A600" s="23"/>
      <c r="B600" s="23"/>
      <c r="C600" s="28"/>
      <c r="D600" s="23"/>
    </row>
    <row r="601" spans="1:4">
      <c r="A601" s="23"/>
      <c r="B601" s="23"/>
      <c r="C601" s="24"/>
      <c r="D601" s="23"/>
    </row>
    <row r="602" spans="1:4">
      <c r="A602" s="23"/>
      <c r="B602" s="23"/>
      <c r="C602" s="24"/>
      <c r="D602" s="23"/>
    </row>
    <row r="603" spans="1:4">
      <c r="A603" s="23"/>
      <c r="B603" s="23"/>
      <c r="C603" s="24"/>
      <c r="D603" s="23"/>
    </row>
    <row r="604" spans="1:4">
      <c r="A604" s="23"/>
      <c r="B604" s="23"/>
      <c r="C604" s="24"/>
      <c r="D604" s="23"/>
    </row>
    <row r="605" spans="1:4">
      <c r="A605" s="23"/>
      <c r="B605" s="23"/>
      <c r="C605" s="27"/>
      <c r="D605" s="23"/>
    </row>
    <row r="606" spans="1:4">
      <c r="A606" s="23"/>
      <c r="B606" s="23"/>
      <c r="C606" s="24"/>
      <c r="D606" s="23"/>
    </row>
    <row r="607" spans="1:4">
      <c r="A607" s="23"/>
      <c r="B607" s="23"/>
      <c r="C607" s="24"/>
      <c r="D607" s="23"/>
    </row>
    <row r="608" spans="1:4">
      <c r="A608" s="23"/>
      <c r="B608" s="23"/>
      <c r="C608" s="24"/>
      <c r="D608" s="23"/>
    </row>
    <row r="609" spans="1:4">
      <c r="A609" s="23"/>
      <c r="B609" s="23"/>
      <c r="C609" s="24"/>
      <c r="D609" s="23"/>
    </row>
    <row r="610" spans="1:4">
      <c r="A610" s="23"/>
      <c r="B610" s="23"/>
      <c r="C610" s="28"/>
      <c r="D610" s="23"/>
    </row>
    <row r="611" spans="1:4">
      <c r="A611" s="23"/>
      <c r="B611" s="23"/>
      <c r="C611" s="24"/>
      <c r="D611" s="23"/>
    </row>
    <row r="612" spans="1:4">
      <c r="A612" s="23"/>
      <c r="B612" s="23"/>
      <c r="C612" s="24"/>
      <c r="D612" s="23"/>
    </row>
    <row r="613" spans="1:4">
      <c r="A613" s="23"/>
      <c r="B613" s="23"/>
      <c r="C613" s="24"/>
      <c r="D613" s="23"/>
    </row>
    <row r="614" spans="1:4">
      <c r="A614" s="23"/>
      <c r="B614" s="23"/>
      <c r="C614" s="24"/>
      <c r="D614" s="23"/>
    </row>
    <row r="615" spans="1:4">
      <c r="A615" s="23"/>
      <c r="B615" s="23"/>
      <c r="C615" s="24"/>
      <c r="D615" s="23"/>
    </row>
    <row r="616" spans="1:4">
      <c r="A616" s="23"/>
      <c r="B616" s="23"/>
      <c r="C616" s="24"/>
      <c r="D616" s="23"/>
    </row>
    <row r="617" spans="1:4">
      <c r="A617" s="23"/>
      <c r="B617" s="23"/>
      <c r="C617" s="24"/>
      <c r="D617" s="23"/>
    </row>
    <row r="618" spans="1:4">
      <c r="A618" s="23"/>
      <c r="B618" s="23"/>
      <c r="C618" s="24"/>
      <c r="D618" s="23"/>
    </row>
    <row r="619" spans="1:4">
      <c r="A619" s="23"/>
      <c r="B619" s="23"/>
      <c r="C619" s="24"/>
      <c r="D619" s="23"/>
    </row>
    <row r="620" spans="1:4">
      <c r="A620" s="23"/>
      <c r="B620" s="23"/>
      <c r="C620" s="24"/>
      <c r="D620" s="23"/>
    </row>
    <row r="621" spans="1:4">
      <c r="A621" s="23"/>
      <c r="B621" s="23"/>
      <c r="C621" s="24"/>
      <c r="D621" s="23"/>
    </row>
    <row r="622" spans="1:4">
      <c r="A622" s="23"/>
      <c r="B622" s="23"/>
      <c r="C622" s="28"/>
      <c r="D622" s="23"/>
    </row>
    <row r="623" spans="1:4">
      <c r="A623" s="23"/>
      <c r="B623" s="23"/>
      <c r="C623" s="27"/>
      <c r="D623" s="23"/>
    </row>
    <row r="624" spans="1:4">
      <c r="A624" s="23"/>
      <c r="B624" s="23"/>
      <c r="C624" s="24"/>
      <c r="D624" s="23"/>
    </row>
    <row r="625" spans="1:9">
      <c r="A625" s="23"/>
      <c r="B625" s="23"/>
      <c r="C625" s="24"/>
      <c r="D625" s="23"/>
    </row>
    <row r="626" spans="1:9">
      <c r="A626" s="23"/>
      <c r="B626" s="23"/>
      <c r="C626" s="24"/>
      <c r="D626" s="23"/>
      <c r="I626" s="269"/>
    </row>
    <row r="627" spans="1:9">
      <c r="A627" s="23"/>
      <c r="B627" s="23"/>
      <c r="C627" s="24"/>
      <c r="D627" s="23"/>
    </row>
    <row r="628" spans="1:9">
      <c r="A628" s="23"/>
      <c r="B628" s="23"/>
      <c r="C628" s="24"/>
      <c r="D628" s="23"/>
    </row>
    <row r="629" spans="1:9">
      <c r="A629" s="23"/>
      <c r="B629" s="23"/>
      <c r="C629" s="24"/>
      <c r="D629" s="23"/>
    </row>
    <row r="630" spans="1:9">
      <c r="A630" s="23"/>
      <c r="B630" s="23"/>
      <c r="C630" s="27"/>
      <c r="D630" s="23"/>
    </row>
    <row r="631" spans="1:9">
      <c r="A631" s="23"/>
      <c r="B631" s="23"/>
      <c r="C631" s="28"/>
      <c r="D631" s="23"/>
    </row>
    <row r="632" spans="1:9">
      <c r="A632" s="23"/>
      <c r="B632" s="23"/>
      <c r="C632" s="28"/>
      <c r="D632" s="23"/>
    </row>
    <row r="633" spans="1:9">
      <c r="A633" s="23"/>
      <c r="B633" s="23"/>
      <c r="C633" s="28"/>
      <c r="D633" s="23"/>
    </row>
    <row r="634" spans="1:9">
      <c r="A634" s="23"/>
      <c r="B634" s="23"/>
      <c r="C634" s="28"/>
      <c r="D634" s="23"/>
    </row>
    <row r="635" spans="1:9">
      <c r="A635" s="23"/>
      <c r="B635" s="23"/>
      <c r="C635" s="27"/>
      <c r="D635" s="23"/>
    </row>
    <row r="636" spans="1:9">
      <c r="A636" s="23"/>
      <c r="B636" s="23"/>
      <c r="C636" s="27"/>
      <c r="D636" s="23"/>
    </row>
    <row r="637" spans="1:9">
      <c r="A637" s="23"/>
      <c r="B637" s="23"/>
      <c r="C637" s="27"/>
      <c r="D637" s="23"/>
    </row>
    <row r="638" spans="1:9">
      <c r="A638" s="23"/>
      <c r="B638" s="23"/>
      <c r="C638" s="27"/>
      <c r="D638" s="23"/>
    </row>
    <row r="639" spans="1:9">
      <c r="A639" s="23"/>
      <c r="B639" s="23"/>
      <c r="C639" s="27"/>
      <c r="D639" s="23"/>
    </row>
    <row r="640" spans="1:9">
      <c r="A640" s="23"/>
      <c r="B640" s="23"/>
      <c r="C640" s="24"/>
      <c r="D640" s="23"/>
    </row>
    <row r="641" spans="1:4">
      <c r="A641" s="23"/>
      <c r="B641" s="23"/>
      <c r="C641" s="28"/>
      <c r="D641" s="23"/>
    </row>
    <row r="642" spans="1:4">
      <c r="A642" s="23"/>
      <c r="B642" s="23"/>
      <c r="C642" s="24"/>
      <c r="D642" s="23"/>
    </row>
    <row r="643" spans="1:4">
      <c r="A643" s="23"/>
      <c r="B643" s="23"/>
      <c r="C643" s="24"/>
      <c r="D643" s="23"/>
    </row>
    <row r="644" spans="1:4">
      <c r="A644" s="23"/>
      <c r="B644" s="23"/>
      <c r="C644" s="24"/>
      <c r="D644" s="23"/>
    </row>
    <row r="645" spans="1:4">
      <c r="A645" s="23"/>
      <c r="B645" s="23"/>
      <c r="C645" s="24"/>
      <c r="D645" s="23"/>
    </row>
    <row r="646" spans="1:4">
      <c r="A646" s="23"/>
      <c r="B646" s="23"/>
      <c r="C646" s="28"/>
      <c r="D646" s="23"/>
    </row>
    <row r="647" spans="1:4">
      <c r="A647" s="23"/>
      <c r="B647" s="23"/>
      <c r="C647" s="28"/>
      <c r="D647" s="23"/>
    </row>
    <row r="648" spans="1:4">
      <c r="A648" s="23"/>
      <c r="B648" s="23"/>
      <c r="C648" s="27"/>
      <c r="D648" s="23"/>
    </row>
    <row r="649" spans="1:4">
      <c r="A649" s="23"/>
      <c r="B649" s="23"/>
      <c r="C649" s="27"/>
      <c r="D649" s="23"/>
    </row>
    <row r="650" spans="1:4">
      <c r="A650" s="23"/>
      <c r="B650" s="23"/>
      <c r="C650" s="27"/>
      <c r="D650" s="23"/>
    </row>
    <row r="651" spans="1:4">
      <c r="A651" s="23"/>
      <c r="B651" s="23"/>
      <c r="C651" s="27"/>
      <c r="D651" s="23"/>
    </row>
    <row r="652" spans="1:4">
      <c r="A652" s="23"/>
      <c r="B652" s="23"/>
      <c r="C652" s="27"/>
      <c r="D652" s="23"/>
    </row>
    <row r="653" spans="1:4">
      <c r="A653" s="23"/>
      <c r="B653" s="23"/>
      <c r="C653" s="27"/>
      <c r="D653" s="23"/>
    </row>
    <row r="654" spans="1:4">
      <c r="A654" s="23"/>
      <c r="B654" s="23"/>
      <c r="C654" s="27"/>
      <c r="D654" s="23"/>
    </row>
    <row r="655" spans="1:4">
      <c r="A655" s="23"/>
      <c r="B655" s="23"/>
      <c r="C655" s="27"/>
      <c r="D655" s="23"/>
    </row>
    <row r="656" spans="1:4">
      <c r="A656" s="23"/>
      <c r="B656" s="23"/>
      <c r="C656" s="28"/>
      <c r="D656" s="23"/>
    </row>
    <row r="657" spans="1:6">
      <c r="A657" s="23"/>
      <c r="B657" s="23"/>
      <c r="C657" s="28"/>
      <c r="D657" s="23"/>
    </row>
    <row r="658" spans="1:6">
      <c r="A658" s="23"/>
      <c r="B658" s="23"/>
      <c r="C658" s="27"/>
      <c r="D658" s="23"/>
    </row>
    <row r="659" spans="1:6">
      <c r="A659" s="23"/>
      <c r="B659" s="23"/>
      <c r="C659" s="28"/>
      <c r="D659" s="23"/>
    </row>
    <row r="660" spans="1:6">
      <c r="A660" s="23"/>
      <c r="B660" s="23"/>
      <c r="C660" s="28"/>
      <c r="D660" s="23"/>
    </row>
    <row r="661" spans="1:6">
      <c r="A661" s="23"/>
      <c r="B661" s="23"/>
      <c r="C661" s="28"/>
      <c r="D661" s="23"/>
    </row>
    <row r="662" spans="1:6">
      <c r="A662" s="23"/>
      <c r="B662" s="23"/>
      <c r="C662" s="27"/>
      <c r="D662" s="23"/>
    </row>
    <row r="663" spans="1:6">
      <c r="A663" s="23"/>
      <c r="B663" s="23"/>
      <c r="C663" s="27"/>
      <c r="D663" s="23"/>
    </row>
    <row r="664" spans="1:6">
      <c r="A664" s="23"/>
      <c r="B664" s="23"/>
      <c r="C664" s="27"/>
      <c r="D664" s="23"/>
    </row>
    <row r="665" spans="1:6">
      <c r="A665" s="23"/>
      <c r="B665" s="23"/>
      <c r="C665" s="27"/>
      <c r="D665" s="23"/>
    </row>
    <row r="666" spans="1:6">
      <c r="C666" s="294"/>
    </row>
    <row r="667" spans="1:6">
      <c r="D667" s="29"/>
      <c r="E667" s="24"/>
      <c r="F667" s="24"/>
    </row>
  </sheetData>
  <printOptions horizontalCentered="1"/>
  <pageMargins left="0.7" right="0.7" top="0.75" bottom="0.75" header="0.3" footer="0.3"/>
  <pageSetup scale="79" fitToHeight="0" orientation="landscape" horizontalDpi="1200" verticalDpi="1200" r:id="rId1"/>
  <headerFooter>
    <oddHeader>&amp;RPage &amp;P
Worksheet F</oddHeader>
  </headerFooter>
  <rowBreaks count="4" manualBreakCount="4">
    <brk id="37" max="6" man="1"/>
    <brk id="72" max="6" man="1"/>
    <brk id="100" max="6" man="1"/>
    <brk id="135"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45</vt:i4>
      </vt:variant>
    </vt:vector>
  </HeadingPairs>
  <TitlesOfParts>
    <vt:vector size="69" baseType="lpstr">
      <vt:lpstr>Index</vt:lpstr>
      <vt:lpstr>Summary ATRR</vt:lpstr>
      <vt:lpstr>Revenue Requirements Schedule 1</vt:lpstr>
      <vt:lpstr>Worksheet A, Rate Base</vt:lpstr>
      <vt:lpstr>Worksheet B, Expenses</vt:lpstr>
      <vt:lpstr>Worksheet C, Return</vt:lpstr>
      <vt:lpstr>Worksheet D, Load</vt:lpstr>
      <vt:lpstr>Worksheet E, Alloc. Factor</vt:lpstr>
      <vt:lpstr>Worksheet F, Inputs</vt:lpstr>
      <vt:lpstr>Worksheet G, O&amp;M Input</vt:lpstr>
      <vt:lpstr>Worksheet H SPP Upgrade Proj.</vt:lpstr>
      <vt:lpstr>Worksheet I Reconciliation</vt:lpstr>
      <vt:lpstr>Worksheet J, Depr Rates</vt:lpstr>
      <vt:lpstr>Worksheet K, Wages Input</vt:lpstr>
      <vt:lpstr>Worksheet L, Depr Input</vt:lpstr>
      <vt:lpstr>Worksheet M, TranPlant Funct</vt:lpstr>
      <vt:lpstr>Worksheet N, OthRev Input</vt:lpstr>
      <vt:lpstr>Worksheet O, CWIP</vt:lpstr>
      <vt:lpstr>Worksheet P, CCnC</vt:lpstr>
      <vt:lpstr>Worksheet Q, Future Use</vt:lpstr>
      <vt:lpstr>Worksheet R, Reg. &amp; Comm. Exp.</vt:lpstr>
      <vt:lpstr>Worksheet S, Qualified Subs</vt:lpstr>
      <vt:lpstr>Worksheet T, Qualified Lines</vt:lpstr>
      <vt:lpstr>Worksheet U 575 576 Expense</vt:lpstr>
      <vt:lpstr>AlloFactors</vt:lpstr>
      <vt:lpstr>Index!Print_Area</vt:lpstr>
      <vt:lpstr>'Revenue Requirements Schedule 1'!Print_Area</vt:lpstr>
      <vt:lpstr>'Summary ATRR'!Print_Area</vt:lpstr>
      <vt:lpstr>'Worksheet A, Rate Base'!Print_Area</vt:lpstr>
      <vt:lpstr>'Worksheet B, Expenses'!Print_Area</vt:lpstr>
      <vt:lpstr>'Worksheet C, Return'!Print_Area</vt:lpstr>
      <vt:lpstr>'Worksheet D, Load'!Print_Area</vt:lpstr>
      <vt:lpstr>'Worksheet E, Alloc. Factor'!Print_Area</vt:lpstr>
      <vt:lpstr>'Worksheet F, Inputs'!Print_Area</vt:lpstr>
      <vt:lpstr>'Worksheet G, O&amp;M Input'!Print_Area</vt:lpstr>
      <vt:lpstr>'Worksheet H SPP Upgrade Proj.'!Print_Area</vt:lpstr>
      <vt:lpstr>'Worksheet I Reconciliation'!Print_Area</vt:lpstr>
      <vt:lpstr>'Worksheet J, Depr Rates'!Print_Area</vt:lpstr>
      <vt:lpstr>'Worksheet K, Wages Input'!Print_Area</vt:lpstr>
      <vt:lpstr>'Worksheet L, Depr Input'!Print_Area</vt:lpstr>
      <vt:lpstr>'Worksheet M, TranPlant Funct'!Print_Area</vt:lpstr>
      <vt:lpstr>'Worksheet N, OthRev Input'!Print_Area</vt:lpstr>
      <vt:lpstr>'Worksheet O, CWIP'!Print_Area</vt:lpstr>
      <vt:lpstr>'Worksheet P, CCnC'!Print_Area</vt:lpstr>
      <vt:lpstr>'Worksheet Q, Future Use'!Print_Area</vt:lpstr>
      <vt:lpstr>'Worksheet R, Reg. &amp; Comm. Exp.'!Print_Area</vt:lpstr>
      <vt:lpstr>'Worksheet S, Qualified Subs'!Print_Area</vt:lpstr>
      <vt:lpstr>'Worksheet T, Qualified Lines'!Print_Area</vt:lpstr>
      <vt:lpstr>'Worksheet U 575 576 Expense'!Print_Area</vt:lpstr>
      <vt:lpstr>'Revenue Requirements Schedule 1'!Print_Titles</vt:lpstr>
      <vt:lpstr>'Summary ATRR'!Print_Titles</vt:lpstr>
      <vt:lpstr>'Worksheet A, Rate Base'!Print_Titles</vt:lpstr>
      <vt:lpstr>'Worksheet B, Expenses'!Print_Titles</vt:lpstr>
      <vt:lpstr>'Worksheet C, Return'!Print_Titles</vt:lpstr>
      <vt:lpstr>'Worksheet E, Alloc. Factor'!Print_Titles</vt:lpstr>
      <vt:lpstr>'Worksheet F, Inputs'!Print_Titles</vt:lpstr>
      <vt:lpstr>'Worksheet G, O&amp;M Input'!Print_Titles</vt:lpstr>
      <vt:lpstr>'Worksheet H SPP Upgrade Proj.'!Print_Titles</vt:lpstr>
      <vt:lpstr>'Worksheet I Reconciliation'!Print_Titles</vt:lpstr>
      <vt:lpstr>'Worksheet J, Depr Rates'!Print_Titles</vt:lpstr>
      <vt:lpstr>'Worksheet K, Wages Input'!Print_Titles</vt:lpstr>
      <vt:lpstr>'Worksheet M, TranPlant Funct'!Print_Titles</vt:lpstr>
      <vt:lpstr>'Worksheet N, OthRev Input'!Print_Titles</vt:lpstr>
      <vt:lpstr>'Worksheet O, CWIP'!Print_Titles</vt:lpstr>
      <vt:lpstr>'Worksheet P, CCnC'!Print_Titles</vt:lpstr>
      <vt:lpstr>'Worksheet Q, Future Use'!Print_Titles</vt:lpstr>
      <vt:lpstr>'Worksheet R, Reg. &amp; Comm. Exp.'!Print_Titles</vt:lpstr>
      <vt:lpstr>'Worksheet S, Qualified Subs'!Print_Titles</vt:lpstr>
      <vt:lpstr>'Worksheet T, Qualified Lines'!Print_Titles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Simpsen, John</dc:creator>
  <cp:lastModifiedBy>Tackett, Julie</cp:lastModifiedBy>
  <cp:lastPrinted>2017-04-17T13:05:14Z</cp:lastPrinted>
  <dcterms:created xsi:type="dcterms:W3CDTF">2016-02-18T19:19:35Z</dcterms:created>
  <dcterms:modified xsi:type="dcterms:W3CDTF">2017-07-07T15:24:45Z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{40156C39-6893-49C6-82B8-B6FC0FE71077}</vt:lpwstr>
  </property>
</Properties>
</file>